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8_{938ED1A1-7F78-467C-B7AB-1ABFDFB432AC}" xr6:coauthVersionLast="47" xr6:coauthVersionMax="47" xr10:uidLastSave="{00000000-0000-0000-0000-000000000000}"/>
  <bookViews>
    <workbookView xWindow="-120" yWindow="-120" windowWidth="29040" windowHeight="1572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Share'!$B$2:$M$52</definedName>
    <definedName name="_xlnm.Print_Area" localSheetId="38">'Public Goods '!$A$3:$M$52</definedName>
    <definedName name="_xlnm.Print_Area" localSheetId="29">'Sch 1 '!$A$3:$L$158</definedName>
    <definedName name="_xlnm.Print_Area" localSheetId="30">'Sch 2 '!$A$3:$L$47</definedName>
    <definedName name="_xlnm.Print_Area" localSheetId="31">'Sch 3 '!$A$2:$M$49</definedName>
    <definedName name="_xlnm.Print_Area" localSheetId="32">'Sch 4'!$A$3:$K$34</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5" i="39" l="1"/>
  <c r="J38" i="39"/>
  <c r="J28" i="39"/>
  <c r="J22" i="39"/>
  <c r="J43" i="40"/>
  <c r="J35" i="40"/>
  <c r="J22" i="40"/>
  <c r="J16" i="40"/>
  <c r="S59" i="24" l="1"/>
  <c r="J30" i="39"/>
  <c r="J48" i="39" s="1"/>
  <c r="J24" i="40"/>
  <c r="J46" i="40" s="1"/>
  <c r="O107" i="17"/>
  <c r="M196" i="42" l="1"/>
  <c r="M197" i="42"/>
  <c r="M198" i="42"/>
  <c r="M199" i="42"/>
  <c r="M200" i="42"/>
  <c r="M201" i="42"/>
  <c r="M202" i="42"/>
  <c r="M203" i="42"/>
  <c r="M204" i="42"/>
  <c r="S81" i="24"/>
  <c r="S82" i="24"/>
  <c r="S80" i="24"/>
  <c r="S63" i="25"/>
  <c r="S64" i="25"/>
  <c r="S62" i="25"/>
  <c r="P18" i="22"/>
  <c r="P53" i="22" l="1"/>
  <c r="S69" i="24"/>
  <c r="S40" i="24"/>
  <c r="S74" i="25"/>
  <c r="P26" i="27"/>
  <c r="F27" i="5" s="1"/>
  <c r="S43" i="24"/>
  <c r="Q26" i="26"/>
  <c r="B25" i="5" s="1"/>
  <c r="S77" i="24"/>
  <c r="S58" i="25"/>
  <c r="S54" i="24"/>
  <c r="P17" i="29"/>
  <c r="F18" i="6" s="1"/>
  <c r="P17" i="28"/>
  <c r="B18" i="6" s="1"/>
  <c r="S82" i="23"/>
  <c r="P38" i="2" s="1"/>
  <c r="S80" i="23"/>
  <c r="P36" i="2" s="1"/>
  <c r="S81" i="23"/>
  <c r="P37" i="2" s="1"/>
  <c r="H43" i="40" l="1"/>
  <c r="H35" i="40"/>
  <c r="H22" i="40"/>
  <c r="H16" i="40"/>
  <c r="H45" i="39"/>
  <c r="H38" i="39"/>
  <c r="H28" i="39"/>
  <c r="H22" i="39"/>
  <c r="S48" i="24" l="1"/>
  <c r="S59" i="25"/>
  <c r="S77" i="23" s="1"/>
  <c r="P33" i="2" s="1"/>
  <c r="Q82" i="23"/>
  <c r="Q81" i="23"/>
  <c r="Q80" i="23"/>
  <c r="R73" i="18"/>
  <c r="R87" i="18"/>
  <c r="R112" i="18"/>
  <c r="R95" i="18"/>
  <c r="R61" i="18"/>
  <c r="R107" i="18"/>
  <c r="R83" i="18"/>
  <c r="R117" i="18"/>
  <c r="R110" i="18"/>
  <c r="R70" i="18"/>
  <c r="R75" i="18"/>
  <c r="H30" i="39"/>
  <c r="H48" i="39" s="1"/>
  <c r="H24" i="40"/>
  <c r="H46" i="40" s="1"/>
  <c r="M20" i="41"/>
  <c r="D31" i="2" l="1"/>
  <c r="D26" i="2"/>
  <c r="Q65" i="17"/>
  <c r="D29" i="2"/>
  <c r="D36" i="2"/>
  <c r="R113" i="20"/>
  <c r="H50" i="3" s="1"/>
  <c r="L19" i="2"/>
  <c r="R101" i="20"/>
  <c r="H37" i="3" s="1"/>
  <c r="Q77" i="23"/>
  <c r="O65" i="17"/>
  <c r="O125" i="17"/>
  <c r="L17" i="43"/>
  <c r="Q125" i="17" l="1"/>
  <c r="P26" i="28"/>
  <c r="B25" i="6" s="1"/>
  <c r="S92" i="24"/>
  <c r="S92" i="23" s="1"/>
  <c r="P49" i="2" s="1"/>
  <c r="Q17" i="26"/>
  <c r="B18" i="5" s="1"/>
  <c r="S58" i="24"/>
  <c r="P25" i="27"/>
  <c r="F26" i="5" s="1"/>
  <c r="P36" i="27"/>
  <c r="F35" i="5" s="1"/>
  <c r="S70" i="24"/>
  <c r="S65" i="25"/>
  <c r="R98" i="20"/>
  <c r="H34" i="3" s="1"/>
  <c r="R93" i="20"/>
  <c r="H29" i="3" s="1"/>
  <c r="P31" i="19"/>
  <c r="P48" i="22"/>
  <c r="R68" i="18"/>
  <c r="R109" i="18"/>
  <c r="R61" i="20"/>
  <c r="R21" i="21"/>
  <c r="Q92" i="23"/>
  <c r="R74" i="21"/>
  <c r="R79" i="20"/>
  <c r="S44" i="25"/>
  <c r="H11" i="44"/>
  <c r="Q117" i="17" l="1"/>
  <c r="D28" i="2"/>
  <c r="R112" i="20"/>
  <c r="H49" i="3" s="1"/>
  <c r="P26" i="22"/>
  <c r="L53" i="15" s="1"/>
  <c r="R31" i="20"/>
  <c r="R31" i="19" s="1"/>
  <c r="H41" i="15" s="1"/>
  <c r="O117" i="17"/>
  <c r="J29" i="36"/>
  <c r="F43" i="40" l="1"/>
  <c r="F35" i="40"/>
  <c r="F22" i="40"/>
  <c r="F16" i="40"/>
  <c r="F45" i="39"/>
  <c r="F38" i="39"/>
  <c r="F28" i="39"/>
  <c r="F22" i="39"/>
  <c r="AD12" i="2"/>
  <c r="S20" i="24" l="1"/>
  <c r="S20" i="23" s="1"/>
  <c r="P35" i="15" s="1"/>
  <c r="S83" i="24"/>
  <c r="S83" i="23" s="1"/>
  <c r="P41" i="2" s="1"/>
  <c r="R54" i="21"/>
  <c r="P115" i="19"/>
  <c r="P35" i="19"/>
  <c r="P98" i="19"/>
  <c r="R128" i="18"/>
  <c r="P32" i="19"/>
  <c r="Q20" i="23"/>
  <c r="Q83" i="23"/>
  <c r="R103" i="20"/>
  <c r="O80" i="23"/>
  <c r="O82" i="23"/>
  <c r="O81" i="23"/>
  <c r="N31" i="19"/>
  <c r="O20" i="23"/>
  <c r="N35" i="19"/>
  <c r="N32" i="19"/>
  <c r="O92" i="23"/>
  <c r="F24" i="40"/>
  <c r="F46" i="40" s="1"/>
  <c r="F30" i="39"/>
  <c r="F48" i="39" s="1"/>
  <c r="Z26" i="43"/>
  <c r="R103" i="19" l="1"/>
  <c r="H38" i="2" s="1"/>
  <c r="H39" i="3"/>
  <c r="R86" i="21"/>
  <c r="R115" i="19" s="1"/>
  <c r="H50" i="2" s="1"/>
  <c r="R69" i="21"/>
  <c r="R98" i="19" s="1"/>
  <c r="H33" i="2" s="1"/>
  <c r="R32" i="20"/>
  <c r="R32" i="19" s="1"/>
  <c r="H42" i="15" s="1"/>
  <c r="R35" i="20"/>
  <c r="R35" i="19" s="1"/>
  <c r="H46" i="15" s="1"/>
  <c r="P103" i="19"/>
  <c r="N115" i="19"/>
  <c r="O83" i="23"/>
  <c r="N103" i="19"/>
  <c r="E71" i="34"/>
  <c r="S18" i="24" l="1"/>
  <c r="S18" i="23" s="1"/>
  <c r="P29" i="15" s="1"/>
  <c r="S42" i="24"/>
  <c r="Q18" i="26"/>
  <c r="B19" i="5" s="1"/>
  <c r="P27" i="22"/>
  <c r="L55" i="15" s="1"/>
  <c r="R114" i="18"/>
  <c r="Q59" i="23"/>
  <c r="R132" i="18"/>
  <c r="R130" i="18"/>
  <c r="Q18" i="23"/>
  <c r="R68" i="21"/>
  <c r="R118" i="18"/>
  <c r="O18" i="23"/>
  <c r="R20" i="18"/>
  <c r="R41" i="18"/>
  <c r="E40" i="44"/>
  <c r="E39" i="44"/>
  <c r="E37" i="44"/>
  <c r="E36" i="44"/>
  <c r="E35" i="44"/>
  <c r="E34" i="44"/>
  <c r="E51" i="44"/>
  <c r="E50" i="44"/>
  <c r="E49" i="44"/>
  <c r="E48" i="44"/>
  <c r="E47" i="44"/>
  <c r="E46" i="44"/>
  <c r="E45" i="44"/>
  <c r="E44" i="44"/>
  <c r="E43" i="44"/>
  <c r="E42" i="44"/>
  <c r="E41" i="44"/>
  <c r="E38" i="44"/>
  <c r="E33" i="44"/>
  <c r="E32" i="44"/>
  <c r="E31" i="44"/>
  <c r="E30" i="44"/>
  <c r="E29" i="44"/>
  <c r="E28" i="44"/>
  <c r="E27" i="44"/>
  <c r="E26" i="44"/>
  <c r="E25" i="44"/>
  <c r="E24" i="44"/>
  <c r="E23" i="44"/>
  <c r="E22" i="44"/>
  <c r="E21" i="44"/>
  <c r="E20" i="44"/>
  <c r="E19" i="44"/>
  <c r="E18" i="44"/>
  <c r="E17" i="44"/>
  <c r="E16" i="44"/>
  <c r="E15"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D37" i="2" l="1"/>
  <c r="Q122" i="17"/>
  <c r="D33" i="2"/>
  <c r="Q122" i="16"/>
  <c r="Q23" i="17"/>
  <c r="D18" i="15"/>
  <c r="Q23" i="16"/>
  <c r="Q45" i="17"/>
  <c r="D42" i="15"/>
  <c r="S41" i="25"/>
  <c r="S59" i="23" s="1"/>
  <c r="O23" i="17"/>
  <c r="O23" i="16"/>
  <c r="O45" i="17"/>
  <c r="O122" i="17"/>
  <c r="O122" i="16"/>
  <c r="M23" i="17"/>
  <c r="M23" i="16"/>
  <c r="M45" i="17"/>
  <c r="M82" i="23" l="1"/>
  <c r="M80" i="23"/>
  <c r="M81" i="23"/>
  <c r="E39" i="13"/>
  <c r="E49" i="7" s="1"/>
  <c r="A45" i="10"/>
  <c r="A53" i="9"/>
  <c r="A52" i="8"/>
  <c r="S74" i="24" l="1"/>
  <c r="S38" i="24"/>
  <c r="S51" i="25"/>
  <c r="S69" i="23" s="1"/>
  <c r="P25" i="2" s="1"/>
  <c r="Q28" i="26"/>
  <c r="B27" i="5" s="1"/>
  <c r="R57" i="20"/>
  <c r="R91" i="20"/>
  <c r="R72" i="20"/>
  <c r="Q69" i="23"/>
  <c r="P93" i="19"/>
  <c r="R49" i="21"/>
  <c r="R60" i="21"/>
  <c r="O69" i="23"/>
  <c r="R49" i="18"/>
  <c r="O59" i="23"/>
  <c r="O77" i="23"/>
  <c r="R43" i="18"/>
  <c r="L35" i="19"/>
  <c r="L32" i="19"/>
  <c r="M20" i="23"/>
  <c r="K80" i="23"/>
  <c r="J18" i="19"/>
  <c r="N22" i="35"/>
  <c r="H27" i="3" l="1"/>
  <c r="Q115" i="17"/>
  <c r="R57" i="19"/>
  <c r="Q81" i="16" s="1"/>
  <c r="Q81" i="17"/>
  <c r="D44" i="15"/>
  <c r="Q53" i="17"/>
  <c r="D51" i="15"/>
  <c r="Q53" i="16"/>
  <c r="R64" i="21"/>
  <c r="R93" i="19" s="1"/>
  <c r="O115" i="17"/>
  <c r="O53" i="17"/>
  <c r="O53" i="16"/>
  <c r="P57" i="19"/>
  <c r="O81" i="16" s="1"/>
  <c r="O81" i="17"/>
  <c r="N93" i="19"/>
  <c r="M117" i="17"/>
  <c r="N57" i="19"/>
  <c r="M81" i="16" s="1"/>
  <c r="M81" i="17"/>
  <c r="M53" i="17"/>
  <c r="M53" i="16"/>
  <c r="M65" i="17"/>
  <c r="K45" i="17"/>
  <c r="K23" i="17"/>
  <c r="K23" i="16"/>
  <c r="K53" i="17"/>
  <c r="K53" i="16"/>
  <c r="L57" i="19"/>
  <c r="K81" i="16" s="1"/>
  <c r="K81" i="17"/>
  <c r="K65" i="17"/>
  <c r="M77" i="23"/>
  <c r="M69" i="23"/>
  <c r="L93" i="19"/>
  <c r="K82" i="23"/>
  <c r="K81" i="23"/>
  <c r="R22" i="35"/>
  <c r="H28" i="2" l="1"/>
  <c r="J32" i="19"/>
  <c r="I44" i="44"/>
  <c r="I53" i="17" l="1"/>
  <c r="I53" i="16"/>
  <c r="J93" i="19"/>
  <c r="J57" i="19"/>
  <c r="I81" i="16" s="1"/>
  <c r="I81" i="17"/>
  <c r="K77" i="23" l="1"/>
  <c r="I21" i="17"/>
  <c r="I21" i="16" l="1"/>
  <c r="I45" i="17"/>
  <c r="B43" i="37"/>
  <c r="R43" i="37"/>
  <c r="T43" i="37"/>
  <c r="V43" i="37"/>
  <c r="X43" i="37"/>
  <c r="I24" i="17" l="1"/>
  <c r="I24" i="16"/>
  <c r="E59" i="23" l="1"/>
  <c r="K115" i="17" l="1"/>
  <c r="K21" i="17"/>
  <c r="K24" i="16"/>
  <c r="K21" i="16"/>
  <c r="K24" i="17"/>
  <c r="Z9" i="43"/>
  <c r="AB12" i="16"/>
  <c r="D17" i="19" l="1"/>
  <c r="D20" i="19"/>
  <c r="D21" i="19"/>
  <c r="D22" i="19"/>
  <c r="D23" i="19"/>
  <c r="D24" i="19"/>
  <c r="D25" i="19"/>
  <c r="D26" i="19"/>
  <c r="D27" i="19"/>
  <c r="D28" i="19"/>
  <c r="D31" i="19"/>
  <c r="D32" i="19"/>
  <c r="D33" i="19"/>
  <c r="D34" i="19"/>
  <c r="D35" i="19"/>
  <c r="I11" i="34" l="1"/>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P24" i="28" l="1"/>
  <c r="B23" i="6" s="1"/>
  <c r="O79" i="17"/>
  <c r="Q93" i="23"/>
  <c r="M21" i="17"/>
  <c r="M115" i="17"/>
  <c r="W25" i="14"/>
  <c r="W20" i="14"/>
  <c r="W22" i="14"/>
  <c r="K32" i="11"/>
  <c r="W20" i="11"/>
  <c r="W21" i="14"/>
  <c r="W22" i="11"/>
  <c r="W21" i="11"/>
  <c r="I115" i="17"/>
  <c r="D8" i="38"/>
  <c r="R18" i="18" l="1"/>
  <c r="Q21" i="17" s="1"/>
  <c r="S93" i="24"/>
  <c r="S93" i="23" s="1"/>
  <c r="P50" i="2" s="1"/>
  <c r="G102" i="42"/>
  <c r="R65" i="21"/>
  <c r="R55" i="20"/>
  <c r="Q79" i="17" s="1"/>
  <c r="O21" i="17"/>
  <c r="O21" i="16"/>
  <c r="M24" i="17"/>
  <c r="R21" i="18"/>
  <c r="M21" i="16"/>
  <c r="M24" i="16"/>
  <c r="J35" i="19"/>
  <c r="I81" i="23"/>
  <c r="I80" i="23"/>
  <c r="I82" i="23"/>
  <c r="I35" i="23"/>
  <c r="G80" i="23"/>
  <c r="G81" i="23"/>
  <c r="G82" i="23"/>
  <c r="G35" i="23"/>
  <c r="E35" i="23"/>
  <c r="Q21" i="16" l="1"/>
  <c r="D16" i="15"/>
  <c r="Q24" i="17"/>
  <c r="D19" i="15"/>
  <c r="Q24" i="16"/>
  <c r="O24" i="17"/>
  <c r="O24" i="16"/>
  <c r="J91" i="19"/>
  <c r="J20" i="19"/>
  <c r="K76" i="23"/>
  <c r="I22" i="16"/>
  <c r="K28" i="23"/>
  <c r="K23" i="23"/>
  <c r="I29" i="16"/>
  <c r="J33" i="19"/>
  <c r="J25" i="19"/>
  <c r="I25" i="17"/>
  <c r="I23" i="17"/>
  <c r="I23" i="16"/>
  <c r="H32" i="19"/>
  <c r="I45" i="23"/>
  <c r="I129" i="17" l="1"/>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7" i="44"/>
  <c r="I46" i="44"/>
  <c r="G129" i="17" l="1"/>
  <c r="I43"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K32" i="16" l="1"/>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J43" i="37" l="1"/>
  <c r="K67" i="17"/>
  <c r="K125" i="17"/>
  <c r="L78" i="19"/>
  <c r="K48" i="17"/>
  <c r="K48" i="16"/>
  <c r="K41" i="17"/>
  <c r="K41" i="16"/>
  <c r="I67" i="17"/>
  <c r="I48" i="17"/>
  <c r="I48" i="16"/>
  <c r="I41" i="17"/>
  <c r="I41" i="16"/>
  <c r="J78" i="19"/>
  <c r="I125" i="17"/>
  <c r="G125" i="17"/>
  <c r="G126" i="17"/>
  <c r="I25" i="23"/>
  <c r="I77" i="23"/>
  <c r="I19" i="23"/>
  <c r="H31" i="19"/>
  <c r="H89" i="19"/>
  <c r="E125" i="17"/>
  <c r="E126" i="17"/>
  <c r="I49" i="44"/>
  <c r="M33" i="40"/>
  <c r="M32" i="40"/>
  <c r="M31" i="40"/>
  <c r="M21" i="40"/>
  <c r="O19" i="23" l="1"/>
  <c r="N25" i="19"/>
  <c r="M22" i="17"/>
  <c r="O23" i="23"/>
  <c r="O76" i="23"/>
  <c r="N22" i="19"/>
  <c r="M129" i="17"/>
  <c r="N20" i="19"/>
  <c r="O28" i="23"/>
  <c r="N33" i="19"/>
  <c r="M57" i="17"/>
  <c r="M118" i="17"/>
  <c r="O25" i="23"/>
  <c r="M41" i="17"/>
  <c r="N91" i="19"/>
  <c r="M104" i="17"/>
  <c r="N55" i="19"/>
  <c r="N78" i="19"/>
  <c r="M29" i="17"/>
  <c r="G67" i="17"/>
  <c r="G41" i="17"/>
  <c r="G41" i="16"/>
  <c r="G24" i="17"/>
  <c r="G24" i="16"/>
  <c r="G48" i="17"/>
  <c r="G48" i="16"/>
  <c r="E41" i="16"/>
  <c r="E41" i="17"/>
  <c r="E48" i="16"/>
  <c r="E48" i="17"/>
  <c r="E24" i="16"/>
  <c r="E24" i="17"/>
  <c r="I19" i="44"/>
  <c r="S28" i="25" l="1"/>
  <c r="R111" i="18"/>
  <c r="R25" i="18"/>
  <c r="M25" i="17"/>
  <c r="R22" i="18"/>
  <c r="R31" i="18"/>
  <c r="R29" i="18"/>
  <c r="R44" i="18"/>
  <c r="N89" i="19"/>
  <c r="O45" i="23"/>
  <c r="M22" i="16"/>
  <c r="M41" i="16"/>
  <c r="M126" i="17"/>
  <c r="M57" i="16"/>
  <c r="M34" i="17"/>
  <c r="M67" i="17"/>
  <c r="M32" i="16"/>
  <c r="O35" i="23"/>
  <c r="L43" i="37"/>
  <c r="M28" i="16"/>
  <c r="M48" i="17"/>
  <c r="M25" i="16"/>
  <c r="M28" i="17"/>
  <c r="M32" i="17"/>
  <c r="M119" i="17"/>
  <c r="N95" i="19"/>
  <c r="M125" i="17"/>
  <c r="M29" i="16"/>
  <c r="N94" i="19"/>
  <c r="M34" i="16"/>
  <c r="M48" i="16"/>
  <c r="M20" i="40"/>
  <c r="D30" i="15" l="1"/>
  <c r="Q25" i="17"/>
  <c r="Q25" i="16"/>
  <c r="D20" i="15"/>
  <c r="D23" i="15"/>
  <c r="D28" i="15"/>
  <c r="D30" i="2"/>
  <c r="D45" i="15"/>
  <c r="O25" i="17"/>
  <c r="O25" i="16"/>
  <c r="I54" i="44"/>
  <c r="E54" i="44"/>
  <c r="I20" i="44"/>
  <c r="I28" i="45"/>
  <c r="E28" i="45"/>
  <c r="S19" i="24" l="1"/>
  <c r="S19" i="23" s="1"/>
  <c r="P32" i="15" s="1"/>
  <c r="P33" i="19"/>
  <c r="R33" i="20"/>
  <c r="R33" i="19" s="1"/>
  <c r="H43" i="15" s="1"/>
  <c r="P20" i="19"/>
  <c r="R20" i="20"/>
  <c r="R20" i="19" s="1"/>
  <c r="P25" i="19"/>
  <c r="R90" i="18"/>
  <c r="Q19" i="23"/>
  <c r="O57" i="17"/>
  <c r="P89" i="19"/>
  <c r="P78" i="19"/>
  <c r="P44" i="19"/>
  <c r="P22" i="19"/>
  <c r="Q23" i="23"/>
  <c r="O29" i="16"/>
  <c r="Q28" i="23"/>
  <c r="Q45" i="23"/>
  <c r="O22" i="16"/>
  <c r="P94" i="19"/>
  <c r="O41" i="17"/>
  <c r="Q76" i="23"/>
  <c r="P91" i="19"/>
  <c r="Q25" i="23"/>
  <c r="O104" i="17"/>
  <c r="P55" i="19"/>
  <c r="A50" i="7"/>
  <c r="I12" i="34"/>
  <c r="R71" i="18" l="1"/>
  <c r="R99" i="18"/>
  <c r="D19" i="2" s="1"/>
  <c r="P42" i="22"/>
  <c r="R64" i="18"/>
  <c r="H28" i="15"/>
  <c r="P61" i="22"/>
  <c r="P59" i="22"/>
  <c r="L37" i="2" s="1"/>
  <c r="P95" i="19"/>
  <c r="Q35" i="23"/>
  <c r="O67" i="17"/>
  <c r="O32" i="16"/>
  <c r="O118" i="17"/>
  <c r="O119" i="17"/>
  <c r="O28" i="16"/>
  <c r="O28" i="17"/>
  <c r="O32" i="17"/>
  <c r="O22" i="17"/>
  <c r="N43" i="37"/>
  <c r="O129" i="17"/>
  <c r="O34" i="17"/>
  <c r="O48" i="17"/>
  <c r="O48" i="16"/>
  <c r="O57" i="16"/>
  <c r="O126" i="17"/>
  <c r="O29" i="17"/>
  <c r="O34" i="16"/>
  <c r="O41" i="16"/>
  <c r="AB12" i="2"/>
  <c r="K11" i="30"/>
  <c r="C11" i="30" s="1"/>
  <c r="R133" i="18" l="1"/>
  <c r="Q129" i="17"/>
  <c r="L40" i="2"/>
  <c r="E33" i="12"/>
  <c r="E37" i="12" s="1"/>
  <c r="Z10" i="43"/>
  <c r="A10" i="1"/>
  <c r="O3" i="4"/>
  <c r="F10" i="36" s="1"/>
  <c r="T15" i="5"/>
  <c r="M44" i="39"/>
  <c r="M42" i="39"/>
  <c r="M41" i="39"/>
  <c r="M37" i="39"/>
  <c r="M35" i="39"/>
  <c r="M34" i="39"/>
  <c r="M27" i="39"/>
  <c r="M26" i="39"/>
  <c r="M25" i="39"/>
  <c r="M16" i="39"/>
  <c r="M17" i="39"/>
  <c r="M18" i="39"/>
  <c r="M19" i="39"/>
  <c r="M20" i="39"/>
  <c r="M21" i="39"/>
  <c r="M15" i="39"/>
  <c r="M42" i="40"/>
  <c r="M41" i="40"/>
  <c r="M39" i="40"/>
  <c r="M38" i="40"/>
  <c r="M29" i="40"/>
  <c r="M28" i="40"/>
  <c r="M19" i="40"/>
  <c r="M15" i="40"/>
  <c r="Z23" i="43"/>
  <c r="J40" i="43"/>
  <c r="J36" i="43"/>
  <c r="J17" i="43"/>
  <c r="C7" i="44" l="1"/>
  <c r="E9" i="44" s="1"/>
  <c r="A8" i="30"/>
  <c r="G12" i="34"/>
  <c r="K12" i="34" s="1"/>
  <c r="J42" i="43"/>
  <c r="F95" i="19" l="1"/>
  <c r="H95" i="19"/>
  <c r="F20" i="19"/>
  <c r="H20" i="19"/>
  <c r="C8" i="38"/>
  <c r="P20" i="22" l="1"/>
  <c r="AA21" i="22"/>
  <c r="R94" i="20"/>
  <c r="H30" i="3" s="1"/>
  <c r="G32" i="17"/>
  <c r="G32" i="16"/>
  <c r="G23" i="17"/>
  <c r="G23" i="16"/>
  <c r="F72" i="19"/>
  <c r="F103" i="19"/>
  <c r="F75" i="19"/>
  <c r="F101" i="19"/>
  <c r="E125" i="16" s="1"/>
  <c r="F102" i="19"/>
  <c r="F24" i="19"/>
  <c r="E79" i="17"/>
  <c r="E54" i="16"/>
  <c r="E91" i="17"/>
  <c r="E35" i="17"/>
  <c r="E113" i="17"/>
  <c r="E68" i="17"/>
  <c r="G24" i="23"/>
  <c r="E45" i="16" s="1"/>
  <c r="E23" i="16"/>
  <c r="E23" i="17"/>
  <c r="E32" i="16"/>
  <c r="E32" i="17"/>
  <c r="AB34" i="2"/>
  <c r="AB20" i="2"/>
  <c r="S76" i="24" l="1"/>
  <c r="S76" i="23" s="1"/>
  <c r="P32" i="2" s="1"/>
  <c r="R90" i="20"/>
  <c r="H26" i="3" s="1"/>
  <c r="P24" i="29"/>
  <c r="F23" i="6" s="1"/>
  <c r="I216" i="42"/>
  <c r="Q19" i="26"/>
  <c r="B20" i="5" s="1"/>
  <c r="M14" i="42"/>
  <c r="K102" i="42"/>
  <c r="P26" i="29"/>
  <c r="F25" i="6" s="1"/>
  <c r="P21" i="37"/>
  <c r="P37" i="37"/>
  <c r="K11" i="42"/>
  <c r="R95" i="20"/>
  <c r="Q119" i="17" s="1"/>
  <c r="R22" i="20"/>
  <c r="R22" i="19" s="1"/>
  <c r="H30" i="15" s="1"/>
  <c r="R85" i="18"/>
  <c r="I193" i="42"/>
  <c r="R102" i="20"/>
  <c r="H38" i="3" s="1"/>
  <c r="P24" i="27"/>
  <c r="F25" i="5" s="1"/>
  <c r="P18" i="37"/>
  <c r="W41" i="11"/>
  <c r="U41" i="11"/>
  <c r="P28" i="37"/>
  <c r="R84" i="18"/>
  <c r="R89" i="20"/>
  <c r="H25" i="3" s="1"/>
  <c r="P19" i="37"/>
  <c r="K193" i="42"/>
  <c r="Z43" i="37"/>
  <c r="P36" i="37"/>
  <c r="R44" i="20"/>
  <c r="R44" i="19" s="1"/>
  <c r="P16" i="37"/>
  <c r="R46" i="21"/>
  <c r="R77" i="20"/>
  <c r="R63" i="18"/>
  <c r="P69" i="22"/>
  <c r="L49" i="2" s="1"/>
  <c r="AA72" i="22"/>
  <c r="P23" i="22"/>
  <c r="L45" i="15" s="1"/>
  <c r="P41" i="37"/>
  <c r="P17" i="22"/>
  <c r="L23" i="15" s="1"/>
  <c r="P38" i="37"/>
  <c r="S45" i="24"/>
  <c r="S45" i="23" s="1"/>
  <c r="I263" i="42"/>
  <c r="R53" i="18"/>
  <c r="Q57" i="17" s="1"/>
  <c r="M86" i="42"/>
  <c r="S75" i="24"/>
  <c r="S25" i="24"/>
  <c r="S25" i="23" s="1"/>
  <c r="P46" i="15" s="1"/>
  <c r="R66" i="21"/>
  <c r="M179" i="42"/>
  <c r="S23" i="24"/>
  <c r="S23" i="23" s="1"/>
  <c r="P41" i="15" s="1"/>
  <c r="R60" i="18"/>
  <c r="R62" i="21"/>
  <c r="R91" i="19" s="1"/>
  <c r="H26" i="2" s="1"/>
  <c r="I39" i="14"/>
  <c r="K39" i="14"/>
  <c r="O20" i="34"/>
  <c r="R78" i="20"/>
  <c r="R78" i="19" s="1"/>
  <c r="R80" i="20"/>
  <c r="Q104" i="17" s="1"/>
  <c r="P17" i="27"/>
  <c r="F18" i="5" s="1"/>
  <c r="S28" i="24"/>
  <c r="S28" i="23" s="1"/>
  <c r="P53" i="15" s="1"/>
  <c r="AI35" i="23"/>
  <c r="AL18" i="25"/>
  <c r="P42" i="37"/>
  <c r="S35" i="24"/>
  <c r="AJ35" i="24"/>
  <c r="AL35" i="24" s="1"/>
  <c r="K263" i="42"/>
  <c r="R31" i="21"/>
  <c r="R55" i="19" s="1"/>
  <c r="P40" i="37"/>
  <c r="R76" i="20"/>
  <c r="R26" i="18"/>
  <c r="Q29" i="16" s="1"/>
  <c r="R37" i="18"/>
  <c r="Q41" i="16" s="1"/>
  <c r="R54" i="20"/>
  <c r="R68" i="20"/>
  <c r="R19" i="18"/>
  <c r="AC23" i="18"/>
  <c r="AC27" i="18" s="1"/>
  <c r="M190" i="42"/>
  <c r="K216" i="42"/>
  <c r="P70" i="22"/>
  <c r="L50" i="2" s="1"/>
  <c r="I102" i="42"/>
  <c r="R25" i="20"/>
  <c r="R25" i="19" s="1"/>
  <c r="H33" i="15" s="1"/>
  <c r="AJ18" i="25"/>
  <c r="S18" i="25"/>
  <c r="L14" i="2"/>
  <c r="L28" i="15"/>
  <c r="Q32" i="17"/>
  <c r="Q32" i="16"/>
  <c r="Q22" i="17"/>
  <c r="D17" i="15"/>
  <c r="Q48" i="16"/>
  <c r="Q48" i="17"/>
  <c r="Q22" i="16"/>
  <c r="S35" i="23"/>
  <c r="AF35" i="23" s="1"/>
  <c r="R94" i="19"/>
  <c r="H29" i="2" s="1"/>
  <c r="Q118" i="17"/>
  <c r="Q28" i="16"/>
  <c r="Q67" i="17"/>
  <c r="S24" i="24"/>
  <c r="S24" i="23" s="1"/>
  <c r="P25" i="28"/>
  <c r="B24" i="6" s="1"/>
  <c r="S50" i="24"/>
  <c r="P25" i="29"/>
  <c r="F24" i="6" s="1"/>
  <c r="S55" i="24"/>
  <c r="P15" i="37"/>
  <c r="Q27" i="26"/>
  <c r="B26" i="5" s="1"/>
  <c r="R46" i="20"/>
  <c r="P72" i="19"/>
  <c r="R113" i="18"/>
  <c r="P61" i="19"/>
  <c r="P23" i="19"/>
  <c r="R96" i="20"/>
  <c r="P102" i="19"/>
  <c r="P43" i="22"/>
  <c r="R75" i="20"/>
  <c r="R91" i="18"/>
  <c r="O68" i="17"/>
  <c r="Q24" i="23"/>
  <c r="R105" i="18"/>
  <c r="O91" i="17"/>
  <c r="N102" i="19"/>
  <c r="N23" i="19"/>
  <c r="N61" i="19"/>
  <c r="N72" i="19"/>
  <c r="R50" i="18"/>
  <c r="R33" i="18"/>
  <c r="M68" i="17"/>
  <c r="O24" i="23"/>
  <c r="M91" i="17"/>
  <c r="N24" i="19"/>
  <c r="N101" i="19"/>
  <c r="O54" i="34"/>
  <c r="K91" i="17"/>
  <c r="L101" i="19"/>
  <c r="L23" i="19"/>
  <c r="M24" i="23"/>
  <c r="L61" i="19"/>
  <c r="L103" i="19"/>
  <c r="L24" i="19"/>
  <c r="M59" i="23"/>
  <c r="L72" i="19"/>
  <c r="L102" i="19"/>
  <c r="K68" i="17"/>
  <c r="K41" i="11"/>
  <c r="W39" i="14"/>
  <c r="K39" i="12"/>
  <c r="K49" i="9"/>
  <c r="K40" i="9"/>
  <c r="K41" i="9"/>
  <c r="I11" i="42"/>
  <c r="I91" i="17"/>
  <c r="J102" i="19"/>
  <c r="O27" i="34"/>
  <c r="I39" i="12"/>
  <c r="I40" i="9"/>
  <c r="G216" i="42"/>
  <c r="I49" i="9"/>
  <c r="O28" i="34"/>
  <c r="I41" i="11"/>
  <c r="I210" i="42"/>
  <c r="K210" i="42"/>
  <c r="G210" i="42"/>
  <c r="K24" i="23"/>
  <c r="G263" i="42"/>
  <c r="U39" i="14"/>
  <c r="J101" i="19"/>
  <c r="I68" i="17"/>
  <c r="O26" i="34"/>
  <c r="K59" i="23"/>
  <c r="O19" i="34"/>
  <c r="O25" i="34"/>
  <c r="G11" i="42"/>
  <c r="J103" i="19"/>
  <c r="J24" i="19"/>
  <c r="I32" i="11"/>
  <c r="J23" i="19"/>
  <c r="O29" i="34"/>
  <c r="I41" i="9"/>
  <c r="U25" i="14"/>
  <c r="J72" i="19"/>
  <c r="G193" i="42"/>
  <c r="I71" i="34"/>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C31" i="9"/>
  <c r="AL35" i="23" l="1"/>
  <c r="AN35" i="23" s="1"/>
  <c r="P43" i="37"/>
  <c r="Q34" i="17"/>
  <c r="R95" i="19"/>
  <c r="H30" i="2" s="1"/>
  <c r="Q34" i="16"/>
  <c r="H31" i="3"/>
  <c r="R89" i="19"/>
  <c r="H24" i="2" s="1"/>
  <c r="D24" i="15"/>
  <c r="Q28" i="17"/>
  <c r="Q57" i="16"/>
  <c r="Q29" i="17"/>
  <c r="D37" i="15"/>
  <c r="Q41" i="17"/>
  <c r="K266" i="42"/>
  <c r="D55" i="15"/>
  <c r="Q126" i="17"/>
  <c r="D32" i="2"/>
  <c r="Q113" i="17"/>
  <c r="D24" i="2"/>
  <c r="Q37" i="17"/>
  <c r="D33" i="15"/>
  <c r="Q37" i="16"/>
  <c r="Q54" i="17"/>
  <c r="Q54" i="16"/>
  <c r="D52" i="15"/>
  <c r="R75" i="19"/>
  <c r="H32" i="3"/>
  <c r="Q120" i="17"/>
  <c r="P42" i="15"/>
  <c r="Q45" i="16"/>
  <c r="R45" i="20"/>
  <c r="Q68" i="17" s="1"/>
  <c r="R43" i="21"/>
  <c r="R72" i="19" s="1"/>
  <c r="R32" i="21"/>
  <c r="R61" i="19" s="1"/>
  <c r="P24" i="19"/>
  <c r="R24" i="20"/>
  <c r="R24" i="19" s="1"/>
  <c r="H32" i="15" s="1"/>
  <c r="R83" i="20"/>
  <c r="Q107" i="17" s="1"/>
  <c r="P101" i="19"/>
  <c r="R72" i="21"/>
  <c r="R101" i="19" s="1"/>
  <c r="R73" i="21"/>
  <c r="R102" i="19" s="1"/>
  <c r="R23" i="20"/>
  <c r="R23" i="19" s="1"/>
  <c r="R67" i="20"/>
  <c r="Q91" i="17" s="1"/>
  <c r="O113" i="17"/>
  <c r="O120" i="17"/>
  <c r="O35" i="17"/>
  <c r="O35" i="16"/>
  <c r="O126" i="16"/>
  <c r="O37" i="17"/>
  <c r="O37" i="16"/>
  <c r="O54" i="17"/>
  <c r="O54" i="16"/>
  <c r="O45" i="16"/>
  <c r="P75" i="19"/>
  <c r="P83" i="19"/>
  <c r="M54" i="17"/>
  <c r="M54" i="16"/>
  <c r="M113" i="17"/>
  <c r="M125" i="16"/>
  <c r="M37" i="17"/>
  <c r="M37" i="16"/>
  <c r="M126" i="16"/>
  <c r="N98" i="19"/>
  <c r="M122" i="17"/>
  <c r="N75" i="19"/>
  <c r="M79" i="17"/>
  <c r="M120" i="17"/>
  <c r="M45" i="16"/>
  <c r="M35" i="17"/>
  <c r="M35" i="16"/>
  <c r="N83" i="19"/>
  <c r="M107" i="17"/>
  <c r="K126" i="16"/>
  <c r="K120" i="17"/>
  <c r="K45" i="16"/>
  <c r="K113" i="17"/>
  <c r="K107" i="17"/>
  <c r="K35" i="17"/>
  <c r="K35" i="16"/>
  <c r="L75" i="19"/>
  <c r="K125" i="16"/>
  <c r="K79" i="17"/>
  <c r="K37" i="17"/>
  <c r="K37" i="16"/>
  <c r="K54" i="17"/>
  <c r="K54" i="16"/>
  <c r="L98" i="19"/>
  <c r="K122" i="17"/>
  <c r="L83" i="19"/>
  <c r="I266" i="42"/>
  <c r="I107" i="17"/>
  <c r="I120" i="17"/>
  <c r="I45" i="16"/>
  <c r="I79" i="17"/>
  <c r="I113" i="17"/>
  <c r="I35" i="17"/>
  <c r="I35" i="16"/>
  <c r="I54" i="17"/>
  <c r="I54" i="16"/>
  <c r="J75" i="19"/>
  <c r="I126" i="16"/>
  <c r="I125" i="16"/>
  <c r="J98" i="19"/>
  <c r="I122" i="17"/>
  <c r="I37" i="17"/>
  <c r="I37" i="16"/>
  <c r="G266" i="42"/>
  <c r="J83" i="19"/>
  <c r="G79" i="17"/>
  <c r="H75" i="19"/>
  <c r="G113" i="17"/>
  <c r="G120" i="17"/>
  <c r="H93" i="19"/>
  <c r="H83" i="19"/>
  <c r="G54" i="17"/>
  <c r="G54" i="16"/>
  <c r="G35" i="17"/>
  <c r="G35" i="16"/>
  <c r="G126" i="16"/>
  <c r="G125" i="16"/>
  <c r="G45" i="16"/>
  <c r="E35" i="16"/>
  <c r="Q35" i="17" l="1"/>
  <c r="H31" i="15"/>
  <c r="Q35" i="16"/>
  <c r="H36" i="2"/>
  <c r="Q125" i="16"/>
  <c r="R83" i="19"/>
  <c r="H20" i="3"/>
  <c r="H37" i="2"/>
  <c r="Q126" i="16"/>
  <c r="O125" i="16"/>
  <c r="M122" i="16"/>
  <c r="K122" i="16"/>
  <c r="I122" i="16"/>
  <c r="AI24" i="20"/>
  <c r="AK24" i="20" s="1"/>
  <c r="H19" i="2" l="1"/>
  <c r="C7" i="45"/>
  <c r="G7" i="44"/>
  <c r="G7" i="45" s="1"/>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O27" i="14"/>
  <c r="AI78" i="20" l="1"/>
  <c r="AK78" i="20" s="1"/>
  <c r="AI32" i="20"/>
  <c r="AK32" i="20" s="1"/>
  <c r="E31" i="9"/>
  <c r="AB9" i="20"/>
  <c r="AB9" i="21"/>
  <c r="AB51" i="2"/>
  <c r="O26" i="23" l="1"/>
  <c r="O21" i="23"/>
  <c r="N23" i="18"/>
  <c r="O29" i="23"/>
  <c r="N115" i="20"/>
  <c r="AE14" i="16"/>
  <c r="P13" i="35" s="1"/>
  <c r="N49" i="2"/>
  <c r="N37" i="2"/>
  <c r="O205" i="42" l="1"/>
  <c r="M26" i="16"/>
  <c r="M30" i="16" s="1"/>
  <c r="M26" i="17"/>
  <c r="O31" i="23"/>
  <c r="F32" i="2"/>
  <c r="M205" i="42" l="1"/>
  <c r="H17" i="43" l="1"/>
  <c r="J115" i="20" l="1"/>
  <c r="S31" i="11" l="1"/>
  <c r="W31" i="11" s="1"/>
  <c r="U31" i="11" l="1"/>
  <c r="I14" i="44" l="1"/>
  <c r="N19" i="2" l="1"/>
  <c r="N50" i="2"/>
  <c r="N51" i="2" s="1"/>
  <c r="N40" i="2"/>
  <c r="S24" i="14"/>
  <c r="AI74" i="21"/>
  <c r="U24" i="14" l="1"/>
  <c r="W24" i="14"/>
  <c r="H35" i="5"/>
  <c r="H18" i="5"/>
  <c r="C39" i="13" l="1"/>
  <c r="I50" i="44" l="1"/>
  <c r="N15" i="2" l="1"/>
  <c r="S24" i="11"/>
  <c r="W24" i="11" s="1"/>
  <c r="AD51" i="18"/>
  <c r="U24" i="11" l="1"/>
  <c r="F36" i="2"/>
  <c r="F18" i="15" l="1"/>
  <c r="E18" i="23" l="1"/>
  <c r="J23" i="18"/>
  <c r="L23" i="18"/>
  <c r="AI90" i="20" l="1"/>
  <c r="AK90" i="20" s="1"/>
  <c r="AI93" i="20"/>
  <c r="AK93" i="20" s="1"/>
  <c r="M34" i="40" l="1"/>
  <c r="M43" i="40" l="1"/>
  <c r="Z34" i="43" l="1"/>
  <c r="H26" i="45" l="1"/>
  <c r="G26" i="45"/>
  <c r="G30" i="45" l="1"/>
  <c r="H30" i="45"/>
  <c r="D26" i="45" l="1"/>
  <c r="D30" i="45" l="1"/>
  <c r="AI45" i="20"/>
  <c r="AK45" i="20" s="1"/>
  <c r="AI31" i="20"/>
  <c r="AK31" i="20" s="1"/>
  <c r="E26" i="45"/>
  <c r="Q29" i="23" l="1"/>
  <c r="P23" i="18"/>
  <c r="Q21" i="23"/>
  <c r="P115" i="20"/>
  <c r="O26" i="16"/>
  <c r="O26" i="17"/>
  <c r="Q26" i="23"/>
  <c r="E30" i="45"/>
  <c r="I26" i="45"/>
  <c r="G24" i="11"/>
  <c r="I24" i="11" l="1"/>
  <c r="K24" i="11"/>
  <c r="O30" i="16"/>
  <c r="Q31" i="23"/>
  <c r="I30" i="45"/>
  <c r="Q35" i="11" l="1"/>
  <c r="Z30" i="43" l="1"/>
  <c r="Z29" i="43"/>
  <c r="M12" i="39" l="1"/>
  <c r="Z20" i="43" l="1"/>
  <c r="A43" i="13" l="1"/>
  <c r="A43" i="12"/>
  <c r="A45" i="11"/>
  <c r="A43" i="14"/>
  <c r="I51" i="44" l="1"/>
  <c r="I48" i="44"/>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H29" i="36"/>
  <c r="H21" i="36"/>
  <c r="J21" i="36" s="1"/>
  <c r="E52" i="44" l="1"/>
  <c r="D52" i="44"/>
  <c r="D43" i="40"/>
  <c r="D35" i="40"/>
  <c r="D22" i="40"/>
  <c r="D16" i="40"/>
  <c r="D45" i="39"/>
  <c r="D38" i="39"/>
  <c r="D28" i="39"/>
  <c r="D22" i="39"/>
  <c r="D56" i="44" l="1"/>
  <c r="E56" i="44"/>
  <c r="D30" i="39"/>
  <c r="D48" i="39" s="1"/>
  <c r="D50" i="39" s="1"/>
  <c r="F12" i="39" s="1"/>
  <c r="D24" i="40"/>
  <c r="D46" i="40" s="1"/>
  <c r="D48" i="40" s="1"/>
  <c r="F50" i="39" l="1"/>
  <c r="H12" i="39" s="1"/>
  <c r="F12" i="40"/>
  <c r="F48" i="40" s="1"/>
  <c r="Y21" i="26"/>
  <c r="W21" i="26"/>
  <c r="U21" i="26"/>
  <c r="O21" i="26"/>
  <c r="M21" i="26"/>
  <c r="K21" i="26"/>
  <c r="M29" i="24"/>
  <c r="O29" i="24"/>
  <c r="Q29" i="24"/>
  <c r="H12" i="40" l="1"/>
  <c r="H48" i="40" s="1"/>
  <c r="J12" i="40" s="1"/>
  <c r="J48" i="40" s="1"/>
  <c r="H50" i="39"/>
  <c r="J12" i="39" s="1"/>
  <c r="J50" i="39" s="1"/>
  <c r="N19" i="29"/>
  <c r="L19" i="29"/>
  <c r="J19" i="29"/>
  <c r="N19" i="28"/>
  <c r="L19" i="28"/>
  <c r="X24" i="22"/>
  <c r="X21" i="22"/>
  <c r="V24" i="22"/>
  <c r="V21" i="22"/>
  <c r="T24" i="22"/>
  <c r="T21" i="22"/>
  <c r="R24" i="22"/>
  <c r="R21" i="22"/>
  <c r="P21" i="22"/>
  <c r="L15" i="2" s="1"/>
  <c r="N24" i="22"/>
  <c r="N21" i="22"/>
  <c r="L24" i="22"/>
  <c r="L21" i="22"/>
  <c r="J24" i="22"/>
  <c r="J21" i="22"/>
  <c r="X19" i="27"/>
  <c r="V19" i="27"/>
  <c r="T19" i="27"/>
  <c r="R19" i="27"/>
  <c r="P19" i="27"/>
  <c r="N19" i="27"/>
  <c r="L19" i="27"/>
  <c r="J19" i="27"/>
  <c r="H19" i="27"/>
  <c r="G32" i="12" l="1"/>
  <c r="G26" i="12"/>
  <c r="G25" i="12"/>
  <c r="G32" i="14"/>
  <c r="G30" i="12"/>
  <c r="G31" i="12"/>
  <c r="I21" i="26"/>
  <c r="H21" i="22"/>
  <c r="K29" i="24"/>
  <c r="H24" i="22"/>
  <c r="M26" i="24"/>
  <c r="N28" i="29"/>
  <c r="N32" i="29" s="1"/>
  <c r="J28" i="28"/>
  <c r="N28" i="28"/>
  <c r="N32" i="28" s="1"/>
  <c r="L28" i="29"/>
  <c r="L32" i="29" s="1"/>
  <c r="V63" i="22"/>
  <c r="O21" i="24"/>
  <c r="X28" i="22"/>
  <c r="L72" i="22"/>
  <c r="P72" i="22"/>
  <c r="T72" i="22"/>
  <c r="X72" i="22"/>
  <c r="H28" i="28"/>
  <c r="T28" i="28"/>
  <c r="V28" i="28"/>
  <c r="J28" i="29"/>
  <c r="J32" i="29" s="1"/>
  <c r="L28" i="28"/>
  <c r="L32" i="28" s="1"/>
  <c r="X28" i="28"/>
  <c r="H28" i="29"/>
  <c r="J72" i="22"/>
  <c r="N72" i="22"/>
  <c r="V72" i="22"/>
  <c r="H28" i="22"/>
  <c r="J28" i="22"/>
  <c r="N28" i="22"/>
  <c r="K26" i="24"/>
  <c r="V28" i="22"/>
  <c r="Q26" i="24"/>
  <c r="AA21" i="24"/>
  <c r="M21" i="24"/>
  <c r="K21" i="24"/>
  <c r="O26" i="24"/>
  <c r="Q21" i="24"/>
  <c r="R72" i="22"/>
  <c r="X63" i="22"/>
  <c r="T63" i="22"/>
  <c r="J63" i="22"/>
  <c r="L28" i="22"/>
  <c r="L63" i="22"/>
  <c r="N63" i="22"/>
  <c r="P63" i="22"/>
  <c r="R63" i="22"/>
  <c r="X28" i="27"/>
  <c r="X32" i="27" s="1"/>
  <c r="N28" i="27"/>
  <c r="N32" i="27" s="1"/>
  <c r="L28" i="27"/>
  <c r="L32" i="27" s="1"/>
  <c r="T28" i="27"/>
  <c r="T32" i="27" s="1"/>
  <c r="V28" i="27"/>
  <c r="V32" i="27" s="1"/>
  <c r="J28" i="27"/>
  <c r="J32" i="27" s="1"/>
  <c r="H28" i="27"/>
  <c r="H32" i="27" s="1"/>
  <c r="I31" i="12" l="1"/>
  <c r="K31" i="12"/>
  <c r="I30" i="12"/>
  <c r="K30" i="12"/>
  <c r="I32" i="14"/>
  <c r="K32" i="14"/>
  <c r="I25" i="12"/>
  <c r="K25" i="12"/>
  <c r="I26" i="12"/>
  <c r="K26" i="12"/>
  <c r="I32" i="12"/>
  <c r="K32" i="12"/>
  <c r="S31" i="14"/>
  <c r="X30" i="22"/>
  <c r="V30" i="22"/>
  <c r="N30" i="22"/>
  <c r="L30" i="22"/>
  <c r="J30" i="22"/>
  <c r="H63" i="22"/>
  <c r="H72" i="22"/>
  <c r="H30" i="22"/>
  <c r="M31" i="24"/>
  <c r="Q31" i="24"/>
  <c r="O31" i="24"/>
  <c r="K31" i="24"/>
  <c r="AD19" i="28"/>
  <c r="AD19" i="27"/>
  <c r="AA19" i="27"/>
  <c r="F19" i="27"/>
  <c r="D19" i="27"/>
  <c r="I29" i="24"/>
  <c r="G29" i="24"/>
  <c r="G21" i="12"/>
  <c r="F63" i="22"/>
  <c r="F24" i="22"/>
  <c r="F21" i="22"/>
  <c r="D24" i="22"/>
  <c r="D21" i="22"/>
  <c r="I21" i="12" l="1"/>
  <c r="K21" i="12"/>
  <c r="U31" i="14"/>
  <c r="W31" i="14"/>
  <c r="E48" i="8"/>
  <c r="E26" i="11"/>
  <c r="E21" i="26"/>
  <c r="G33" i="12"/>
  <c r="F28" i="28"/>
  <c r="D63" i="22"/>
  <c r="AA63" i="22"/>
  <c r="F28" i="27"/>
  <c r="F32" i="27" s="1"/>
  <c r="D28" i="28"/>
  <c r="O35" i="11"/>
  <c r="E27" i="14"/>
  <c r="O33" i="14"/>
  <c r="O37" i="14" s="1"/>
  <c r="Q33" i="14"/>
  <c r="E35" i="11"/>
  <c r="Q26" i="11"/>
  <c r="E33" i="14"/>
  <c r="I21" i="24"/>
  <c r="D28" i="27"/>
  <c r="D32" i="27" s="1"/>
  <c r="O26" i="11"/>
  <c r="G21" i="26"/>
  <c r="D28" i="22"/>
  <c r="G21" i="24"/>
  <c r="F28" i="22"/>
  <c r="F30" i="22" l="1"/>
  <c r="E37" i="14"/>
  <c r="Q37" i="14"/>
  <c r="Q40" i="14" s="1"/>
  <c r="D30" i="22"/>
  <c r="K33" i="12"/>
  <c r="O39" i="11"/>
  <c r="Q39" i="11"/>
  <c r="E39" i="11"/>
  <c r="C48" i="8" l="1"/>
  <c r="A51" i="8" l="1"/>
  <c r="Z28" i="43" l="1"/>
  <c r="AE12" i="26" l="1"/>
  <c r="V12" i="2"/>
  <c r="X12" i="2"/>
  <c r="T9" i="37" l="1"/>
  <c r="AI20" i="20" l="1"/>
  <c r="AK20" i="20" s="1"/>
  <c r="B15" i="6"/>
  <c r="F15" i="6" l="1"/>
  <c r="L15" i="6" s="1"/>
  <c r="Q19" i="29"/>
  <c r="E9" i="45" l="1"/>
  <c r="D72" i="22" l="1"/>
  <c r="F56"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M12" i="40" l="1"/>
  <c r="H52" i="44"/>
  <c r="H56" i="44" l="1"/>
  <c r="C52" i="44"/>
  <c r="C56" i="44" l="1"/>
  <c r="C26" i="45"/>
  <c r="C30" i="45" s="1"/>
  <c r="I29" i="23" l="1"/>
  <c r="AA24" i="22" l="1"/>
  <c r="G22" i="12" s="1"/>
  <c r="G31" i="14"/>
  <c r="Z16" i="43"/>
  <c r="Z15" i="43"/>
  <c r="Z12" i="43"/>
  <c r="Z17" i="43" l="1"/>
  <c r="I31" i="14"/>
  <c r="K31" i="14"/>
  <c r="I22" i="12"/>
  <c r="K22" i="12"/>
  <c r="N16" i="2"/>
  <c r="P24" i="22"/>
  <c r="L16" i="2" s="1"/>
  <c r="C48" i="16" l="1"/>
  <c r="C48" i="17"/>
  <c r="B24" i="22"/>
  <c r="S34" i="11" l="1"/>
  <c r="AI33" i="20"/>
  <c r="N45" i="15"/>
  <c r="U34" i="11" l="1"/>
  <c r="W34" i="11"/>
  <c r="AK33" i="20"/>
  <c r="L47" i="15"/>
  <c r="N17" i="3"/>
  <c r="L17" i="3" l="1"/>
  <c r="F45" i="15" l="1"/>
  <c r="X45" i="15" s="1"/>
  <c r="AB48" i="16" l="1"/>
  <c r="AB48" i="17"/>
  <c r="V45" i="15"/>
  <c r="Z21" i="43" l="1"/>
  <c r="Z27" i="43"/>
  <c r="AI83" i="23" l="1"/>
  <c r="AI19" i="23"/>
  <c r="D37" i="3"/>
  <c r="H27" i="5"/>
  <c r="D33" i="3"/>
  <c r="F33" i="15"/>
  <c r="Z33" i="43" l="1"/>
  <c r="P28" i="22" l="1"/>
  <c r="L17" i="2" s="1"/>
  <c r="R115" i="20"/>
  <c r="P19" i="28"/>
  <c r="P28" i="29"/>
  <c r="P19" i="29"/>
  <c r="P28" i="28"/>
  <c r="R23" i="18" l="1"/>
  <c r="P28" i="27"/>
  <c r="P32" i="27" s="1"/>
  <c r="Q21" i="26"/>
  <c r="S26" i="24"/>
  <c r="S29" i="24"/>
  <c r="P32" i="28"/>
  <c r="P32" i="29"/>
  <c r="P30" i="22"/>
  <c r="D15" i="6"/>
  <c r="D14" i="6"/>
  <c r="D15" i="5"/>
  <c r="D14" i="5"/>
  <c r="AD21" i="22" l="1"/>
  <c r="AH23" i="19"/>
  <c r="AI23" i="20"/>
  <c r="AK23" i="20" s="1"/>
  <c r="S29" i="23"/>
  <c r="P17" i="2" s="1"/>
  <c r="F13" i="15"/>
  <c r="X13" i="15" s="1"/>
  <c r="F12" i="15"/>
  <c r="Z39" i="43" l="1"/>
  <c r="C71"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G52" i="44" l="1"/>
  <c r="AB21" i="26" l="1"/>
  <c r="AA28" i="27"/>
  <c r="AA32" i="27" s="1"/>
  <c r="H26" i="5"/>
  <c r="G56" i="44"/>
  <c r="R28" i="27" l="1"/>
  <c r="R32" i="27" s="1"/>
  <c r="S21" i="26"/>
  <c r="C41" i="10"/>
  <c r="C49" i="7" l="1"/>
  <c r="B17" i="43"/>
  <c r="F28" i="2" l="1"/>
  <c r="D29" i="3"/>
  <c r="D31" i="3"/>
  <c r="F30" i="2"/>
  <c r="F24" i="2"/>
  <c r="D25" i="3" l="1"/>
  <c r="AI72" i="20" l="1"/>
  <c r="AK72" i="20" s="1"/>
  <c r="N23" i="15"/>
  <c r="G20" i="12"/>
  <c r="N14" i="2"/>
  <c r="AI94" i="20"/>
  <c r="AK94" i="20" s="1"/>
  <c r="S30" i="11"/>
  <c r="B6" i="24"/>
  <c r="I20" i="12" l="1"/>
  <c r="K20" i="12"/>
  <c r="U30" i="11"/>
  <c r="W30" i="11"/>
  <c r="J56" i="15"/>
  <c r="H56" i="15"/>
  <c r="M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U78" i="24" l="1"/>
  <c r="U85" i="24" s="1"/>
  <c r="S42" i="26"/>
  <c r="U76" i="25"/>
  <c r="R19" i="28"/>
  <c r="R32" i="28" s="1"/>
  <c r="T88" i="21"/>
  <c r="R25" i="37"/>
  <c r="U95" i="24"/>
  <c r="R39" i="28"/>
  <c r="T115" i="20"/>
  <c r="R28" i="22"/>
  <c r="R19" i="29"/>
  <c r="S31" i="26"/>
  <c r="S35" i="26" s="1"/>
  <c r="U26" i="23"/>
  <c r="AF18" i="23"/>
  <c r="T36" i="19" l="1"/>
  <c r="U26" i="24"/>
  <c r="T52" i="21"/>
  <c r="T56" i="21" s="1"/>
  <c r="T36" i="20"/>
  <c r="T46" i="18"/>
  <c r="R33" i="37"/>
  <c r="R45"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0" i="42" l="1"/>
  <c r="S60" i="17"/>
  <c r="S109" i="17" s="1"/>
  <c r="S135" i="17" s="1"/>
  <c r="S145" i="17" s="1"/>
  <c r="T38" i="19"/>
  <c r="T85" i="19" s="1"/>
  <c r="T111" i="19" s="1"/>
  <c r="T121" i="19" s="1"/>
  <c r="AD19" i="29" l="1"/>
  <c r="AJ18" i="24"/>
  <c r="AL18" i="24" s="1"/>
  <c r="AI18" i="23"/>
  <c r="AG21" i="24"/>
  <c r="AI55" i="20"/>
  <c r="AK55" i="20" s="1"/>
  <c r="C126" i="17" l="1"/>
  <c r="M16" i="40"/>
  <c r="M24" i="40" l="1"/>
  <c r="A42" i="12" l="1"/>
  <c r="C20" i="41" l="1"/>
  <c r="C24" i="41" s="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I23" i="12" l="1"/>
  <c r="K23" i="12"/>
  <c r="T30" i="22"/>
  <c r="I26" i="17" l="1"/>
  <c r="I26" i="16"/>
  <c r="AI80" i="20" l="1"/>
  <c r="AK80" i="20" s="1"/>
  <c r="G34" i="11" l="1"/>
  <c r="K34" i="11" s="1"/>
  <c r="G21" i="23"/>
  <c r="L34" i="2"/>
  <c r="I34" i="11" l="1"/>
  <c r="W21" i="23"/>
  <c r="W26" i="24"/>
  <c r="U31" i="26"/>
  <c r="U35" i="26" s="1"/>
  <c r="T19" i="29"/>
  <c r="V88" i="21"/>
  <c r="V115" i="20"/>
  <c r="W21" i="24"/>
  <c r="V36" i="20"/>
  <c r="G29" i="23"/>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M22" i="39"/>
  <c r="M45" i="39"/>
  <c r="M38" i="39"/>
  <c r="M28" i="39"/>
  <c r="U42" i="16" l="1"/>
  <c r="U60" i="16" s="1"/>
  <c r="U109" i="16" s="1"/>
  <c r="U132" i="16"/>
  <c r="U60" i="17"/>
  <c r="U109" i="17" s="1"/>
  <c r="U135" i="17" s="1"/>
  <c r="U145" i="17" s="1"/>
  <c r="V85" i="19"/>
  <c r="V111" i="19" s="1"/>
  <c r="V121" i="19" s="1"/>
  <c r="M30" i="39"/>
  <c r="U135" i="16" l="1"/>
  <c r="M48" i="39"/>
  <c r="M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P16" i="2" s="1"/>
  <c r="L51" i="2"/>
  <c r="A6" i="37"/>
  <c r="B9" i="37"/>
  <c r="F18" i="32" l="1"/>
  <c r="A5" i="45"/>
  <c r="A6" i="38"/>
  <c r="A6" i="39" s="1"/>
  <c r="AJ20" i="24" l="1"/>
  <c r="AL20" i="24" s="1"/>
  <c r="AD21" i="24"/>
  <c r="G20" i="14" s="1"/>
  <c r="B6" i="40"/>
  <c r="M10" i="39"/>
  <c r="M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I20" i="14" l="1"/>
  <c r="K20" i="14"/>
  <c r="Y21" i="24"/>
  <c r="Y21" i="23"/>
  <c r="AF20" i="23"/>
  <c r="AI24" i="23"/>
  <c r="F29" i="5" l="1"/>
  <c r="F29" i="2" l="1"/>
  <c r="D30" i="3" l="1"/>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U31" i="23" l="1"/>
  <c r="I30" i="16"/>
  <c r="B72" i="22"/>
  <c r="S42" i="16"/>
  <c r="S123" i="16"/>
  <c r="S132" i="16" s="1"/>
  <c r="S50" i="16"/>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K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AG24" i="29"/>
  <c r="AI24" i="29" s="1"/>
  <c r="AE115" i="19" l="1"/>
  <c r="E29" i="8"/>
  <c r="E21" i="8"/>
  <c r="E32" i="8"/>
  <c r="E30" i="8"/>
  <c r="E40" i="7"/>
  <c r="E25" i="8"/>
  <c r="E24" i="8"/>
  <c r="E33" i="8"/>
  <c r="E23" i="8"/>
  <c r="E31" i="8"/>
  <c r="E20" i="8"/>
  <c r="V44" i="27"/>
  <c r="T44" i="27"/>
  <c r="R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F24" i="18"/>
  <c r="R24" i="18"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R27" i="18" l="1"/>
  <c r="D14" i="2" s="1"/>
  <c r="D22" i="15"/>
  <c r="P27" i="18"/>
  <c r="N27" i="18"/>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K72" i="23"/>
  <c r="J88" i="21"/>
  <c r="I83" i="17"/>
  <c r="I64" i="17"/>
  <c r="J26" i="19"/>
  <c r="K42" i="23"/>
  <c r="G27" i="9"/>
  <c r="I27" i="9" s="1"/>
  <c r="J54" i="19"/>
  <c r="J90" i="19"/>
  <c r="J105" i="19"/>
  <c r="J21" i="19"/>
  <c r="K38" i="23"/>
  <c r="I101" i="17"/>
  <c r="I65" i="17"/>
  <c r="H19" i="29"/>
  <c r="H32" i="29" s="1"/>
  <c r="F19" i="6"/>
  <c r="F29" i="6" s="1"/>
  <c r="AE61" i="19"/>
  <c r="AK61" i="19" s="1"/>
  <c r="AM61" i="19"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7"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K83" i="20" s="1"/>
  <c r="AH83" i="19"/>
  <c r="AK83" i="19" s="1"/>
  <c r="AM83" i="19" s="1"/>
  <c r="AI75" i="20"/>
  <c r="AK75" i="20" s="1"/>
  <c r="AH75" i="19"/>
  <c r="AK75" i="19" s="1"/>
  <c r="AM75" i="19" s="1"/>
  <c r="O93" i="23"/>
  <c r="S32" i="14"/>
  <c r="U32" i="14" s="1"/>
  <c r="AJ59" i="25"/>
  <c r="AL59" i="25"/>
  <c r="AI77" i="23"/>
  <c r="AL77" i="23" s="1"/>
  <c r="AN77" i="23" s="1"/>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M72" i="23"/>
  <c r="K117" i="16" s="1"/>
  <c r="K46" i="16"/>
  <c r="K33" i="17"/>
  <c r="M68" i="23"/>
  <c r="L97" i="19"/>
  <c r="K26" i="14"/>
  <c r="M95" i="23"/>
  <c r="K69" i="16"/>
  <c r="J51" i="22"/>
  <c r="J39" i="29"/>
  <c r="J44" i="29" s="1"/>
  <c r="AF92" i="23"/>
  <c r="R49" i="2"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44" i="19"/>
  <c r="AE44" i="19" s="1"/>
  <c r="AI79" i="20"/>
  <c r="AK79" i="20" s="1"/>
  <c r="AI40" i="18"/>
  <c r="AK40" i="18" s="1"/>
  <c r="F41" i="15"/>
  <c r="X41" i="15"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O98" i="17" l="1"/>
  <c r="P54" i="19"/>
  <c r="Q40" i="23"/>
  <c r="P27" i="19"/>
  <c r="P67" i="19"/>
  <c r="Q70" i="23"/>
  <c r="Q74" i="23"/>
  <c r="P45" i="19"/>
  <c r="O68" i="16" s="1"/>
  <c r="O88" i="17"/>
  <c r="Q56" i="23"/>
  <c r="P79" i="19"/>
  <c r="Q58" i="23"/>
  <c r="Q75" i="23"/>
  <c r="P114" i="19"/>
  <c r="P96" i="19"/>
  <c r="Q42" i="23"/>
  <c r="Q54" i="23"/>
  <c r="Q95" i="24"/>
  <c r="P68" i="19"/>
  <c r="P46" i="19"/>
  <c r="Q50" i="23"/>
  <c r="Q38" i="23"/>
  <c r="O67" i="16" s="1"/>
  <c r="P28" i="19"/>
  <c r="Q76" i="25"/>
  <c r="Q62" i="23"/>
  <c r="P77" i="19"/>
  <c r="O92" i="17"/>
  <c r="Q55" i="23"/>
  <c r="O64" i="17"/>
  <c r="P105" i="19"/>
  <c r="Q48" i="23"/>
  <c r="P26" i="19"/>
  <c r="R60" i="20"/>
  <c r="P76" i="19"/>
  <c r="P80" i="19"/>
  <c r="O104" i="16" s="1"/>
  <c r="M44" i="17"/>
  <c r="R40" i="18"/>
  <c r="G101" i="30"/>
  <c r="O40" i="23"/>
  <c r="M101" i="17"/>
  <c r="N67" i="19"/>
  <c r="M85" i="17"/>
  <c r="N90" i="19"/>
  <c r="M100" i="17"/>
  <c r="N66" i="19"/>
  <c r="N105" i="19"/>
  <c r="O76" i="25"/>
  <c r="N114" i="19"/>
  <c r="N117" i="19" s="1"/>
  <c r="M82" i="17"/>
  <c r="O70" i="23"/>
  <c r="M115" i="16" s="1"/>
  <c r="O42" i="23"/>
  <c r="M97" i="17"/>
  <c r="O62" i="23"/>
  <c r="M107" i="16" s="1"/>
  <c r="AI46" i="20"/>
  <c r="AK46" i="20" s="1"/>
  <c r="AH44" i="19"/>
  <c r="AK44" i="19" s="1"/>
  <c r="AM44" i="19" s="1"/>
  <c r="AI44" i="20"/>
  <c r="AK44" i="20" s="1"/>
  <c r="M46" i="16"/>
  <c r="N96" i="19"/>
  <c r="M130" i="17"/>
  <c r="M96" i="17"/>
  <c r="M99" i="17"/>
  <c r="AI33" i="18"/>
  <c r="AK33" i="18" s="1"/>
  <c r="N54" i="19"/>
  <c r="O38" i="23"/>
  <c r="M69" i="17"/>
  <c r="O56" i="23"/>
  <c r="N79" i="19"/>
  <c r="N76" i="19"/>
  <c r="AJ70" i="24"/>
  <c r="AL70" i="24" s="1"/>
  <c r="M127" i="17"/>
  <c r="O75" i="23"/>
  <c r="F46" i="15"/>
  <c r="X46" i="15" s="1"/>
  <c r="M49" i="17"/>
  <c r="O54" i="23"/>
  <c r="E28" i="31"/>
  <c r="O48" i="23"/>
  <c r="N59" i="19"/>
  <c r="N28" i="19"/>
  <c r="M56" i="16"/>
  <c r="O58" i="23"/>
  <c r="N68" i="19"/>
  <c r="M72" i="16"/>
  <c r="O50" i="23"/>
  <c r="M52" i="16"/>
  <c r="N45" i="19"/>
  <c r="M68" i="16" s="1"/>
  <c r="M102" i="17"/>
  <c r="M64" i="17"/>
  <c r="M98" i="17"/>
  <c r="N27" i="19"/>
  <c r="N26" i="19"/>
  <c r="M92" i="17"/>
  <c r="O74" i="23"/>
  <c r="N80" i="19"/>
  <c r="M104" i="16" s="1"/>
  <c r="C101" i="30"/>
  <c r="M94" i="17"/>
  <c r="N77" i="19"/>
  <c r="O95" i="24"/>
  <c r="N46" i="19"/>
  <c r="M88" i="17"/>
  <c r="AI67" i="20"/>
  <c r="AK67" i="20" s="1"/>
  <c r="N49" i="19"/>
  <c r="M114" i="17"/>
  <c r="N60" i="19"/>
  <c r="M84" i="16" s="1"/>
  <c r="N21" i="19"/>
  <c r="N34" i="19"/>
  <c r="N36" i="19" s="1"/>
  <c r="AJ38" i="24"/>
  <c r="AL38" i="24" s="1"/>
  <c r="O55" i="23"/>
  <c r="M55" i="16"/>
  <c r="M85" i="16"/>
  <c r="M55" i="17"/>
  <c r="M44" i="16"/>
  <c r="K60" i="17"/>
  <c r="K109" i="17" s="1"/>
  <c r="K135" i="17" s="1"/>
  <c r="K145" i="17" s="1"/>
  <c r="K123" i="16"/>
  <c r="K132" i="16" s="1"/>
  <c r="K105" i="16"/>
  <c r="K60" i="16"/>
  <c r="M88" i="23"/>
  <c r="M99" i="23" s="1"/>
  <c r="L38" i="19"/>
  <c r="L85" i="19" s="1"/>
  <c r="L111" i="19" s="1"/>
  <c r="L121" i="19" s="1"/>
  <c r="E34" i="7"/>
  <c r="R88" i="18" l="1"/>
  <c r="F54" i="15"/>
  <c r="X54" i="15" s="1"/>
  <c r="Q44" i="17"/>
  <c r="Q44" i="16"/>
  <c r="D41" i="15"/>
  <c r="V41" i="15" s="1"/>
  <c r="R60" i="19"/>
  <c r="Q84" i="16" s="1"/>
  <c r="Q84" i="17"/>
  <c r="O90" i="17"/>
  <c r="R67" i="21"/>
  <c r="R96" i="19" s="1"/>
  <c r="Q46" i="23"/>
  <c r="N39" i="27"/>
  <c r="N44" i="27" s="1"/>
  <c r="Q43" i="23"/>
  <c r="O78" i="16" s="1"/>
  <c r="P50" i="19"/>
  <c r="O74" i="16" s="1"/>
  <c r="Q36" i="23"/>
  <c r="O65" i="16" s="1"/>
  <c r="Q91" i="23"/>
  <c r="Q95" i="23" s="1"/>
  <c r="N51" i="22"/>
  <c r="N55" i="22" s="1"/>
  <c r="N66" i="22" s="1"/>
  <c r="N76" i="22" s="1"/>
  <c r="Q68" i="23"/>
  <c r="O113" i="16" s="1"/>
  <c r="P106" i="19"/>
  <c r="N39" i="29"/>
  <c r="N44" i="29" s="1"/>
  <c r="Q44" i="23"/>
  <c r="O79" i="16" s="1"/>
  <c r="P52" i="19"/>
  <c r="O76" i="16" s="1"/>
  <c r="P47" i="19"/>
  <c r="O70" i="16" s="1"/>
  <c r="P74" i="19"/>
  <c r="O98" i="16" s="1"/>
  <c r="P71" i="19"/>
  <c r="O95" i="16" s="1"/>
  <c r="O77" i="17"/>
  <c r="O129" i="16"/>
  <c r="O100" i="17"/>
  <c r="O96" i="17"/>
  <c r="O96" i="16"/>
  <c r="P73" i="19"/>
  <c r="O97" i="16" s="1"/>
  <c r="O97" i="17"/>
  <c r="O119" i="16"/>
  <c r="O107" i="16"/>
  <c r="Q49" i="23"/>
  <c r="P65" i="19"/>
  <c r="O89" i="16" s="1"/>
  <c r="O115" i="16"/>
  <c r="Q72" i="23"/>
  <c r="P49" i="19"/>
  <c r="O73" i="16" s="1"/>
  <c r="O73" i="17"/>
  <c r="O85" i="17"/>
  <c r="O85" i="16"/>
  <c r="P58" i="19"/>
  <c r="O82" i="16" s="1"/>
  <c r="O82" i="17"/>
  <c r="P70" i="19"/>
  <c r="O94" i="17"/>
  <c r="P17" i="19"/>
  <c r="O27" i="17"/>
  <c r="O30" i="17" s="1"/>
  <c r="Q51" i="23"/>
  <c r="O92" i="16" s="1"/>
  <c r="Q73" i="23"/>
  <c r="P117" i="19"/>
  <c r="O74" i="17"/>
  <c r="O72" i="17"/>
  <c r="O72" i="16"/>
  <c r="O75" i="17"/>
  <c r="O76" i="17"/>
  <c r="O101" i="17"/>
  <c r="O101" i="16"/>
  <c r="O102" i="17"/>
  <c r="O102" i="16"/>
  <c r="O91" i="16"/>
  <c r="O103" i="17"/>
  <c r="O103" i="16"/>
  <c r="O86" i="17"/>
  <c r="O99" i="16"/>
  <c r="O99" i="17"/>
  <c r="O130" i="17"/>
  <c r="O36" i="17"/>
  <c r="O36" i="16"/>
  <c r="O114" i="17"/>
  <c r="O69" i="17"/>
  <c r="O69" i="16"/>
  <c r="P59" i="19"/>
  <c r="O83" i="17"/>
  <c r="P60" i="19"/>
  <c r="O84" i="16" s="1"/>
  <c r="O84" i="17"/>
  <c r="O95" i="17"/>
  <c r="O89" i="17"/>
  <c r="O121" i="17"/>
  <c r="O127" i="17"/>
  <c r="O127" i="16"/>
  <c r="O70" i="17"/>
  <c r="O120" i="16"/>
  <c r="O39" i="17"/>
  <c r="O39" i="16"/>
  <c r="O44" i="17"/>
  <c r="O44" i="16"/>
  <c r="O78" i="17"/>
  <c r="O31" i="26"/>
  <c r="O35" i="26" s="1"/>
  <c r="P115" i="18"/>
  <c r="P121" i="18" s="1"/>
  <c r="Q60" i="25"/>
  <c r="Q67" i="25" s="1"/>
  <c r="P97" i="18"/>
  <c r="P81" i="20"/>
  <c r="Q78" i="24"/>
  <c r="Q85" i="24" s="1"/>
  <c r="Q60" i="24"/>
  <c r="Q64" i="24" s="1"/>
  <c r="P52" i="21"/>
  <c r="P56" i="21" s="1"/>
  <c r="Q42" i="25"/>
  <c r="Q46" i="25" s="1"/>
  <c r="N33" i="37"/>
  <c r="N45" i="37" s="1"/>
  <c r="N25" i="37"/>
  <c r="O42" i="26"/>
  <c r="Q53" i="23"/>
  <c r="P21" i="19"/>
  <c r="P29" i="20"/>
  <c r="Q57" i="23"/>
  <c r="O100" i="16" s="1"/>
  <c r="P51" i="19"/>
  <c r="P42" i="19"/>
  <c r="O64" i="16" s="1"/>
  <c r="P90" i="19"/>
  <c r="P70" i="21"/>
  <c r="P79" i="21" s="1"/>
  <c r="P66" i="19"/>
  <c r="P64" i="19"/>
  <c r="O88" i="16" s="1"/>
  <c r="P62" i="19"/>
  <c r="P97" i="19"/>
  <c r="P99" i="20"/>
  <c r="P106" i="20" s="1"/>
  <c r="P53" i="19"/>
  <c r="O77" i="16" s="1"/>
  <c r="P88" i="21"/>
  <c r="Q41" i="23"/>
  <c r="P34" i="19"/>
  <c r="P36" i="20"/>
  <c r="M90" i="17"/>
  <c r="R45" i="18"/>
  <c r="R52" i="18"/>
  <c r="M72" i="17"/>
  <c r="N51" i="19"/>
  <c r="O72" i="23"/>
  <c r="L25" i="37"/>
  <c r="M77" i="17"/>
  <c r="M76" i="17"/>
  <c r="M89" i="17"/>
  <c r="O57" i="23"/>
  <c r="M100" i="16" s="1"/>
  <c r="N97" i="19"/>
  <c r="M95" i="17"/>
  <c r="N52" i="19"/>
  <c r="M83" i="17"/>
  <c r="N88" i="21"/>
  <c r="N58" i="19"/>
  <c r="N42" i="19"/>
  <c r="M64" i="16" s="1"/>
  <c r="O43" i="23"/>
  <c r="M46" i="17"/>
  <c r="M27" i="17"/>
  <c r="M30" i="17" s="1"/>
  <c r="N17" i="19"/>
  <c r="M114" i="16"/>
  <c r="M78" i="17"/>
  <c r="O49" i="23"/>
  <c r="M103" i="17"/>
  <c r="N47" i="19"/>
  <c r="M49" i="16"/>
  <c r="M84" i="17"/>
  <c r="N53" i="19"/>
  <c r="M86" i="17"/>
  <c r="N106" i="19"/>
  <c r="M130" i="16" s="1"/>
  <c r="O41" i="23"/>
  <c r="M127" i="16"/>
  <c r="O51" i="23"/>
  <c r="M39" i="17"/>
  <c r="M70" i="17"/>
  <c r="M56" i="17"/>
  <c r="N71" i="19"/>
  <c r="O44" i="23"/>
  <c r="M79" i="16" s="1"/>
  <c r="O36" i="23"/>
  <c r="M65" i="16" s="1"/>
  <c r="N50" i="19"/>
  <c r="M75" i="17"/>
  <c r="O91" i="23"/>
  <c r="O53" i="23"/>
  <c r="N62" i="19"/>
  <c r="N65" i="19"/>
  <c r="M89" i="16" s="1"/>
  <c r="M103" i="16"/>
  <c r="N70" i="21"/>
  <c r="N79" i="21" s="1"/>
  <c r="M40" i="16"/>
  <c r="M96" i="16"/>
  <c r="M31" i="26"/>
  <c r="M35" i="26" s="1"/>
  <c r="M38" i="16"/>
  <c r="M33" i="16"/>
  <c r="M91" i="16"/>
  <c r="M83" i="16"/>
  <c r="M120" i="16"/>
  <c r="M67" i="16"/>
  <c r="M38" i="17"/>
  <c r="O42" i="25"/>
  <c r="O46" i="25" s="1"/>
  <c r="O78" i="24"/>
  <c r="O85" i="24" s="1"/>
  <c r="N52" i="21"/>
  <c r="N56" i="21" s="1"/>
  <c r="N29" i="19"/>
  <c r="N97" i="18"/>
  <c r="N115" i="18"/>
  <c r="N121" i="18" s="1"/>
  <c r="N46" i="18"/>
  <c r="M138" i="17"/>
  <c r="L33" i="37"/>
  <c r="L45" i="37" s="1"/>
  <c r="L51" i="22"/>
  <c r="L55" i="22" s="1"/>
  <c r="L66" i="22" s="1"/>
  <c r="L76" i="22" s="1"/>
  <c r="N74" i="19"/>
  <c r="M98" i="16" s="1"/>
  <c r="N54" i="18"/>
  <c r="M36" i="17"/>
  <c r="L39" i="29"/>
  <c r="L44" i="29" s="1"/>
  <c r="N36" i="20"/>
  <c r="N64" i="19"/>
  <c r="M88" i="16" s="1"/>
  <c r="O46" i="23"/>
  <c r="M47" i="17"/>
  <c r="M42" i="26"/>
  <c r="N29" i="20"/>
  <c r="M36" i="16"/>
  <c r="M40" i="17"/>
  <c r="M69" i="16"/>
  <c r="N70" i="19"/>
  <c r="O73" i="23"/>
  <c r="M33" i="17"/>
  <c r="M52" i="17"/>
  <c r="M74" i="17"/>
  <c r="L39" i="27"/>
  <c r="L44" i="27" s="1"/>
  <c r="O68" i="23"/>
  <c r="N38" i="18"/>
  <c r="M73" i="16"/>
  <c r="N99" i="20"/>
  <c r="N106" i="20" s="1"/>
  <c r="N81" i="20"/>
  <c r="M102" i="16"/>
  <c r="O60" i="25"/>
  <c r="O67" i="25" s="1"/>
  <c r="M121" i="17"/>
  <c r="M123" i="17" s="1"/>
  <c r="M132" i="17" s="1"/>
  <c r="M39" i="16"/>
  <c r="M73" i="17"/>
  <c r="M58" i="16"/>
  <c r="M119" i="16"/>
  <c r="M101" i="16"/>
  <c r="M47" i="16"/>
  <c r="M99" i="16"/>
  <c r="M129" i="16"/>
  <c r="N73" i="19"/>
  <c r="M97" i="16" s="1"/>
  <c r="K109" i="16"/>
  <c r="K135" i="16" s="1"/>
  <c r="E37" i="7"/>
  <c r="U71" i="34" l="1"/>
  <c r="AC95" i="23"/>
  <c r="AC99" i="23" s="1"/>
  <c r="AC101" i="23" s="1"/>
  <c r="S54" i="25"/>
  <c r="AJ54" i="25"/>
  <c r="AL54" i="25" s="1"/>
  <c r="AI106" i="18"/>
  <c r="AK106" i="18" s="1"/>
  <c r="AC115" i="18"/>
  <c r="AC121" i="18" s="1"/>
  <c r="R106" i="18"/>
  <c r="Q114" i="17" s="1"/>
  <c r="F25" i="2"/>
  <c r="AI94" i="18"/>
  <c r="AK94" i="18" s="1"/>
  <c r="R94" i="18"/>
  <c r="Q101" i="17" s="1"/>
  <c r="AE70" i="17"/>
  <c r="AH66" i="19"/>
  <c r="AE90" i="16" s="1"/>
  <c r="AA51" i="22"/>
  <c r="AA55" i="22" s="1"/>
  <c r="AA66" i="22" s="1"/>
  <c r="AA76" i="22" s="1"/>
  <c r="P34" i="22"/>
  <c r="AG34" i="22"/>
  <c r="AH67" i="19"/>
  <c r="AD76" i="25"/>
  <c r="S73" i="25"/>
  <c r="S76" i="25" s="1"/>
  <c r="AJ73" i="25"/>
  <c r="AL73" i="25" s="1"/>
  <c r="S26" i="14"/>
  <c r="W26" i="14" s="1"/>
  <c r="D45" i="32"/>
  <c r="P20" i="37"/>
  <c r="AF99" i="20"/>
  <c r="AF106" i="20" s="1"/>
  <c r="AI89" i="20"/>
  <c r="AK89" i="20" s="1"/>
  <c r="AH89" i="19"/>
  <c r="AK89" i="19" s="1"/>
  <c r="AM89" i="19" s="1"/>
  <c r="S32" i="25"/>
  <c r="AJ32" i="25"/>
  <c r="AE89" i="17"/>
  <c r="AK82" i="18"/>
  <c r="I28" i="31"/>
  <c r="K18" i="31"/>
  <c r="AI72" i="23"/>
  <c r="AD28" i="2" s="1"/>
  <c r="AE55" i="17"/>
  <c r="AE94" i="17"/>
  <c r="AH70" i="19"/>
  <c r="E91" i="30"/>
  <c r="E103" i="30" s="1"/>
  <c r="AI62" i="20"/>
  <c r="AK62" i="20" s="1"/>
  <c r="R62" i="20"/>
  <c r="I23" i="30"/>
  <c r="AH54" i="19"/>
  <c r="AI54" i="20"/>
  <c r="AK54" i="20" s="1"/>
  <c r="AI73" i="23"/>
  <c r="AJ56" i="24"/>
  <c r="AL56" i="24" s="1"/>
  <c r="S56" i="24"/>
  <c r="S56" i="23" s="1"/>
  <c r="AF56" i="23" s="1"/>
  <c r="AG29" i="24"/>
  <c r="AJ28" i="24"/>
  <c r="AJ29" i="24" s="1"/>
  <c r="AI28" i="23"/>
  <c r="AL28" i="23" s="1"/>
  <c r="AN28" i="23" s="1"/>
  <c r="AI42" i="18"/>
  <c r="AK42" i="18" s="1"/>
  <c r="F43" i="15"/>
  <c r="X43" i="15" s="1"/>
  <c r="AH43" i="15" s="1"/>
  <c r="AJ43" i="15" s="1"/>
  <c r="R42" i="18"/>
  <c r="Q46" i="17" s="1"/>
  <c r="AC46" i="18"/>
  <c r="AJ23" i="25"/>
  <c r="S23" i="25"/>
  <c r="S40" i="23" s="1"/>
  <c r="AF40" i="23" s="1"/>
  <c r="R69" i="18"/>
  <c r="AI69" i="18"/>
  <c r="AI104" i="20"/>
  <c r="R104" i="20"/>
  <c r="J42" i="3"/>
  <c r="T42" i="3" s="1"/>
  <c r="G33" i="11"/>
  <c r="K33" i="11" s="1"/>
  <c r="R78" i="18"/>
  <c r="AI78" i="18"/>
  <c r="AK78" i="18" s="1"/>
  <c r="AE92" i="17"/>
  <c r="AI85" i="18"/>
  <c r="AK85" i="18" s="1"/>
  <c r="AI50" i="21"/>
  <c r="AK50" i="21" s="1"/>
  <c r="R50" i="21"/>
  <c r="R79" i="19" s="1"/>
  <c r="AE79" i="19" s="1"/>
  <c r="AI50" i="23"/>
  <c r="AJ50" i="24"/>
  <c r="AL50" i="24" s="1"/>
  <c r="AI99" i="18"/>
  <c r="AK99" i="18" s="1"/>
  <c r="AE107" i="17"/>
  <c r="AA20" i="3"/>
  <c r="AA14" i="28"/>
  <c r="AE77" i="17"/>
  <c r="AH53" i="19"/>
  <c r="AI36" i="21"/>
  <c r="AK36" i="21" s="1"/>
  <c r="R36" i="21"/>
  <c r="AI32" i="18"/>
  <c r="R32" i="18"/>
  <c r="D32" i="15" s="1"/>
  <c r="V32" i="15" s="1"/>
  <c r="F32" i="15"/>
  <c r="X32" i="15" s="1"/>
  <c r="AK30" i="21"/>
  <c r="H25" i="32"/>
  <c r="AD40" i="2"/>
  <c r="AD63" i="22"/>
  <c r="AA41" i="3"/>
  <c r="AE129" i="17"/>
  <c r="AG61" i="22"/>
  <c r="AG63" i="22" s="1"/>
  <c r="AI65" i="21"/>
  <c r="AK65" i="21" s="1"/>
  <c r="AH94" i="19"/>
  <c r="AK94" i="19" s="1"/>
  <c r="AM94" i="19" s="1"/>
  <c r="AI36" i="23"/>
  <c r="AE65" i="16" s="1"/>
  <c r="AG42" i="25"/>
  <c r="AG46" i="25" s="1"/>
  <c r="AL19" i="25"/>
  <c r="AH27" i="19"/>
  <c r="AE39" i="16" s="1"/>
  <c r="AD35" i="15" s="1"/>
  <c r="AJ36" i="25"/>
  <c r="S36" i="25"/>
  <c r="C42" i="31"/>
  <c r="T28" i="5"/>
  <c r="AE31" i="26"/>
  <c r="AE35" i="26" s="1"/>
  <c r="AK27" i="21"/>
  <c r="AI71" i="20"/>
  <c r="AK71" i="20" s="1"/>
  <c r="R71" i="20"/>
  <c r="Q95" i="17" s="1"/>
  <c r="AA39" i="29"/>
  <c r="P36" i="29"/>
  <c r="F32" i="6" s="1"/>
  <c r="AG36" i="29"/>
  <c r="AI36" i="29" s="1"/>
  <c r="H32" i="6"/>
  <c r="P37" i="22"/>
  <c r="AG37" i="22"/>
  <c r="AI37" i="22" s="1"/>
  <c r="AI46" i="23"/>
  <c r="AE86" i="16" s="1"/>
  <c r="O68" i="34"/>
  <c r="S68" i="24"/>
  <c r="AJ68" i="24"/>
  <c r="AL68" i="24" s="1"/>
  <c r="AD78" i="24"/>
  <c r="G30" i="14" s="1"/>
  <c r="G33" i="14" s="1"/>
  <c r="AE100" i="17"/>
  <c r="AH59" i="19"/>
  <c r="AE83" i="16" s="1"/>
  <c r="AE83" i="17"/>
  <c r="P45" i="22"/>
  <c r="AG45" i="22"/>
  <c r="AI45" i="22" s="1"/>
  <c r="AJ29" i="25"/>
  <c r="S29" i="25"/>
  <c r="AH96" i="19"/>
  <c r="AI67" i="21"/>
  <c r="AK67" i="21" s="1"/>
  <c r="AL25" i="25"/>
  <c r="AI42" i="23"/>
  <c r="E23" i="30"/>
  <c r="AI49" i="23"/>
  <c r="AN49" i="23" s="1"/>
  <c r="AJ55" i="24"/>
  <c r="AL55" i="24" s="1"/>
  <c r="AI55" i="23"/>
  <c r="L16" i="32"/>
  <c r="D18" i="32"/>
  <c r="S40" i="25"/>
  <c r="S58" i="23" s="1"/>
  <c r="AF58" i="23" s="1"/>
  <c r="AJ40" i="25"/>
  <c r="AL40" i="25" s="1"/>
  <c r="AI69" i="21"/>
  <c r="AK69" i="21" s="1"/>
  <c r="AH98" i="19"/>
  <c r="AK98" i="19" s="1"/>
  <c r="AM98" i="19" s="1"/>
  <c r="AJ19" i="25"/>
  <c r="S19" i="25"/>
  <c r="AD42" i="25"/>
  <c r="AI48" i="18"/>
  <c r="AC54" i="18"/>
  <c r="F50" i="15"/>
  <c r="X50" i="15" s="1"/>
  <c r="R48" i="18"/>
  <c r="P32" i="37"/>
  <c r="AI72" i="18"/>
  <c r="AK72" i="18" s="1"/>
  <c r="R72" i="18"/>
  <c r="T35" i="5"/>
  <c r="AJ39" i="26"/>
  <c r="AE42" i="26"/>
  <c r="AJ42" i="26" s="1"/>
  <c r="AI24" i="18"/>
  <c r="AK24" i="18" s="1"/>
  <c r="AE27" i="17"/>
  <c r="AC97" i="18"/>
  <c r="F18" i="2" s="1"/>
  <c r="F19" i="3" s="1"/>
  <c r="AI65" i="18"/>
  <c r="R65" i="18"/>
  <c r="Q69" i="17" s="1"/>
  <c r="R22" i="21"/>
  <c r="R45" i="19" s="1"/>
  <c r="AE45" i="19" s="1"/>
  <c r="AI22" i="21"/>
  <c r="AH105" i="19"/>
  <c r="AE129" i="16" s="1"/>
  <c r="AE88" i="17"/>
  <c r="AK64" i="20"/>
  <c r="AH64" i="19"/>
  <c r="AG41" i="22"/>
  <c r="AI41" i="22" s="1"/>
  <c r="P41" i="22"/>
  <c r="AL39" i="25"/>
  <c r="AK45" i="18"/>
  <c r="AI45" i="18"/>
  <c r="AE49" i="17"/>
  <c r="AE49" i="16"/>
  <c r="AD46" i="15" s="1"/>
  <c r="AH46" i="15" s="1"/>
  <c r="AJ46" i="15" s="1"/>
  <c r="AF46" i="18"/>
  <c r="AI84" i="18"/>
  <c r="AK84" i="18"/>
  <c r="AE91" i="17"/>
  <c r="AI113" i="20"/>
  <c r="AK113" i="20" s="1"/>
  <c r="AF115" i="20"/>
  <c r="AK115" i="20" s="1"/>
  <c r="AH115" i="19"/>
  <c r="AK115" i="19" s="1"/>
  <c r="AM115" i="19" s="1"/>
  <c r="AE74" i="17"/>
  <c r="AH50" i="19"/>
  <c r="AD28" i="27"/>
  <c r="AD32" i="27" s="1"/>
  <c r="T26" i="5"/>
  <c r="W26" i="5" s="1"/>
  <c r="Y26" i="5" s="1"/>
  <c r="AG25" i="27"/>
  <c r="AI25" i="27" s="1"/>
  <c r="AI79" i="18"/>
  <c r="AK79" i="18" s="1"/>
  <c r="R79" i="18"/>
  <c r="S26" i="25"/>
  <c r="S43" i="23" s="1"/>
  <c r="AF43" i="23" s="1"/>
  <c r="AJ26" i="25"/>
  <c r="AI66" i="18"/>
  <c r="AK66" i="18" s="1"/>
  <c r="R66" i="18"/>
  <c r="K136" i="30"/>
  <c r="S32" i="11"/>
  <c r="U32" i="11" s="1"/>
  <c r="AI76" i="21"/>
  <c r="AK76" i="21" s="1"/>
  <c r="R76" i="21"/>
  <c r="R105" i="19" s="1"/>
  <c r="AE105" i="19" s="1"/>
  <c r="J40" i="2" s="1"/>
  <c r="AJ40" i="24"/>
  <c r="AL40" i="24" s="1"/>
  <c r="AI40" i="23"/>
  <c r="AG60" i="24"/>
  <c r="AI21" i="20"/>
  <c r="AK21" i="20" s="1"/>
  <c r="R21" i="20"/>
  <c r="R21" i="19" s="1"/>
  <c r="H29" i="15" s="1"/>
  <c r="AC29" i="20"/>
  <c r="J16" i="3" s="1"/>
  <c r="AE102" i="17"/>
  <c r="S21" i="25"/>
  <c r="S38" i="23" s="1"/>
  <c r="Q67" i="16" s="1"/>
  <c r="AJ21" i="25"/>
  <c r="AE40" i="17"/>
  <c r="AK36" i="18"/>
  <c r="AH114" i="19"/>
  <c r="AF88" i="21"/>
  <c r="AK85" i="21"/>
  <c r="AK28" i="21"/>
  <c r="D25" i="32"/>
  <c r="S33" i="25"/>
  <c r="S50" i="23" s="1"/>
  <c r="AF50" i="23" s="1"/>
  <c r="AJ33" i="25"/>
  <c r="AK29" i="21"/>
  <c r="AI13" i="23"/>
  <c r="AF36" i="20"/>
  <c r="AH34" i="19"/>
  <c r="AE47" i="16" s="1"/>
  <c r="AD44" i="15" s="1"/>
  <c r="AE47" i="17"/>
  <c r="R48" i="21"/>
  <c r="R77" i="19" s="1"/>
  <c r="AI48" i="21"/>
  <c r="AK48" i="21" s="1"/>
  <c r="S44" i="24"/>
  <c r="AJ44" i="24"/>
  <c r="AL44" i="24" s="1"/>
  <c r="AA27" i="3"/>
  <c r="AI91" i="20"/>
  <c r="AK91" i="20" s="1"/>
  <c r="AE115" i="17"/>
  <c r="AH91" i="19"/>
  <c r="AK91" i="19" s="1"/>
  <c r="AM91" i="19" s="1"/>
  <c r="I22" i="14"/>
  <c r="C155" i="30"/>
  <c r="R81" i="18"/>
  <c r="AI81" i="18"/>
  <c r="AK81" i="18" s="1"/>
  <c r="AE97" i="17"/>
  <c r="AH73" i="19"/>
  <c r="AK69" i="18"/>
  <c r="AI26" i="20"/>
  <c r="R26" i="20"/>
  <c r="R26" i="19" s="1"/>
  <c r="AE26" i="19" s="1"/>
  <c r="S72" i="24"/>
  <c r="AJ72" i="24"/>
  <c r="AL72" i="24" s="1"/>
  <c r="AI76" i="20"/>
  <c r="AK76" i="20" s="1"/>
  <c r="AH76" i="19"/>
  <c r="K89" i="30"/>
  <c r="K137" i="30"/>
  <c r="P17" i="37"/>
  <c r="J33" i="3"/>
  <c r="J35" i="3" s="1"/>
  <c r="AC99" i="20"/>
  <c r="AI97" i="20"/>
  <c r="AK97" i="20" s="1"/>
  <c r="R97" i="20"/>
  <c r="O16" i="34"/>
  <c r="AE90" i="17"/>
  <c r="AI83" i="18"/>
  <c r="AK83" i="18" s="1"/>
  <c r="AE36" i="16"/>
  <c r="AD32" i="15" s="1"/>
  <c r="AE36" i="17"/>
  <c r="AK32" i="18"/>
  <c r="AE72" i="17"/>
  <c r="AE72" i="16"/>
  <c r="AH74" i="19"/>
  <c r="AE98" i="16" s="1"/>
  <c r="O57" i="34"/>
  <c r="AD24" i="22"/>
  <c r="AG24" i="22" s="1"/>
  <c r="AI24" i="22" s="1"/>
  <c r="AE48" i="16"/>
  <c r="AG23" i="22"/>
  <c r="AI23" i="22" s="1"/>
  <c r="AE48" i="17"/>
  <c r="AH48" i="17" s="1"/>
  <c r="AJ48" i="17" s="1"/>
  <c r="R134" i="18"/>
  <c r="R33" i="21"/>
  <c r="AI33" i="21"/>
  <c r="AK33" i="21" s="1"/>
  <c r="AH17" i="19"/>
  <c r="AE27" i="16" s="1"/>
  <c r="AD22" i="15" s="1"/>
  <c r="AG17" i="22"/>
  <c r="AI17" i="22" s="1"/>
  <c r="AE28" i="17"/>
  <c r="AE28" i="16"/>
  <c r="AD23" i="15" s="1"/>
  <c r="AH23" i="15" s="1"/>
  <c r="AJ23" i="15" s="1"/>
  <c r="R23" i="21"/>
  <c r="R46" i="19" s="1"/>
  <c r="AE46" i="19" s="1"/>
  <c r="AI23" i="21"/>
  <c r="AE76" i="17"/>
  <c r="R37" i="21"/>
  <c r="AI37" i="21"/>
  <c r="AK37" i="21" s="1"/>
  <c r="S39" i="25"/>
  <c r="AJ39" i="25"/>
  <c r="AI69" i="23"/>
  <c r="AD25" i="2" s="1"/>
  <c r="AJ69" i="24"/>
  <c r="AL69" i="24" s="1"/>
  <c r="AG78" i="24"/>
  <c r="AG85" i="24" s="1"/>
  <c r="G112" i="30"/>
  <c r="AI56" i="23"/>
  <c r="AE99" i="16" s="1"/>
  <c r="S91" i="24"/>
  <c r="S91" i="23" s="1"/>
  <c r="AD95" i="24"/>
  <c r="G25" i="14"/>
  <c r="AJ91" i="24"/>
  <c r="AL91" i="24" s="1"/>
  <c r="S24" i="25"/>
  <c r="AJ24" i="25"/>
  <c r="AI30" i="21"/>
  <c r="R30" i="21"/>
  <c r="R54" i="19" s="1"/>
  <c r="AE54" i="19" s="1"/>
  <c r="AJ57" i="24"/>
  <c r="AL57" i="24" s="1"/>
  <c r="S57" i="24"/>
  <c r="H33" i="6"/>
  <c r="AG37" i="29"/>
  <c r="AI37" i="29" s="1"/>
  <c r="P37" i="29"/>
  <c r="F33" i="6" s="1"/>
  <c r="AI64" i="20"/>
  <c r="R64" i="20"/>
  <c r="Q88" i="17" s="1"/>
  <c r="AB88" i="17" s="1"/>
  <c r="AI105" i="18"/>
  <c r="AK105" i="18" s="1"/>
  <c r="AA25" i="3"/>
  <c r="AF115" i="18"/>
  <c r="AF121" i="18" s="1"/>
  <c r="AE113" i="17"/>
  <c r="AD28" i="28"/>
  <c r="AD32" i="28" s="1"/>
  <c r="T25" i="6"/>
  <c r="T26" i="6" s="1"/>
  <c r="AG26" i="28"/>
  <c r="AG28" i="28" s="1"/>
  <c r="AA39" i="28"/>
  <c r="AA44" i="28" s="1"/>
  <c r="J36" i="28"/>
  <c r="P36" i="28" s="1"/>
  <c r="B32" i="6" s="1"/>
  <c r="AG36" i="28"/>
  <c r="AI36" i="28" s="1"/>
  <c r="D32" i="6"/>
  <c r="AH65" i="19"/>
  <c r="AE89" i="16" s="1"/>
  <c r="AJ62" i="24"/>
  <c r="AL62" i="24" s="1"/>
  <c r="G24" i="14"/>
  <c r="G24" i="13" s="1"/>
  <c r="K24" i="13" s="1"/>
  <c r="O24" i="13" s="1"/>
  <c r="S62" i="24"/>
  <c r="S62" i="23" s="1"/>
  <c r="P19" i="2" s="1"/>
  <c r="V19" i="2" s="1"/>
  <c r="AI54" i="23"/>
  <c r="AE96" i="16" s="1"/>
  <c r="AJ54" i="24"/>
  <c r="AL54" i="24" s="1"/>
  <c r="AL28" i="25"/>
  <c r="AJ28" i="25"/>
  <c r="AI119" i="18"/>
  <c r="AK119" i="18" s="1"/>
  <c r="R119" i="18"/>
  <c r="G36" i="9"/>
  <c r="G31" i="7" s="1"/>
  <c r="K31" i="7" s="1"/>
  <c r="F38" i="2"/>
  <c r="O37" i="34"/>
  <c r="R17" i="20"/>
  <c r="AI17" i="20"/>
  <c r="AK17" i="20" s="1"/>
  <c r="G20" i="11"/>
  <c r="G20" i="10" s="1"/>
  <c r="K20" i="10" s="1"/>
  <c r="O20" i="10" s="1"/>
  <c r="J15" i="3"/>
  <c r="E112" i="30"/>
  <c r="AA14" i="29"/>
  <c r="AE52" i="17"/>
  <c r="AF54" i="18"/>
  <c r="AA18" i="3" s="1"/>
  <c r="AE52" i="16"/>
  <c r="AD50" i="15" s="1"/>
  <c r="AK48" i="18"/>
  <c r="AH46" i="19"/>
  <c r="AE69" i="16" s="1"/>
  <c r="AK23" i="21"/>
  <c r="D33" i="6"/>
  <c r="AG37" i="28"/>
  <c r="AI37" i="28" s="1"/>
  <c r="J37" i="28"/>
  <c r="P37" i="28" s="1"/>
  <c r="B33" i="6" s="1"/>
  <c r="AJ50" i="25"/>
  <c r="S50" i="25"/>
  <c r="AD60" i="25"/>
  <c r="S30" i="14" s="1"/>
  <c r="W30" i="14" s="1"/>
  <c r="W33" i="14" s="1"/>
  <c r="P50" i="22"/>
  <c r="AG50" i="22"/>
  <c r="AI50" i="22" s="1"/>
  <c r="AL56" i="25"/>
  <c r="O49" i="34"/>
  <c r="R70" i="20"/>
  <c r="Q94" i="17" s="1"/>
  <c r="AI70" i="20"/>
  <c r="AK70" i="20" s="1"/>
  <c r="AG36" i="22"/>
  <c r="AI36" i="22" s="1"/>
  <c r="P36" i="22"/>
  <c r="AI41" i="21"/>
  <c r="AK41" i="21" s="1"/>
  <c r="R41" i="21"/>
  <c r="AH45" i="19"/>
  <c r="AE68" i="16" s="1"/>
  <c r="AK22" i="21"/>
  <c r="AI42" i="21"/>
  <c r="AK42" i="21" s="1"/>
  <c r="R42" i="21"/>
  <c r="R71" i="19" s="1"/>
  <c r="Q95" i="16" s="1"/>
  <c r="AD39" i="29"/>
  <c r="AD44" i="29" s="1"/>
  <c r="AI51" i="20"/>
  <c r="AK51" i="20" s="1"/>
  <c r="R51" i="20"/>
  <c r="R77" i="18"/>
  <c r="AI77" i="18"/>
  <c r="AK77" i="18" s="1"/>
  <c r="AI50" i="20"/>
  <c r="AK50" i="20" s="1"/>
  <c r="R50" i="20"/>
  <c r="AH58" i="19"/>
  <c r="AE82" i="16" s="1"/>
  <c r="AE82" i="17"/>
  <c r="AG95" i="24"/>
  <c r="AI91" i="23"/>
  <c r="AD48" i="2" s="1"/>
  <c r="AE138" i="16" s="1"/>
  <c r="AH80" i="19"/>
  <c r="AE104" i="16" s="1"/>
  <c r="R45" i="21"/>
  <c r="AI45" i="21"/>
  <c r="AK45" i="21" s="1"/>
  <c r="N57" i="2"/>
  <c r="AA13" i="22"/>
  <c r="AH42" i="19"/>
  <c r="AE64" i="16" s="1"/>
  <c r="AF81" i="20"/>
  <c r="AE64" i="17"/>
  <c r="AG46" i="22"/>
  <c r="AI46" i="22" s="1"/>
  <c r="P46" i="22"/>
  <c r="Q92" i="17" s="1"/>
  <c r="AH13" i="19"/>
  <c r="I112" i="30"/>
  <c r="I91" i="30"/>
  <c r="AL33" i="25"/>
  <c r="AI58" i="20"/>
  <c r="AK58" i="20" s="1"/>
  <c r="R58" i="20"/>
  <c r="R58" i="19" s="1"/>
  <c r="Q82" i="16" s="1"/>
  <c r="AK30" i="18"/>
  <c r="AF38" i="18"/>
  <c r="AE33" i="17"/>
  <c r="AE103" i="17"/>
  <c r="AJ34" i="25"/>
  <c r="S34" i="25"/>
  <c r="AK26" i="21"/>
  <c r="AK104" i="20"/>
  <c r="AA42" i="3"/>
  <c r="AH106" i="19"/>
  <c r="AE130" i="16" s="1"/>
  <c r="AI128" i="18"/>
  <c r="AK128" i="18" s="1"/>
  <c r="AH39" i="26"/>
  <c r="AB42" i="26"/>
  <c r="D35" i="5"/>
  <c r="N35" i="5" s="1"/>
  <c r="Q39" i="26"/>
  <c r="B35" i="5" s="1"/>
  <c r="L35" i="5" s="1"/>
  <c r="G71" i="34"/>
  <c r="S46" i="24"/>
  <c r="AJ46" i="24"/>
  <c r="AL46" i="24" s="1"/>
  <c r="AH51" i="19"/>
  <c r="AJ49" i="24"/>
  <c r="AL49" i="24" s="1"/>
  <c r="S49" i="24"/>
  <c r="AL31" i="25"/>
  <c r="AI48" i="23"/>
  <c r="AE101" i="17"/>
  <c r="AE39" i="17"/>
  <c r="AE98" i="17"/>
  <c r="AI91" i="18"/>
  <c r="AK91" i="18" s="1"/>
  <c r="AC13" i="20"/>
  <c r="AI13" i="20" s="1"/>
  <c r="AK13" i="20" s="1"/>
  <c r="D121" i="20"/>
  <c r="F13" i="20" s="1"/>
  <c r="J57" i="3"/>
  <c r="AG37" i="27"/>
  <c r="AI37" i="27" s="1"/>
  <c r="P37" i="27"/>
  <c r="H36" i="5"/>
  <c r="H37" i="5" s="1"/>
  <c r="H42" i="5" s="1"/>
  <c r="AA39" i="27"/>
  <c r="AA44" i="27" s="1"/>
  <c r="F57" i="2"/>
  <c r="AC13" i="18"/>
  <c r="AL29" i="25"/>
  <c r="R82" i="18"/>
  <c r="AI82" i="18"/>
  <c r="S56" i="25"/>
  <c r="S74" i="23" s="1"/>
  <c r="P30" i="2" s="1"/>
  <c r="AJ56" i="25"/>
  <c r="AI53" i="20"/>
  <c r="AK53" i="20" s="1"/>
  <c r="R53" i="20"/>
  <c r="K58" i="30"/>
  <c r="AI57" i="23"/>
  <c r="AJ25" i="25"/>
  <c r="S25" i="25"/>
  <c r="S42" i="23" s="1"/>
  <c r="AF42" i="23" s="1"/>
  <c r="AJ74" i="25"/>
  <c r="AL74" i="25" s="1"/>
  <c r="AI93" i="23"/>
  <c r="R129" i="18"/>
  <c r="AA32" i="3"/>
  <c r="AE120" i="17"/>
  <c r="AI112" i="18"/>
  <c r="AK112" i="18" s="1"/>
  <c r="AI43" i="23"/>
  <c r="AJ43" i="24"/>
  <c r="AL43" i="24" s="1"/>
  <c r="AI65" i="20"/>
  <c r="AK65" i="20" s="1"/>
  <c r="R65" i="20"/>
  <c r="F29" i="15"/>
  <c r="R30" i="18"/>
  <c r="D29" i="15" s="1"/>
  <c r="AC38" i="18"/>
  <c r="F15" i="2" s="1"/>
  <c r="AI30" i="18"/>
  <c r="AI24" i="21"/>
  <c r="R24" i="21"/>
  <c r="AI58" i="23"/>
  <c r="AE102" i="16" s="1"/>
  <c r="G28" i="31"/>
  <c r="AE84" i="17"/>
  <c r="AH60" i="19"/>
  <c r="AE84" i="16" s="1"/>
  <c r="AI60" i="20"/>
  <c r="AK60" i="20" s="1"/>
  <c r="AG39" i="22"/>
  <c r="AI39" i="22" s="1"/>
  <c r="P39" i="22"/>
  <c r="R47" i="20"/>
  <c r="AI47" i="20"/>
  <c r="AK47" i="20" s="1"/>
  <c r="C112" i="30"/>
  <c r="AI96" i="18"/>
  <c r="AK96" i="18" s="1"/>
  <c r="R96" i="18"/>
  <c r="O63" i="34"/>
  <c r="P22" i="37"/>
  <c r="O59" i="34"/>
  <c r="R51" i="18"/>
  <c r="F53" i="15"/>
  <c r="X53" i="15" s="1"/>
  <c r="AI51" i="18"/>
  <c r="AK51" i="18" s="1"/>
  <c r="AJ73" i="24"/>
  <c r="AL73" i="24" s="1"/>
  <c r="S73" i="24"/>
  <c r="C91" i="30"/>
  <c r="C103" i="30" s="1"/>
  <c r="AK65" i="18"/>
  <c r="AE69" i="17"/>
  <c r="AI60" i="21"/>
  <c r="AK60" i="21" s="1"/>
  <c r="AF70" i="21"/>
  <c r="AF79" i="21" s="1"/>
  <c r="AG60" i="25"/>
  <c r="AG67" i="25" s="1"/>
  <c r="AI68" i="23"/>
  <c r="AL50" i="25"/>
  <c r="AI45" i="23"/>
  <c r="AL45" i="23" s="1"/>
  <c r="AN45" i="23" s="1"/>
  <c r="AJ45" i="24"/>
  <c r="AL45" i="24" s="1"/>
  <c r="AI51" i="23"/>
  <c r="AG49" i="22"/>
  <c r="AI49" i="22" s="1"/>
  <c r="P49" i="22"/>
  <c r="Q102" i="17" s="1"/>
  <c r="AI52" i="20"/>
  <c r="AK52" i="20" s="1"/>
  <c r="R52" i="20"/>
  <c r="R74" i="18"/>
  <c r="AI74" i="18"/>
  <c r="AK74" i="18" s="1"/>
  <c r="S33" i="11"/>
  <c r="W33" i="11" s="1"/>
  <c r="R77" i="21"/>
  <c r="AI77" i="21"/>
  <c r="AK77" i="21" s="1"/>
  <c r="AE75" i="17"/>
  <c r="AI71" i="18"/>
  <c r="AK71" i="18" s="1"/>
  <c r="AG43" i="22"/>
  <c r="AI43" i="22" s="1"/>
  <c r="AE86" i="17"/>
  <c r="AL32" i="25"/>
  <c r="AI62" i="23"/>
  <c r="AD19" i="2" s="1"/>
  <c r="AE119" i="17"/>
  <c r="AI111" i="18"/>
  <c r="AK111" i="18" s="1"/>
  <c r="AA31" i="3"/>
  <c r="P40" i="22"/>
  <c r="AG40" i="22"/>
  <c r="AE38" i="17"/>
  <c r="AH26" i="19"/>
  <c r="AE38" i="16" s="1"/>
  <c r="AD34" i="15" s="1"/>
  <c r="AK26" i="20"/>
  <c r="AI132" i="18"/>
  <c r="AK132" i="18" s="1"/>
  <c r="AI27" i="21"/>
  <c r="R27" i="21"/>
  <c r="AH28" i="19"/>
  <c r="AE40" i="16" s="1"/>
  <c r="AD36" i="15" s="1"/>
  <c r="R26" i="21"/>
  <c r="AI26" i="21"/>
  <c r="P23" i="37"/>
  <c r="S27" i="25"/>
  <c r="AJ27" i="25"/>
  <c r="AH25" i="19"/>
  <c r="AE37" i="16" s="1"/>
  <c r="AH37" i="16" s="1"/>
  <c r="AJ37" i="16" s="1"/>
  <c r="AE37" i="17"/>
  <c r="AH37" i="17" s="1"/>
  <c r="AJ37" i="17" s="1"/>
  <c r="AI25" i="20"/>
  <c r="AK25" i="20" s="1"/>
  <c r="AI88" i="18"/>
  <c r="AK88" i="18" s="1"/>
  <c r="AE95" i="17"/>
  <c r="AJ41" i="24"/>
  <c r="S41" i="24"/>
  <c r="AI92" i="18"/>
  <c r="AK92" i="18" s="1"/>
  <c r="R92" i="18"/>
  <c r="Q99" i="17" s="1"/>
  <c r="AH49" i="19"/>
  <c r="AE73" i="16" s="1"/>
  <c r="AE73" i="17"/>
  <c r="AH77" i="19"/>
  <c r="AE101" i="16" s="1"/>
  <c r="AL34" i="25"/>
  <c r="AI53" i="23"/>
  <c r="G91" i="30"/>
  <c r="G103" i="30" s="1"/>
  <c r="AI28" i="20"/>
  <c r="AK28" i="20" s="1"/>
  <c r="R28" i="20"/>
  <c r="R28" i="19" s="1"/>
  <c r="AE28" i="19" s="1"/>
  <c r="J36" i="15" s="1"/>
  <c r="AC88" i="21"/>
  <c r="S25" i="11"/>
  <c r="G25" i="10" s="1"/>
  <c r="K25" i="10" s="1"/>
  <c r="O25" i="10" s="1"/>
  <c r="AI85" i="21"/>
  <c r="R85" i="21"/>
  <c r="AE78" i="17"/>
  <c r="AL26" i="25"/>
  <c r="R35" i="18"/>
  <c r="D35" i="15" s="1"/>
  <c r="F35" i="15"/>
  <c r="AI35" i="18"/>
  <c r="AK35" i="18" s="1"/>
  <c r="G23" i="30"/>
  <c r="R39" i="21"/>
  <c r="R68" i="19" s="1"/>
  <c r="AE68" i="19" s="1"/>
  <c r="AI39" i="21"/>
  <c r="AK39" i="21" s="1"/>
  <c r="AJ57" i="25"/>
  <c r="AL57" i="25" s="1"/>
  <c r="S57" i="25"/>
  <c r="S75" i="23" s="1"/>
  <c r="P31" i="2" s="1"/>
  <c r="L17" i="32"/>
  <c r="H18" i="32"/>
  <c r="AD51" i="22"/>
  <c r="AI34" i="22"/>
  <c r="AE68" i="17"/>
  <c r="AI68" i="20"/>
  <c r="AK68" i="20" s="1"/>
  <c r="AH68" i="19"/>
  <c r="AH29" i="26"/>
  <c r="AJ29" i="26" s="1"/>
  <c r="D28" i="5"/>
  <c r="N28" i="5" s="1"/>
  <c r="N29" i="5" s="1"/>
  <c r="N32" i="5" s="1"/>
  <c r="Q29" i="26"/>
  <c r="Q31" i="26" s="1"/>
  <c r="Q35" i="26" s="1"/>
  <c r="AB31" i="26"/>
  <c r="AB35" i="26" s="1"/>
  <c r="AI36" i="18"/>
  <c r="F36" i="15"/>
  <c r="R36" i="18"/>
  <c r="C28" i="31"/>
  <c r="AI27" i="20"/>
  <c r="AK27" i="20" s="1"/>
  <c r="R27" i="20"/>
  <c r="R27" i="19" s="1"/>
  <c r="H35" i="15" s="1"/>
  <c r="G42" i="31"/>
  <c r="T36" i="5"/>
  <c r="AI44" i="23"/>
  <c r="AE79" i="16" s="1"/>
  <c r="AL27" i="25"/>
  <c r="R49" i="20"/>
  <c r="Q73" i="17" s="1"/>
  <c r="AB73" i="17" s="1"/>
  <c r="AI49" i="20"/>
  <c r="AK49" i="20" s="1"/>
  <c r="AH102" i="19"/>
  <c r="AD37" i="2" s="1"/>
  <c r="AI73" i="21"/>
  <c r="AK73" i="21" s="1"/>
  <c r="I101" i="30"/>
  <c r="AD39" i="27"/>
  <c r="R19" i="21"/>
  <c r="AI19" i="21"/>
  <c r="AC52" i="21"/>
  <c r="AC56" i="21" s="1"/>
  <c r="AL24" i="25"/>
  <c r="AC36" i="20"/>
  <c r="J17" i="3" s="1"/>
  <c r="AI34" i="20"/>
  <c r="AK34" i="20" s="1"/>
  <c r="R34" i="20"/>
  <c r="R34" i="19" s="1"/>
  <c r="Q47" i="17" s="1"/>
  <c r="AJ53" i="24"/>
  <c r="AL53" i="24" s="1"/>
  <c r="S53" i="24"/>
  <c r="AI61" i="21"/>
  <c r="AK61" i="21" s="1"/>
  <c r="AC70" i="21"/>
  <c r="AC79" i="21" s="1"/>
  <c r="R61" i="21"/>
  <c r="R90" i="19" s="1"/>
  <c r="H25" i="2" s="1"/>
  <c r="AL21" i="25"/>
  <c r="AI38" i="23"/>
  <c r="AE67" i="16" s="1"/>
  <c r="O56" i="34"/>
  <c r="AL36" i="25"/>
  <c r="AH71" i="19"/>
  <c r="AE95" i="16" s="1"/>
  <c r="R93" i="18"/>
  <c r="Q100" i="17" s="1"/>
  <c r="AI93" i="18"/>
  <c r="AK93" i="18" s="1"/>
  <c r="J25" i="32"/>
  <c r="R42" i="20"/>
  <c r="AC81" i="20"/>
  <c r="G23" i="11" s="1"/>
  <c r="I23" i="11" s="1"/>
  <c r="AI42" i="20"/>
  <c r="AK42" i="20" s="1"/>
  <c r="AB21" i="15"/>
  <c r="R51" i="21"/>
  <c r="R80" i="19" s="1"/>
  <c r="AE80" i="19" s="1"/>
  <c r="AI51" i="21"/>
  <c r="AK51" i="21" s="1"/>
  <c r="AL23" i="25"/>
  <c r="C23" i="30"/>
  <c r="R38" i="21"/>
  <c r="R67" i="19" s="1"/>
  <c r="AE67" i="19" s="1"/>
  <c r="AI38" i="21"/>
  <c r="AK38" i="21" s="1"/>
  <c r="AE96" i="17"/>
  <c r="AE114" i="17"/>
  <c r="AA26" i="3"/>
  <c r="R59" i="20"/>
  <c r="AI59" i="20"/>
  <c r="AK59" i="20" s="1"/>
  <c r="AF97" i="18"/>
  <c r="AI63" i="18"/>
  <c r="AK63" i="18" s="1"/>
  <c r="AE67" i="17"/>
  <c r="P30" i="37"/>
  <c r="AI74" i="20"/>
  <c r="AK74" i="20" s="1"/>
  <c r="R74" i="20"/>
  <c r="AA14" i="27"/>
  <c r="AJ75" i="24"/>
  <c r="AL75" i="24" s="1"/>
  <c r="AI75" i="23"/>
  <c r="AF52" i="21"/>
  <c r="AF56" i="21" s="1"/>
  <c r="AK19" i="21"/>
  <c r="AI35" i="21"/>
  <c r="AK35" i="21" s="1"/>
  <c r="R35" i="21"/>
  <c r="S37" i="25"/>
  <c r="S54" i="23" s="1"/>
  <c r="AF54" i="23" s="1"/>
  <c r="AJ37" i="25"/>
  <c r="S38" i="25"/>
  <c r="S55" i="23" s="1"/>
  <c r="AF55" i="23" s="1"/>
  <c r="AJ38" i="25"/>
  <c r="AL38" i="25" s="1"/>
  <c r="AE21" i="16"/>
  <c r="AD16" i="15" s="1"/>
  <c r="AF23" i="18"/>
  <c r="AF27" i="18" s="1"/>
  <c r="AE21" i="17"/>
  <c r="F25" i="32"/>
  <c r="J18" i="32"/>
  <c r="AL37" i="25"/>
  <c r="AH40" i="26"/>
  <c r="AJ40" i="26" s="1"/>
  <c r="D36" i="5"/>
  <c r="Q40" i="26"/>
  <c r="B36" i="5" s="1"/>
  <c r="S52" i="25"/>
  <c r="S70" i="23" s="1"/>
  <c r="P26" i="2" s="1"/>
  <c r="AJ52" i="25"/>
  <c r="AJ23" i="24"/>
  <c r="AJ26" i="24" s="1"/>
  <c r="AL23" i="24"/>
  <c r="AG26" i="24"/>
  <c r="AI23" i="23"/>
  <c r="AN23" i="23" s="1"/>
  <c r="AI92" i="23"/>
  <c r="AL92" i="23" s="1"/>
  <c r="AN92" i="23" s="1"/>
  <c r="AG76" i="25"/>
  <c r="AG38" i="22"/>
  <c r="AI38" i="22" s="1"/>
  <c r="P38" i="22"/>
  <c r="AE99" i="17"/>
  <c r="AI40" i="22"/>
  <c r="I32" i="13"/>
  <c r="I33" i="13" s="1"/>
  <c r="AF93" i="23"/>
  <c r="R50" i="2" s="1"/>
  <c r="T33" i="6"/>
  <c r="AL41" i="24"/>
  <c r="AI41" i="23"/>
  <c r="AN41" i="23" s="1"/>
  <c r="R34" i="18"/>
  <c r="AI34" i="18"/>
  <c r="AK34" i="18" s="1"/>
  <c r="F34" i="15"/>
  <c r="AI70" i="23"/>
  <c r="AL52" i="25"/>
  <c r="AJ74" i="24"/>
  <c r="AL74" i="24" s="1"/>
  <c r="AI74" i="23"/>
  <c r="AD30" i="2" s="1"/>
  <c r="AI29" i="21"/>
  <c r="R29" i="21"/>
  <c r="AK24" i="21"/>
  <c r="D20" i="33"/>
  <c r="J17" i="33"/>
  <c r="AJ36" i="24"/>
  <c r="AL36" i="24" s="1"/>
  <c r="AD60" i="24"/>
  <c r="G23" i="14" s="1"/>
  <c r="I23" i="14" s="1"/>
  <c r="S36" i="24"/>
  <c r="AE56" i="16"/>
  <c r="AD54" i="15" s="1"/>
  <c r="AH54" i="15" s="1"/>
  <c r="AJ54" i="15" s="1"/>
  <c r="AE56" i="17"/>
  <c r="AI52" i="18"/>
  <c r="AK52" i="18" s="1"/>
  <c r="R28" i="21"/>
  <c r="AI28" i="21"/>
  <c r="AJ31" i="25"/>
  <c r="S31" i="25"/>
  <c r="S48" i="23" s="1"/>
  <c r="AF48" i="23" s="1"/>
  <c r="AH21" i="19"/>
  <c r="AE33" i="16" s="1"/>
  <c r="AD29" i="15" s="1"/>
  <c r="AF29" i="20"/>
  <c r="O62" i="34"/>
  <c r="S51" i="24"/>
  <c r="AJ51" i="24"/>
  <c r="AL51" i="24" s="1"/>
  <c r="AH47" i="19"/>
  <c r="AE70" i="16" s="1"/>
  <c r="P29" i="37"/>
  <c r="AE22" i="17"/>
  <c r="AE22" i="16"/>
  <c r="AD17" i="15" s="1"/>
  <c r="AH17" i="15" s="1"/>
  <c r="AJ17" i="15" s="1"/>
  <c r="AI19" i="18"/>
  <c r="AK19" i="18" s="1"/>
  <c r="AH79" i="19"/>
  <c r="K38" i="30"/>
  <c r="R44" i="21"/>
  <c r="AI44" i="21"/>
  <c r="AK44" i="21" s="1"/>
  <c r="T32" i="6"/>
  <c r="AD39" i="28"/>
  <c r="AI89" i="18"/>
  <c r="AK89" i="18" s="1"/>
  <c r="R89" i="18"/>
  <c r="Q96" i="17" s="1"/>
  <c r="R29" i="5"/>
  <c r="AJ55" i="25"/>
  <c r="AL55" i="25" s="1"/>
  <c r="S55" i="25"/>
  <c r="AH22" i="19"/>
  <c r="AE34" i="16" s="1"/>
  <c r="AD30" i="15" s="1"/>
  <c r="AH30" i="15" s="1"/>
  <c r="AJ30" i="15" s="1"/>
  <c r="AI22" i="20"/>
  <c r="AK22" i="20" s="1"/>
  <c r="AE34" i="17"/>
  <c r="R66" i="20"/>
  <c r="Q90" i="17" s="1"/>
  <c r="AI66" i="20"/>
  <c r="AK66" i="20" s="1"/>
  <c r="AH52" i="19"/>
  <c r="AE76" i="16" s="1"/>
  <c r="AI73" i="20"/>
  <c r="AK73" i="20" s="1"/>
  <c r="R73" i="20"/>
  <c r="Q97" i="17" s="1"/>
  <c r="R47" i="21"/>
  <c r="R76" i="19" s="1"/>
  <c r="AE76" i="19" s="1"/>
  <c r="AI47" i="21"/>
  <c r="AK47" i="21" s="1"/>
  <c r="D25" i="2"/>
  <c r="D26" i="3" s="1"/>
  <c r="G34" i="9"/>
  <c r="I34" i="9" s="1"/>
  <c r="N18" i="2"/>
  <c r="N20" i="2" s="1"/>
  <c r="AB84" i="16"/>
  <c r="Q56" i="17"/>
  <c r="D54" i="15"/>
  <c r="V54" i="15" s="1"/>
  <c r="Q56" i="16"/>
  <c r="Q129" i="16"/>
  <c r="H40" i="2"/>
  <c r="AE96" i="19"/>
  <c r="J31" i="2" s="1"/>
  <c r="H31" i="2"/>
  <c r="Q49" i="17"/>
  <c r="D46" i="15"/>
  <c r="V46" i="15" s="1"/>
  <c r="Q49" i="16"/>
  <c r="O86" i="16"/>
  <c r="O130" i="16"/>
  <c r="Q78" i="23"/>
  <c r="Q85" i="23" s="1"/>
  <c r="O105" i="17"/>
  <c r="O114" i="16"/>
  <c r="O47" i="26"/>
  <c r="O123" i="17"/>
  <c r="O132" i="17" s="1"/>
  <c r="Q60" i="23"/>
  <c r="Q64" i="23" s="1"/>
  <c r="O56" i="17"/>
  <c r="O56" i="16"/>
  <c r="O38" i="17"/>
  <c r="O38" i="16"/>
  <c r="O40" i="17"/>
  <c r="O40" i="16"/>
  <c r="O33" i="17"/>
  <c r="O33" i="16"/>
  <c r="O118" i="16"/>
  <c r="O49" i="17"/>
  <c r="O49" i="16"/>
  <c r="P36" i="19"/>
  <c r="O47" i="16"/>
  <c r="O47" i="17"/>
  <c r="O121" i="16"/>
  <c r="O75" i="16"/>
  <c r="Q70" i="25"/>
  <c r="Q80" i="25" s="1"/>
  <c r="O138" i="17"/>
  <c r="O117" i="16"/>
  <c r="O52" i="17"/>
  <c r="O52" i="16"/>
  <c r="AB84" i="17"/>
  <c r="O90" i="16"/>
  <c r="Q88" i="24"/>
  <c r="Q99" i="24" s="1"/>
  <c r="O83" i="16"/>
  <c r="AE60" i="19"/>
  <c r="O55" i="17"/>
  <c r="O55" i="16"/>
  <c r="O46" i="17"/>
  <c r="O46" i="16"/>
  <c r="P29" i="19"/>
  <c r="O94" i="16"/>
  <c r="O139" i="17"/>
  <c r="N39" i="28"/>
  <c r="N44" i="28" s="1"/>
  <c r="P99" i="19"/>
  <c r="P108" i="19" s="1"/>
  <c r="P81" i="19"/>
  <c r="P38" i="20"/>
  <c r="P85" i="20" s="1"/>
  <c r="P109" i="20" s="1"/>
  <c r="P119" i="20" s="1"/>
  <c r="P82" i="21"/>
  <c r="P92" i="21" s="1"/>
  <c r="P38" i="18"/>
  <c r="P46" i="18"/>
  <c r="P54" i="18"/>
  <c r="M76" i="16"/>
  <c r="M121" i="16"/>
  <c r="N99" i="19"/>
  <c r="N108" i="19" s="1"/>
  <c r="M117" i="16"/>
  <c r="M78" i="16"/>
  <c r="M70" i="16"/>
  <c r="M90" i="16"/>
  <c r="M82" i="16"/>
  <c r="M95" i="16"/>
  <c r="M92" i="16"/>
  <c r="M77" i="16"/>
  <c r="O95" i="23"/>
  <c r="M50" i="16"/>
  <c r="M50" i="17"/>
  <c r="M74" i="16"/>
  <c r="M75" i="16"/>
  <c r="M58" i="17"/>
  <c r="M139" i="17"/>
  <c r="M141" i="17" s="1"/>
  <c r="M47" i="26"/>
  <c r="L39" i="28"/>
  <c r="L44" i="28" s="1"/>
  <c r="O70" i="25"/>
  <c r="O80" i="25" s="1"/>
  <c r="N82" i="21"/>
  <c r="N92" i="21" s="1"/>
  <c r="N38" i="19"/>
  <c r="M42" i="16"/>
  <c r="M105" i="17"/>
  <c r="O60" i="23"/>
  <c r="N38" i="20"/>
  <c r="N85" i="20" s="1"/>
  <c r="N109" i="20" s="1"/>
  <c r="N119" i="20" s="1"/>
  <c r="M42" i="17"/>
  <c r="N56" i="18"/>
  <c r="N101" i="18" s="1"/>
  <c r="N124" i="18" s="1"/>
  <c r="M113" i="16"/>
  <c r="O78" i="23"/>
  <c r="O85" i="23" s="1"/>
  <c r="N81" i="19"/>
  <c r="M86" i="16"/>
  <c r="M94" i="16"/>
  <c r="M118" i="16"/>
  <c r="R115" i="18" l="1"/>
  <c r="D43" i="15"/>
  <c r="V43" i="15" s="1"/>
  <c r="R65" i="19"/>
  <c r="AE65" i="19" s="1"/>
  <c r="Q46" i="16"/>
  <c r="G24" i="12"/>
  <c r="G27" i="12" s="1"/>
  <c r="G37" i="12" s="1"/>
  <c r="S49" i="23"/>
  <c r="AF49" i="23" s="1"/>
  <c r="AL49" i="23" s="1"/>
  <c r="R47" i="19"/>
  <c r="Q70" i="16" s="1"/>
  <c r="AG70" i="25"/>
  <c r="AG80" i="25" s="1"/>
  <c r="AI36" i="20"/>
  <c r="AK36" i="20" s="1"/>
  <c r="G24" i="9"/>
  <c r="K24" i="9" s="1"/>
  <c r="AK54" i="19"/>
  <c r="AM54" i="19" s="1"/>
  <c r="R36" i="19"/>
  <c r="H16" i="2" s="1"/>
  <c r="P31" i="37"/>
  <c r="P33" i="37" s="1"/>
  <c r="P45" i="37" s="1"/>
  <c r="Z33" i="37"/>
  <c r="Z45" i="37" s="1"/>
  <c r="Z25" i="37"/>
  <c r="P24" i="37"/>
  <c r="P25" i="37" s="1"/>
  <c r="R135" i="18"/>
  <c r="D50" i="2" s="1"/>
  <c r="F50" i="2"/>
  <c r="F49" i="2"/>
  <c r="R131" i="18"/>
  <c r="AA16" i="3"/>
  <c r="AL40" i="23"/>
  <c r="AN40" i="23" s="1"/>
  <c r="AE91" i="16"/>
  <c r="S57" i="23"/>
  <c r="Q100" i="16" s="1"/>
  <c r="Q70" i="17"/>
  <c r="AA17" i="3"/>
  <c r="Q78" i="17"/>
  <c r="R106" i="19"/>
  <c r="Q130" i="16" s="1"/>
  <c r="S44" i="23"/>
  <c r="Q79" i="16" s="1"/>
  <c r="C45" i="31"/>
  <c r="V35" i="15"/>
  <c r="AL54" i="23"/>
  <c r="AN54" i="23" s="1"/>
  <c r="T34" i="6"/>
  <c r="Y34" i="6" s="1"/>
  <c r="S73" i="23"/>
  <c r="AF73" i="23" s="1"/>
  <c r="H33" i="3"/>
  <c r="H35" i="3" s="1"/>
  <c r="R99" i="20"/>
  <c r="R106" i="20" s="1"/>
  <c r="Q121" i="17"/>
  <c r="Q123" i="17" s="1"/>
  <c r="Q55" i="17"/>
  <c r="D53" i="15"/>
  <c r="V53" i="15" s="1"/>
  <c r="Q55" i="16"/>
  <c r="S46" i="23"/>
  <c r="AF46" i="23" s="1"/>
  <c r="AL46" i="23" s="1"/>
  <c r="AN46" i="23" s="1"/>
  <c r="AE78" i="16"/>
  <c r="R51" i="19"/>
  <c r="AE51" i="19" s="1"/>
  <c r="AK51" i="19" s="1"/>
  <c r="AM51" i="19" s="1"/>
  <c r="AJ76" i="25"/>
  <c r="AL76" i="25" s="1"/>
  <c r="R53" i="19"/>
  <c r="Q77" i="16" s="1"/>
  <c r="S36" i="23"/>
  <c r="Q65" i="16" s="1"/>
  <c r="F16" i="2"/>
  <c r="G22" i="9"/>
  <c r="I22" i="9" s="1"/>
  <c r="AD46" i="25"/>
  <c r="AL46" i="25" s="1"/>
  <c r="S23" i="14"/>
  <c r="W23" i="14" s="1"/>
  <c r="W27" i="14" s="1"/>
  <c r="W37" i="14" s="1"/>
  <c r="F17" i="2"/>
  <c r="G23" i="9"/>
  <c r="K23" i="9" s="1"/>
  <c r="Q52" i="16"/>
  <c r="Q52" i="17"/>
  <c r="D50" i="15"/>
  <c r="AE77" i="19"/>
  <c r="AK77" i="19" s="1"/>
  <c r="AM77" i="19" s="1"/>
  <c r="Q101" i="16"/>
  <c r="AH48" i="16"/>
  <c r="AJ48" i="16" s="1"/>
  <c r="AD45" i="15"/>
  <c r="AH45" i="15" s="1"/>
  <c r="AJ45" i="15" s="1"/>
  <c r="AF91" i="23"/>
  <c r="AF95" i="23" s="1"/>
  <c r="P48" i="2"/>
  <c r="K25" i="14"/>
  <c r="I25" i="14"/>
  <c r="D38" i="2"/>
  <c r="D39" i="3" s="1"/>
  <c r="Q127" i="17"/>
  <c r="Q127" i="16"/>
  <c r="H15" i="3"/>
  <c r="R17" i="19"/>
  <c r="AE17" i="19" s="1"/>
  <c r="Q72" i="17"/>
  <c r="Q72" i="16"/>
  <c r="Q74" i="17"/>
  <c r="R50" i="19"/>
  <c r="AE50" i="19" s="1"/>
  <c r="AK50" i="19" s="1"/>
  <c r="AM50" i="19" s="1"/>
  <c r="P39" i="27"/>
  <c r="F36" i="5"/>
  <c r="F37" i="5" s="1"/>
  <c r="Q89" i="17"/>
  <c r="Q76" i="17"/>
  <c r="R52" i="19"/>
  <c r="Q76" i="16" s="1"/>
  <c r="R88" i="21"/>
  <c r="R114" i="19"/>
  <c r="Q40" i="17"/>
  <c r="AB40" i="17" s="1"/>
  <c r="AH40" i="17" s="1"/>
  <c r="AJ40" i="17" s="1"/>
  <c r="D36" i="15"/>
  <c r="Q64" i="17"/>
  <c r="R42" i="19"/>
  <c r="R59" i="19"/>
  <c r="AE59" i="19" s="1"/>
  <c r="AK59" i="19" s="1"/>
  <c r="AM59" i="19" s="1"/>
  <c r="Q83" i="17"/>
  <c r="AB83" i="17" s="1"/>
  <c r="AH83" i="17" s="1"/>
  <c r="AJ83" i="17" s="1"/>
  <c r="R74" i="19"/>
  <c r="Q98" i="17"/>
  <c r="AB98" i="17" s="1"/>
  <c r="AH98" i="17" s="1"/>
  <c r="AJ98" i="17" s="1"/>
  <c r="S53" i="23"/>
  <c r="AF53" i="23" s="1"/>
  <c r="AL53" i="23" s="1"/>
  <c r="AN53" i="23" s="1"/>
  <c r="AI78" i="23"/>
  <c r="AI85" i="23" s="1"/>
  <c r="AL29" i="24"/>
  <c r="S95" i="24"/>
  <c r="H44" i="15"/>
  <c r="G22" i="11"/>
  <c r="I22" i="11" s="1"/>
  <c r="N36" i="5"/>
  <c r="N37" i="5" s="1"/>
  <c r="N42" i="5" s="1"/>
  <c r="R64" i="19"/>
  <c r="AA19" i="3"/>
  <c r="I103" i="30"/>
  <c r="Q103" i="16"/>
  <c r="S72" i="23"/>
  <c r="P28" i="2" s="1"/>
  <c r="Q86" i="17"/>
  <c r="R66" i="19"/>
  <c r="AE66" i="19" s="1"/>
  <c r="AK66" i="19" s="1"/>
  <c r="AM66" i="19" s="1"/>
  <c r="Q75" i="17"/>
  <c r="AE118" i="16"/>
  <c r="J19" i="3"/>
  <c r="J21" i="3" s="1"/>
  <c r="S68" i="23"/>
  <c r="AF68" i="23" s="1"/>
  <c r="R24" i="2" s="1"/>
  <c r="AK80" i="19"/>
  <c r="AM80" i="19" s="1"/>
  <c r="R62" i="19"/>
  <c r="AE62" i="19" s="1"/>
  <c r="AK62" i="19" s="1"/>
  <c r="AM62" i="19" s="1"/>
  <c r="AH32" i="15"/>
  <c r="AJ32" i="15" s="1"/>
  <c r="AE88" i="16"/>
  <c r="AF82" i="21"/>
  <c r="AF92" i="21" s="1"/>
  <c r="R70" i="19"/>
  <c r="AE70" i="19" s="1"/>
  <c r="AK70" i="19" s="1"/>
  <c r="AM70" i="19" s="1"/>
  <c r="S41" i="23"/>
  <c r="AF41" i="23" s="1"/>
  <c r="AL41" i="23" s="1"/>
  <c r="AL50" i="23"/>
  <c r="AN50" i="23" s="1"/>
  <c r="D34" i="6"/>
  <c r="S51" i="23"/>
  <c r="AF51" i="23" s="1"/>
  <c r="AL51" i="23" s="1"/>
  <c r="AN51" i="23" s="1"/>
  <c r="AK46" i="19"/>
  <c r="AM46" i="19" s="1"/>
  <c r="R97" i="19"/>
  <c r="Q121" i="16" s="1"/>
  <c r="R73" i="19"/>
  <c r="R54" i="18"/>
  <c r="D17" i="2" s="1"/>
  <c r="D18" i="3" s="1"/>
  <c r="G21" i="11"/>
  <c r="AE44" i="16"/>
  <c r="AD41" i="15" s="1"/>
  <c r="AH41" i="15" s="1"/>
  <c r="AJ41" i="15" s="1"/>
  <c r="K36" i="9"/>
  <c r="AH31" i="26"/>
  <c r="AJ31" i="26" s="1"/>
  <c r="AE34" i="19"/>
  <c r="R121" i="18"/>
  <c r="AI23" i="18"/>
  <c r="AK23" i="18" s="1"/>
  <c r="L33" i="6"/>
  <c r="N32" i="6"/>
  <c r="W32" i="6" s="1"/>
  <c r="Y32" i="6" s="1"/>
  <c r="T37" i="5"/>
  <c r="Q78" i="16"/>
  <c r="H34" i="15"/>
  <c r="Q68" i="16"/>
  <c r="AD29" i="2"/>
  <c r="G26" i="13"/>
  <c r="AE92" i="16"/>
  <c r="AE50" i="17"/>
  <c r="AE74" i="16"/>
  <c r="AE97" i="16"/>
  <c r="Q33" i="17"/>
  <c r="G25" i="13"/>
  <c r="K25" i="13" s="1"/>
  <c r="M25" i="13" s="1"/>
  <c r="Q38" i="17"/>
  <c r="H34" i="6"/>
  <c r="D29" i="5"/>
  <c r="D32" i="5" s="1"/>
  <c r="Q40" i="16"/>
  <c r="AB40" i="16" s="1"/>
  <c r="AH40" i="16" s="1"/>
  <c r="AJ40" i="16" s="1"/>
  <c r="AE126" i="16"/>
  <c r="AL55" i="23"/>
  <c r="AN55" i="23" s="1"/>
  <c r="AE75" i="16"/>
  <c r="AG39" i="29"/>
  <c r="AI39" i="29" s="1"/>
  <c r="J39" i="28"/>
  <c r="J44" i="28" s="1"/>
  <c r="S78" i="24"/>
  <c r="S85" i="24" s="1"/>
  <c r="AG31" i="24"/>
  <c r="AG51" i="22"/>
  <c r="AI51" i="22" s="1"/>
  <c r="AF38" i="20"/>
  <c r="AF85" i="20" s="1"/>
  <c r="AF109" i="20" s="1"/>
  <c r="AF119" i="20" s="1"/>
  <c r="AF121" i="20" s="1"/>
  <c r="R38" i="18"/>
  <c r="D15" i="2" s="1"/>
  <c r="AE105" i="17"/>
  <c r="AE42" i="17"/>
  <c r="AE58" i="17"/>
  <c r="X56" i="15"/>
  <c r="F38" i="15"/>
  <c r="B34" i="6"/>
  <c r="B39" i="6" s="1"/>
  <c r="F34" i="6"/>
  <c r="F39" i="6" s="1"/>
  <c r="D48" i="32"/>
  <c r="P39" i="29"/>
  <c r="P44" i="29" s="1"/>
  <c r="P39" i="28"/>
  <c r="P44" i="28" s="1"/>
  <c r="AH42" i="26"/>
  <c r="S42" i="25"/>
  <c r="S46" i="25" s="1"/>
  <c r="S60" i="25"/>
  <c r="S67" i="25" s="1"/>
  <c r="AJ42" i="25"/>
  <c r="AL42" i="25" s="1"/>
  <c r="AJ60" i="25"/>
  <c r="P51" i="22"/>
  <c r="AI52" i="21"/>
  <c r="AI56" i="21" s="1"/>
  <c r="R52" i="21"/>
  <c r="R56" i="21" s="1"/>
  <c r="R29" i="20"/>
  <c r="H16" i="3" s="1"/>
  <c r="AI81" i="20"/>
  <c r="AK81" i="20" s="1"/>
  <c r="AK76" i="19"/>
  <c r="AM76" i="19" s="1"/>
  <c r="AI54" i="18"/>
  <c r="AK54" i="18" s="1"/>
  <c r="AI97" i="18"/>
  <c r="AK97" i="18" s="1"/>
  <c r="AI38" i="18"/>
  <c r="AK38" i="18" s="1"/>
  <c r="N33" i="6"/>
  <c r="AE94" i="16"/>
  <c r="AE107" i="16"/>
  <c r="AE77" i="16"/>
  <c r="Q96" i="16"/>
  <c r="AE85" i="16"/>
  <c r="U26" i="14"/>
  <c r="Q99" i="16"/>
  <c r="AE122" i="16"/>
  <c r="I24" i="14"/>
  <c r="Q120" i="16"/>
  <c r="AH81" i="19"/>
  <c r="AE119" i="16"/>
  <c r="AL48" i="23"/>
  <c r="AN48" i="23" s="1"/>
  <c r="G40" i="7"/>
  <c r="K40" i="7" s="1"/>
  <c r="AK65" i="19"/>
  <c r="AM65" i="19" s="1"/>
  <c r="AG39" i="27"/>
  <c r="AI39" i="27" s="1"/>
  <c r="AE47" i="26"/>
  <c r="AL26" i="24"/>
  <c r="AA78" i="22"/>
  <c r="AK56" i="21"/>
  <c r="AI79" i="21"/>
  <c r="AK88" i="21"/>
  <c r="J43" i="3"/>
  <c r="AB47" i="26"/>
  <c r="S95" i="23"/>
  <c r="AK79" i="21"/>
  <c r="AK102" i="19"/>
  <c r="AM102" i="19" s="1"/>
  <c r="AI46" i="18"/>
  <c r="AK46" i="18" s="1"/>
  <c r="W25" i="11"/>
  <c r="W28" i="5"/>
  <c r="Y28" i="5" s="1"/>
  <c r="AI29" i="23"/>
  <c r="AL29" i="23" s="1"/>
  <c r="AN29" i="23" s="1"/>
  <c r="G33" i="10"/>
  <c r="K33" i="10" s="1"/>
  <c r="M33" i="10" s="1"/>
  <c r="AA35" i="3"/>
  <c r="AA43" i="3" s="1"/>
  <c r="G32" i="10"/>
  <c r="K32" i="10" s="1"/>
  <c r="O32" i="10" s="1"/>
  <c r="AE55" i="16"/>
  <c r="AD53" i="15" s="1"/>
  <c r="AH53" i="15" s="1"/>
  <c r="AJ53" i="15" s="1"/>
  <c r="G20" i="7"/>
  <c r="K20" i="7" s="1"/>
  <c r="AE120" i="16"/>
  <c r="AH73" i="17"/>
  <c r="AJ73" i="17" s="1"/>
  <c r="AE117" i="16"/>
  <c r="AE115" i="16"/>
  <c r="S33" i="14"/>
  <c r="AE100" i="16"/>
  <c r="Q38" i="16"/>
  <c r="Q33" i="16"/>
  <c r="Q104" i="16"/>
  <c r="AB104" i="16" s="1"/>
  <c r="AH104" i="16" s="1"/>
  <c r="AJ104" i="16" s="1"/>
  <c r="Q39" i="16"/>
  <c r="AD33" i="2"/>
  <c r="AE113" i="16"/>
  <c r="F47" i="15"/>
  <c r="AD26" i="2"/>
  <c r="Q91" i="16"/>
  <c r="AD41" i="2"/>
  <c r="M24" i="13"/>
  <c r="AD33" i="15"/>
  <c r="AH33" i="15" s="1"/>
  <c r="AJ33" i="15" s="1"/>
  <c r="AD14" i="2"/>
  <c r="AE130" i="17"/>
  <c r="AK67" i="19"/>
  <c r="AM67" i="19" s="1"/>
  <c r="C157" i="30"/>
  <c r="AD44" i="27"/>
  <c r="AJ31" i="24"/>
  <c r="AF62" i="23"/>
  <c r="R19" i="2" s="1"/>
  <c r="AL23" i="23"/>
  <c r="AL26" i="23" s="1"/>
  <c r="AF75" i="23"/>
  <c r="R31" i="2" s="1"/>
  <c r="R81" i="20"/>
  <c r="H19" i="3" s="1"/>
  <c r="AE27" i="19"/>
  <c r="J35" i="15" s="1"/>
  <c r="X35" i="15" s="1"/>
  <c r="AH35" i="15" s="1"/>
  <c r="AJ35" i="15" s="1"/>
  <c r="AK22" i="19"/>
  <c r="AM22" i="19" s="1"/>
  <c r="AK60" i="19"/>
  <c r="AM60" i="19" s="1"/>
  <c r="AE58" i="19"/>
  <c r="AK58" i="19" s="1"/>
  <c r="AM58" i="19" s="1"/>
  <c r="AF56" i="18"/>
  <c r="AF101" i="18" s="1"/>
  <c r="AF124" i="18" s="1"/>
  <c r="AE123" i="17"/>
  <c r="K32" i="13"/>
  <c r="M32" i="13" s="1"/>
  <c r="K20" i="11"/>
  <c r="K23" i="11"/>
  <c r="I20" i="11"/>
  <c r="W35" i="5"/>
  <c r="Y35" i="5" s="1"/>
  <c r="AD42" i="3"/>
  <c r="AF42" i="3" s="1"/>
  <c r="L18" i="32"/>
  <c r="AI26" i="28"/>
  <c r="Q42" i="26"/>
  <c r="Q47" i="26" s="1"/>
  <c r="AL60" i="25"/>
  <c r="AD85" i="24"/>
  <c r="AJ85" i="24" s="1"/>
  <c r="AL85" i="24" s="1"/>
  <c r="AJ95" i="24"/>
  <c r="AL95" i="24" s="1"/>
  <c r="AL28" i="24"/>
  <c r="AJ78" i="24"/>
  <c r="AL78" i="24" s="1"/>
  <c r="AF74" i="23"/>
  <c r="R30" i="2" s="1"/>
  <c r="AL58" i="23"/>
  <c r="AN58" i="23" s="1"/>
  <c r="AL56" i="23"/>
  <c r="AN56" i="23" s="1"/>
  <c r="AF38" i="23"/>
  <c r="AL38" i="23" s="1"/>
  <c r="AN38" i="23" s="1"/>
  <c r="AI95" i="23"/>
  <c r="AL43" i="23"/>
  <c r="AN43" i="23" s="1"/>
  <c r="AL42" i="23"/>
  <c r="AN42" i="23" s="1"/>
  <c r="AF70" i="23"/>
  <c r="R26" i="2" s="1"/>
  <c r="AL69" i="23"/>
  <c r="AN69" i="23" s="1"/>
  <c r="AI63" i="22"/>
  <c r="AI61" i="22"/>
  <c r="AG30" i="22"/>
  <c r="AC82" i="21"/>
  <c r="AK52" i="21"/>
  <c r="AI88" i="21"/>
  <c r="AC38" i="20"/>
  <c r="AC85" i="20" s="1"/>
  <c r="AI115" i="20"/>
  <c r="AK45" i="19"/>
  <c r="AM45" i="19" s="1"/>
  <c r="AK68" i="19"/>
  <c r="AM68" i="19" s="1"/>
  <c r="AH117" i="19"/>
  <c r="AK79" i="19"/>
  <c r="AM79" i="19" s="1"/>
  <c r="AH36" i="19"/>
  <c r="AH29" i="19"/>
  <c r="AD15" i="2" s="1"/>
  <c r="AK25" i="19"/>
  <c r="AM25" i="19" s="1"/>
  <c r="AH99" i="19"/>
  <c r="AH108" i="19" s="1"/>
  <c r="AK26" i="19"/>
  <c r="AM26" i="19" s="1"/>
  <c r="AH84" i="17"/>
  <c r="AJ84" i="17" s="1"/>
  <c r="AE42" i="16"/>
  <c r="AH27" i="16"/>
  <c r="AJ27" i="16" s="1"/>
  <c r="X36" i="15"/>
  <c r="AH36" i="15" s="1"/>
  <c r="AJ36" i="15" s="1"/>
  <c r="U30" i="14"/>
  <c r="K30" i="14"/>
  <c r="K33" i="14" s="1"/>
  <c r="I30" i="14"/>
  <c r="W32" i="11"/>
  <c r="M25" i="10"/>
  <c r="D37" i="5"/>
  <c r="AD31" i="2"/>
  <c r="R70" i="21"/>
  <c r="R79" i="21" s="1"/>
  <c r="D34" i="15"/>
  <c r="S23" i="11"/>
  <c r="W23" i="11" s="1"/>
  <c r="AD24" i="2"/>
  <c r="Q103" i="17"/>
  <c r="AB82" i="16"/>
  <c r="AH82" i="16" s="1"/>
  <c r="AJ82" i="16" s="1"/>
  <c r="Q102" i="16"/>
  <c r="AB102" i="16" s="1"/>
  <c r="Q85" i="16"/>
  <c r="Q85" i="17"/>
  <c r="B28" i="5"/>
  <c r="L28" i="5" s="1"/>
  <c r="L29" i="5" s="1"/>
  <c r="Q115" i="16"/>
  <c r="R49" i="19"/>
  <c r="Q73" i="16" s="1"/>
  <c r="AB73" i="16" s="1"/>
  <c r="AH73" i="16" s="1"/>
  <c r="AJ73" i="16" s="1"/>
  <c r="G21" i="9"/>
  <c r="I21" i="9" s="1"/>
  <c r="AD64" i="24"/>
  <c r="Q82" i="17"/>
  <c r="AB82" i="17" s="1"/>
  <c r="AH82" i="17" s="1"/>
  <c r="AJ82" i="17" s="1"/>
  <c r="Q36" i="17"/>
  <c r="Q77" i="17"/>
  <c r="I33" i="11"/>
  <c r="G33" i="8"/>
  <c r="K33" i="8" s="1"/>
  <c r="L32" i="6"/>
  <c r="H42" i="3"/>
  <c r="Q130" i="17"/>
  <c r="AB130" i="17" s="1"/>
  <c r="H36" i="15"/>
  <c r="Q47" i="16"/>
  <c r="Q50" i="16" s="1"/>
  <c r="Q36" i="16"/>
  <c r="AI70" i="21"/>
  <c r="AH50" i="15"/>
  <c r="AJ50" i="15" s="1"/>
  <c r="AI28" i="28"/>
  <c r="R46" i="18"/>
  <c r="D16" i="2" s="1"/>
  <c r="D17" i="3" s="1"/>
  <c r="T29" i="5"/>
  <c r="T32" i="5" s="1"/>
  <c r="I36" i="9"/>
  <c r="AG39" i="28"/>
  <c r="AI39" i="28" s="1"/>
  <c r="AD67" i="25"/>
  <c r="AL67" i="25" s="1"/>
  <c r="K23" i="14"/>
  <c r="Q39" i="17"/>
  <c r="U33" i="11"/>
  <c r="AD30" i="22"/>
  <c r="AD55" i="22" s="1"/>
  <c r="AD66" i="22" s="1"/>
  <c r="AD76" i="22" s="1"/>
  <c r="AI29" i="20"/>
  <c r="AK29" i="20" s="1"/>
  <c r="AC106" i="20"/>
  <c r="G29" i="11"/>
  <c r="AL93" i="23"/>
  <c r="AN93" i="23" s="1"/>
  <c r="R97" i="18"/>
  <c r="D18" i="2" s="1"/>
  <c r="D19" i="3" s="1"/>
  <c r="AE21" i="19"/>
  <c r="J29" i="15" s="1"/>
  <c r="Q114" i="16"/>
  <c r="Q69" i="16"/>
  <c r="F56" i="15"/>
  <c r="Q119" i="16"/>
  <c r="AK99" i="20"/>
  <c r="AE114" i="16"/>
  <c r="AI99" i="20"/>
  <c r="AC56" i="18"/>
  <c r="AC101" i="18" s="1"/>
  <c r="AC124" i="18" s="1"/>
  <c r="AE90" i="19"/>
  <c r="J25" i="2" s="1"/>
  <c r="R29" i="19"/>
  <c r="AH88" i="17"/>
  <c r="AJ88" i="17" s="1"/>
  <c r="AH84" i="16"/>
  <c r="AJ84" i="16" s="1"/>
  <c r="S29" i="11"/>
  <c r="U29" i="11" s="1"/>
  <c r="G25" i="7"/>
  <c r="K25" i="7" s="1"/>
  <c r="AG28" i="27"/>
  <c r="AG32" i="27" s="1"/>
  <c r="AI32" i="27" s="1"/>
  <c r="Q107" i="16"/>
  <c r="AK70" i="21"/>
  <c r="K24" i="14"/>
  <c r="Q27" i="17"/>
  <c r="AI26" i="23"/>
  <c r="G30" i="13"/>
  <c r="K30" i="13" s="1"/>
  <c r="O30" i="13" s="1"/>
  <c r="R36" i="20"/>
  <c r="H17" i="3" s="1"/>
  <c r="AE47" i="19"/>
  <c r="AK47" i="19" s="1"/>
  <c r="AM47" i="19" s="1"/>
  <c r="AF57" i="23"/>
  <c r="AL57" i="23" s="1"/>
  <c r="AN57" i="23" s="1"/>
  <c r="Q92" i="16"/>
  <c r="K34" i="9"/>
  <c r="AE71" i="19"/>
  <c r="AK71" i="19" s="1"/>
  <c r="AM71" i="19" s="1"/>
  <c r="Q118" i="16"/>
  <c r="B37" i="5"/>
  <c r="S27" i="14"/>
  <c r="D34" i="2"/>
  <c r="U23" i="14"/>
  <c r="G22" i="10"/>
  <c r="K22" i="10" s="1"/>
  <c r="M22" i="10" s="1"/>
  <c r="G23" i="7"/>
  <c r="K23" i="7" s="1"/>
  <c r="Q50" i="17"/>
  <c r="AK28" i="19"/>
  <c r="AM28" i="19" s="1"/>
  <c r="J34" i="15"/>
  <c r="X34" i="15" s="1"/>
  <c r="AH34" i="15" s="1"/>
  <c r="AJ34" i="15" s="1"/>
  <c r="AK105" i="19"/>
  <c r="AM105" i="19" s="1"/>
  <c r="Q138" i="17"/>
  <c r="D49" i="2"/>
  <c r="AK96" i="19"/>
  <c r="AM96" i="19" s="1"/>
  <c r="O42" i="17"/>
  <c r="O50" i="17"/>
  <c r="Q88" i="23"/>
  <c r="Q99" i="23" s="1"/>
  <c r="O123" i="16"/>
  <c r="O132" i="16" s="1"/>
  <c r="O50" i="16"/>
  <c r="O58" i="17"/>
  <c r="O105" i="16"/>
  <c r="O141" i="17"/>
  <c r="D47" i="15"/>
  <c r="O42" i="16"/>
  <c r="P38" i="19"/>
  <c r="P85" i="19" s="1"/>
  <c r="P111" i="19" s="1"/>
  <c r="P121" i="19" s="1"/>
  <c r="O58" i="16"/>
  <c r="P56" i="18"/>
  <c r="P101" i="18" s="1"/>
  <c r="P124" i="18" s="1"/>
  <c r="M60" i="16"/>
  <c r="M60" i="17"/>
  <c r="M109" i="17" s="1"/>
  <c r="M135" i="17" s="1"/>
  <c r="M145" i="17" s="1"/>
  <c r="M123" i="16"/>
  <c r="M132" i="16" s="1"/>
  <c r="O64" i="23"/>
  <c r="O88" i="23" s="1"/>
  <c r="M105" i="16"/>
  <c r="N85" i="19"/>
  <c r="N111" i="19" s="1"/>
  <c r="N121" i="19" s="1"/>
  <c r="AL73" i="23"/>
  <c r="AN73" i="23" s="1"/>
  <c r="R29" i="2"/>
  <c r="H25" i="6"/>
  <c r="G26" i="11" l="1"/>
  <c r="H14" i="2"/>
  <c r="V14" i="2" s="1"/>
  <c r="Q89" i="16"/>
  <c r="I23" i="9"/>
  <c r="AE52" i="19"/>
  <c r="AK52" i="19" s="1"/>
  <c r="AM52" i="19" s="1"/>
  <c r="I24" i="9"/>
  <c r="H22" i="15"/>
  <c r="H41" i="2"/>
  <c r="AF44" i="23"/>
  <c r="AL44" i="23" s="1"/>
  <c r="AN44" i="23" s="1"/>
  <c r="K24" i="12"/>
  <c r="K27" i="12" s="1"/>
  <c r="K37" i="12" s="1"/>
  <c r="AE106" i="19"/>
  <c r="AK106" i="19" s="1"/>
  <c r="AM106" i="19" s="1"/>
  <c r="I24" i="12"/>
  <c r="Q139" i="17"/>
  <c r="Q141" i="17" s="1"/>
  <c r="AD47" i="15"/>
  <c r="AE53" i="19"/>
  <c r="AK53" i="19" s="1"/>
  <c r="AM53" i="19" s="1"/>
  <c r="AF72" i="23"/>
  <c r="R28" i="2" s="1"/>
  <c r="D42" i="2"/>
  <c r="Q58" i="16"/>
  <c r="Q75" i="16"/>
  <c r="Q90" i="16"/>
  <c r="Q58" i="17"/>
  <c r="L36" i="5"/>
  <c r="L37" i="5" s="1"/>
  <c r="AL91" i="23"/>
  <c r="AN91" i="23" s="1"/>
  <c r="K22" i="9"/>
  <c r="P29" i="2"/>
  <c r="Q74" i="16"/>
  <c r="W36" i="5"/>
  <c r="Y36" i="5" s="1"/>
  <c r="H32" i="2"/>
  <c r="H34" i="2" s="1"/>
  <c r="R38" i="19"/>
  <c r="Q83" i="16"/>
  <c r="AB83" i="16" s="1"/>
  <c r="AH83" i="16" s="1"/>
  <c r="AJ83" i="16" s="1"/>
  <c r="Q94" i="16"/>
  <c r="AH35" i="26"/>
  <c r="AJ35" i="26" s="1"/>
  <c r="K22" i="11"/>
  <c r="W37" i="5"/>
  <c r="Y37" i="5" s="1"/>
  <c r="W26" i="11"/>
  <c r="L34" i="6"/>
  <c r="V44" i="15"/>
  <c r="V47" i="15" s="1"/>
  <c r="H47" i="15"/>
  <c r="Q88" i="16"/>
  <c r="AB88" i="16" s="1"/>
  <c r="AH88" i="16" s="1"/>
  <c r="AJ88" i="16" s="1"/>
  <c r="AE64" i="19"/>
  <c r="AK64" i="19" s="1"/>
  <c r="AM64" i="19" s="1"/>
  <c r="AE97" i="19"/>
  <c r="AK97" i="19" s="1"/>
  <c r="AM97" i="19" s="1"/>
  <c r="R99" i="19"/>
  <c r="R108" i="19" s="1"/>
  <c r="AE73" i="19"/>
  <c r="AK73" i="19" s="1"/>
  <c r="AM73" i="19" s="1"/>
  <c r="Q97" i="16"/>
  <c r="K21" i="11"/>
  <c r="G21" i="10"/>
  <c r="I21" i="11"/>
  <c r="L18" i="2"/>
  <c r="L19" i="3" s="1"/>
  <c r="P55" i="22"/>
  <c r="P66" i="22" s="1"/>
  <c r="P76" i="22" s="1"/>
  <c r="AG55" i="22"/>
  <c r="V36" i="15"/>
  <c r="V50" i="15"/>
  <c r="V56" i="15" s="1"/>
  <c r="D56" i="15"/>
  <c r="P51" i="2"/>
  <c r="V48" i="2"/>
  <c r="H49" i="2"/>
  <c r="R117" i="19"/>
  <c r="AE114" i="19"/>
  <c r="J49" i="2" s="1"/>
  <c r="Q64" i="16"/>
  <c r="AE42" i="19"/>
  <c r="AK42" i="19" s="1"/>
  <c r="AM42" i="19" s="1"/>
  <c r="Q98" i="16"/>
  <c r="AB98" i="16" s="1"/>
  <c r="AH98" i="16" s="1"/>
  <c r="AJ98" i="16" s="1"/>
  <c r="AE74" i="19"/>
  <c r="AK74" i="19" s="1"/>
  <c r="AM74" i="19" s="1"/>
  <c r="AE36" i="19"/>
  <c r="J16" i="2" s="1"/>
  <c r="J44" i="15"/>
  <c r="AK34" i="19"/>
  <c r="AL31" i="24"/>
  <c r="P24" i="2"/>
  <c r="Q113" i="16"/>
  <c r="S78" i="23"/>
  <c r="S85" i="23" s="1"/>
  <c r="AK82" i="21"/>
  <c r="Q117" i="16"/>
  <c r="AK85" i="20"/>
  <c r="AE50" i="16"/>
  <c r="Q86" i="16"/>
  <c r="T42" i="5"/>
  <c r="H15" i="2"/>
  <c r="Q42" i="17"/>
  <c r="V34" i="15"/>
  <c r="AJ46" i="25"/>
  <c r="S70" i="25"/>
  <c r="S80" i="25" s="1"/>
  <c r="N34" i="6"/>
  <c r="Q105" i="17"/>
  <c r="H38" i="15"/>
  <c r="W33" i="6"/>
  <c r="Y33" i="6" s="1"/>
  <c r="D42" i="5"/>
  <c r="AE123" i="16"/>
  <c r="AD34" i="2"/>
  <c r="AD42" i="2" s="1"/>
  <c r="AD38" i="15"/>
  <c r="AE58" i="16"/>
  <c r="AD56" i="15"/>
  <c r="AH56" i="15" s="1"/>
  <c r="AJ56" i="15" s="1"/>
  <c r="O25" i="13"/>
  <c r="G32" i="7"/>
  <c r="K32" i="7" s="1"/>
  <c r="AN26" i="23"/>
  <c r="AL95" i="23"/>
  <c r="AN95" i="23" s="1"/>
  <c r="R82" i="21"/>
  <c r="R92" i="21" s="1"/>
  <c r="R81" i="19"/>
  <c r="H18" i="2" s="1"/>
  <c r="D38" i="15"/>
  <c r="AC92" i="21"/>
  <c r="AK92" i="21" s="1"/>
  <c r="AI82" i="21"/>
  <c r="AI92" i="21" s="1"/>
  <c r="J46" i="3"/>
  <c r="J55" i="3" s="1"/>
  <c r="AE132" i="17"/>
  <c r="AD17" i="2"/>
  <c r="O33" i="10"/>
  <c r="W29" i="5"/>
  <c r="W32" i="5" s="1"/>
  <c r="AL74" i="23"/>
  <c r="AN74" i="23" s="1"/>
  <c r="AC109" i="20"/>
  <c r="AC119" i="20" s="1"/>
  <c r="AC121" i="20" s="1"/>
  <c r="AK27" i="19"/>
  <c r="AM27" i="19" s="1"/>
  <c r="R56" i="18"/>
  <c r="R101" i="18" s="1"/>
  <c r="R124" i="18" s="1"/>
  <c r="AH130" i="17"/>
  <c r="AJ130" i="17" s="1"/>
  <c r="F58" i="15"/>
  <c r="M32" i="10"/>
  <c r="G33" i="7"/>
  <c r="K33" i="7" s="1"/>
  <c r="AL70" i="23"/>
  <c r="AN70" i="23" s="1"/>
  <c r="AL62" i="23"/>
  <c r="AN62" i="23" s="1"/>
  <c r="O32" i="13"/>
  <c r="O33" i="13" s="1"/>
  <c r="S37" i="14"/>
  <c r="AL75" i="23"/>
  <c r="AN75" i="23" s="1"/>
  <c r="G23" i="10"/>
  <c r="K23" i="10" s="1"/>
  <c r="O23" i="10" s="1"/>
  <c r="AJ67" i="25"/>
  <c r="AI31" i="23"/>
  <c r="AI30" i="22"/>
  <c r="R38" i="20"/>
  <c r="R85" i="20" s="1"/>
  <c r="R109" i="20" s="1"/>
  <c r="R119" i="20" s="1"/>
  <c r="AI38" i="20"/>
  <c r="AK38" i="20" s="1"/>
  <c r="AH38" i="19"/>
  <c r="AH85" i="19" s="1"/>
  <c r="AH111" i="19" s="1"/>
  <c r="AH121" i="19" s="1"/>
  <c r="Q132" i="17"/>
  <c r="K33" i="13"/>
  <c r="M30" i="13"/>
  <c r="S35" i="11"/>
  <c r="AI28" i="27"/>
  <c r="U23" i="11"/>
  <c r="B29" i="5"/>
  <c r="K29" i="11"/>
  <c r="K35" i="11" s="1"/>
  <c r="I29" i="11"/>
  <c r="G35" i="11"/>
  <c r="G39" i="11" s="1"/>
  <c r="AD70" i="25"/>
  <c r="AL70" i="25" s="1"/>
  <c r="AK90" i="19"/>
  <c r="AM90" i="19" s="1"/>
  <c r="AE29" i="19"/>
  <c r="J15" i="2" s="1"/>
  <c r="AD16" i="2"/>
  <c r="S26" i="11"/>
  <c r="G33" i="13"/>
  <c r="AE49" i="19"/>
  <c r="AK49" i="19" s="1"/>
  <c r="AM49" i="19" s="1"/>
  <c r="AK21" i="19"/>
  <c r="AM21" i="19" s="1"/>
  <c r="K21" i="9"/>
  <c r="R42" i="3"/>
  <c r="H43" i="3"/>
  <c r="W29" i="11"/>
  <c r="W35" i="11" s="1"/>
  <c r="AK106" i="20"/>
  <c r="AI106" i="20"/>
  <c r="G29" i="10"/>
  <c r="K29" i="10" s="1"/>
  <c r="O29" i="10" s="1"/>
  <c r="AG44" i="27"/>
  <c r="AI44" i="27" s="1"/>
  <c r="J41" i="2"/>
  <c r="O22" i="10"/>
  <c r="G22" i="7"/>
  <c r="K22" i="7" s="1"/>
  <c r="AL68" i="23"/>
  <c r="AN68" i="23" s="1"/>
  <c r="J38" i="15"/>
  <c r="O60" i="17"/>
  <c r="O109" i="17" s="1"/>
  <c r="O135" i="17" s="1"/>
  <c r="O60" i="16"/>
  <c r="O109" i="16" s="1"/>
  <c r="O135" i="16" s="1"/>
  <c r="M109" i="16"/>
  <c r="M135" i="16" s="1"/>
  <c r="H23" i="6"/>
  <c r="H26" i="6" s="1"/>
  <c r="AF78" i="23" l="1"/>
  <c r="AF85" i="23" s="1"/>
  <c r="H42" i="2"/>
  <c r="K26" i="11"/>
  <c r="AL72" i="23"/>
  <c r="AN72" i="23" s="1"/>
  <c r="W39" i="11"/>
  <c r="W42" i="11" s="1"/>
  <c r="P34" i="2"/>
  <c r="P42" i="2" s="1"/>
  <c r="AH47" i="26"/>
  <c r="AJ47" i="26" s="1"/>
  <c r="AE99" i="19"/>
  <c r="AE108" i="19" s="1"/>
  <c r="J32" i="2"/>
  <c r="W42" i="5"/>
  <c r="Y42" i="5" s="1"/>
  <c r="Q123" i="16"/>
  <c r="Q132" i="16" s="1"/>
  <c r="K21" i="10"/>
  <c r="K26" i="10" s="1"/>
  <c r="G21" i="7"/>
  <c r="K21" i="7" s="1"/>
  <c r="AG66" i="22"/>
  <c r="AI55" i="22"/>
  <c r="V49" i="2"/>
  <c r="Q139" i="16" s="1"/>
  <c r="H51" i="2"/>
  <c r="AK36" i="19"/>
  <c r="AM36" i="19" s="1"/>
  <c r="AM34" i="19"/>
  <c r="D58" i="15"/>
  <c r="AK114" i="19"/>
  <c r="AM114" i="19" s="1"/>
  <c r="AE117" i="19"/>
  <c r="AK117" i="19" s="1"/>
  <c r="AM117" i="19" s="1"/>
  <c r="J47" i="15"/>
  <c r="X44" i="15"/>
  <c r="AE81" i="19"/>
  <c r="J18" i="2" s="1"/>
  <c r="AK81" i="19"/>
  <c r="AM81" i="19" s="1"/>
  <c r="O35" i="10"/>
  <c r="W34" i="6"/>
  <c r="R85" i="19"/>
  <c r="R111" i="19" s="1"/>
  <c r="R121" i="19" s="1"/>
  <c r="G26" i="10"/>
  <c r="Y29" i="5"/>
  <c r="Y32" i="5"/>
  <c r="AI109" i="20"/>
  <c r="S39" i="11"/>
  <c r="M23" i="10"/>
  <c r="K39" i="11"/>
  <c r="AD80" i="25"/>
  <c r="AJ80" i="25" s="1"/>
  <c r="AI85" i="20"/>
  <c r="AJ70" i="25"/>
  <c r="G35" i="10"/>
  <c r="K35" i="10"/>
  <c r="AK99" i="19"/>
  <c r="AM99" i="19" s="1"/>
  <c r="AK29" i="19"/>
  <c r="AM29" i="19" s="1"/>
  <c r="M29" i="10"/>
  <c r="K49" i="30"/>
  <c r="K15" i="30"/>
  <c r="K142" i="30"/>
  <c r="D25" i="6"/>
  <c r="N25" i="6" s="1"/>
  <c r="W25" i="6" s="1"/>
  <c r="Y25" i="6" s="1"/>
  <c r="D24" i="6"/>
  <c r="N24" i="6" s="1"/>
  <c r="D23" i="6"/>
  <c r="D18" i="6"/>
  <c r="AL78" i="23" l="1"/>
  <c r="AN78" i="23" s="1"/>
  <c r="M21" i="10"/>
  <c r="O21" i="10"/>
  <c r="O26" i="10" s="1"/>
  <c r="O39" i="10" s="1"/>
  <c r="AI66" i="22"/>
  <c r="AG76" i="22"/>
  <c r="AI76" i="22" s="1"/>
  <c r="AH44" i="15"/>
  <c r="AJ44" i="15" s="1"/>
  <c r="X47" i="15"/>
  <c r="AH47" i="15" s="1"/>
  <c r="AJ47" i="15" s="1"/>
  <c r="G39" i="10"/>
  <c r="K39" i="10" s="1"/>
  <c r="AL80" i="25"/>
  <c r="AK109" i="20"/>
  <c r="AI119" i="20"/>
  <c r="AK108" i="19"/>
  <c r="AM108" i="19" s="1"/>
  <c r="D19" i="6"/>
  <c r="D26" i="6"/>
  <c r="AL85" i="23" l="1"/>
  <c r="AI121" i="20"/>
  <c r="AK121" i="20" s="1"/>
  <c r="AK119" i="20"/>
  <c r="D29" i="6"/>
  <c r="D39" i="6" s="1"/>
  <c r="W28" i="27"/>
  <c r="F20" i="33" l="1"/>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N12" i="37" s="1"/>
  <c r="K41" i="10"/>
  <c r="O41" i="10" s="1"/>
  <c r="AI94" i="21"/>
  <c r="AK94" i="21" s="1"/>
  <c r="H94" i="21"/>
  <c r="J13" i="21" s="1"/>
  <c r="H121" i="20"/>
  <c r="J13" i="20" s="1"/>
  <c r="G42" i="10"/>
  <c r="AM13" i="19"/>
  <c r="AK13" i="19"/>
  <c r="K42" i="10" l="1"/>
  <c r="M41" i="10"/>
  <c r="O42" i="10"/>
  <c r="N47" i="37"/>
  <c r="P12" i="37" s="1"/>
  <c r="J94" i="21"/>
  <c r="L13" i="21" s="1"/>
  <c r="K34" i="31"/>
  <c r="J121" i="20" l="1"/>
  <c r="L13" i="20" s="1"/>
  <c r="P47" i="37"/>
  <c r="L94" i="21"/>
  <c r="N13" i="21" s="1"/>
  <c r="K39" i="30"/>
  <c r="L121" i="20" l="1"/>
  <c r="N13" i="20" s="1"/>
  <c r="N94" i="21"/>
  <c r="P13" i="21" s="1"/>
  <c r="G45" i="31"/>
  <c r="N121" i="20" l="1"/>
  <c r="P13" i="20" s="1"/>
  <c r="R47" i="37"/>
  <c r="P94" i="21"/>
  <c r="R13" i="21" s="1"/>
  <c r="K97" i="30"/>
  <c r="T47" i="37" l="1"/>
  <c r="V47" i="37" s="1"/>
  <c r="P121" i="20"/>
  <c r="R13" i="20" s="1"/>
  <c r="H57" i="3" s="1"/>
  <c r="R94" i="21"/>
  <c r="K153" i="30"/>
  <c r="R121" i="20" l="1"/>
  <c r="X47" i="37"/>
  <c r="T94" i="21"/>
  <c r="K59" i="30"/>
  <c r="T121" i="20" l="1"/>
  <c r="V94" i="21"/>
  <c r="K40" i="31"/>
  <c r="V121" i="20" l="1"/>
  <c r="X94" i="21"/>
  <c r="X121" i="20" l="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I52" i="44" l="1"/>
  <c r="K44" i="30"/>
  <c r="I56" i="44" l="1"/>
  <c r="L78" i="22"/>
  <c r="N13" i="22" s="1"/>
  <c r="N15" i="35"/>
  <c r="R15" i="35" s="1"/>
  <c r="L29" i="32" l="1"/>
  <c r="N78" i="22" l="1"/>
  <c r="P13" i="22" s="1"/>
  <c r="L57" i="2" s="1"/>
  <c r="N20" i="35"/>
  <c r="N19" i="35"/>
  <c r="K151" i="30"/>
  <c r="P78" i="22" l="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O82" i="25"/>
  <c r="Q13" i="25" s="1"/>
  <c r="I49" i="26"/>
  <c r="K14" i="26" s="1"/>
  <c r="AM17" i="19"/>
  <c r="Q82" i="25" l="1"/>
  <c r="S13" i="25" s="1"/>
  <c r="K49" i="26"/>
  <c r="M14" i="26" s="1"/>
  <c r="H46" i="29"/>
  <c r="J14" i="29" s="1"/>
  <c r="H46" i="28"/>
  <c r="J14" i="28" s="1"/>
  <c r="H46" i="27"/>
  <c r="J14" i="27" s="1"/>
  <c r="X78" i="22" l="1"/>
  <c r="S82" i="25"/>
  <c r="M49" i="26"/>
  <c r="O14" i="26" s="1"/>
  <c r="U82" i="25" l="1"/>
  <c r="O49" i="26"/>
  <c r="Q14" i="26" s="1"/>
  <c r="B44" i="5" s="1"/>
  <c r="J46" i="28"/>
  <c r="L14" i="28" s="1"/>
  <c r="J46" i="29"/>
  <c r="L14" i="29" s="1"/>
  <c r="J46" i="27"/>
  <c r="L14" i="27" s="1"/>
  <c r="W82" i="25" l="1"/>
  <c r="Q49" i="26"/>
  <c r="L46" i="27"/>
  <c r="N14" i="27" s="1"/>
  <c r="V37" i="2"/>
  <c r="L41" i="3"/>
  <c r="R41" i="3" s="1"/>
  <c r="Y82" i="25" l="1"/>
  <c r="S49" i="26"/>
  <c r="L46" i="28"/>
  <c r="N14" i="28" s="1"/>
  <c r="L46" i="29"/>
  <c r="N14" i="29" s="1"/>
  <c r="AB129" i="17"/>
  <c r="AH129" i="17" s="1"/>
  <c r="AJ129" i="17" s="1"/>
  <c r="V40" i="2"/>
  <c r="V42" i="2" s="1"/>
  <c r="AB126" i="16"/>
  <c r="AH126" i="16" s="1"/>
  <c r="AJ126" i="16" s="1"/>
  <c r="L38" i="3"/>
  <c r="L43" i="3" s="1"/>
  <c r="AB126" i="17"/>
  <c r="AB129" i="16"/>
  <c r="AH129" i="16" s="1"/>
  <c r="AJ129" i="16" s="1"/>
  <c r="L42" i="2"/>
  <c r="AA82" i="25" l="1"/>
  <c r="U49" i="26"/>
  <c r="N46" i="27"/>
  <c r="P14" i="27" s="1"/>
  <c r="F44" i="5" s="1"/>
  <c r="R38" i="3"/>
  <c r="R43" i="3" s="1"/>
  <c r="AB132" i="17"/>
  <c r="AH126" i="17"/>
  <c r="AB132" i="16"/>
  <c r="W49" i="26" l="1"/>
  <c r="N46" i="28"/>
  <c r="P14" i="28" s="1"/>
  <c r="B41" i="6" s="1"/>
  <c r="N46" i="29"/>
  <c r="P14" i="29" s="1"/>
  <c r="F41" i="6" s="1"/>
  <c r="AH132" i="16"/>
  <c r="AJ132" i="16" s="1"/>
  <c r="AH132" i="17"/>
  <c r="AJ132" i="17" s="1"/>
  <c r="AJ126" i="17"/>
  <c r="Y49" i="26" l="1"/>
  <c r="P46" i="27"/>
  <c r="P46" i="29" l="1"/>
  <c r="P46" i="28"/>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Q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K42" i="9" l="1"/>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N12" i="43" s="1"/>
  <c r="N44" i="43" s="1"/>
  <c r="P12" i="43" s="1"/>
  <c r="F144" i="18"/>
  <c r="H13" i="18" s="1"/>
  <c r="Y142" i="16"/>
  <c r="Y146" i="16" s="1"/>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K147" i="17"/>
  <c r="M16" i="17" s="1"/>
  <c r="J144" i="18"/>
  <c r="L13" i="18" s="1"/>
  <c r="G42" i="8"/>
  <c r="G46" i="8" s="1"/>
  <c r="G49" i="8" s="1"/>
  <c r="AF49" i="3"/>
  <c r="AJ139" i="16" l="1"/>
  <c r="T44" i="43"/>
  <c r="M147" i="17"/>
  <c r="O16" i="17" s="1"/>
  <c r="L144" i="18"/>
  <c r="N13" i="18" s="1"/>
  <c r="AF51" i="3"/>
  <c r="AD55" i="3"/>
  <c r="AF55" i="3" s="1"/>
  <c r="V44" i="43" l="1"/>
  <c r="O147" i="17"/>
  <c r="Q16" i="17" s="1"/>
  <c r="AD59" i="3"/>
  <c r="AF59" i="3" s="1"/>
  <c r="X44" i="43" l="1"/>
  <c r="Q147" i="17"/>
  <c r="S147" i="17" s="1"/>
  <c r="U147" i="17" s="1"/>
  <c r="W147" i="17" s="1"/>
  <c r="Y147" i="17" s="1"/>
  <c r="N144" i="18"/>
  <c r="P13" i="18" s="1"/>
  <c r="G31" i="9" l="1"/>
  <c r="P144" i="18" l="1"/>
  <c r="R13" i="18" s="1"/>
  <c r="D57" i="2" s="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Q13" i="24" s="1"/>
  <c r="Y59" i="3" l="1"/>
  <c r="Q101" i="24"/>
  <c r="S13" i="24" s="1"/>
  <c r="V144" i="18" l="1"/>
  <c r="O99" i="23"/>
  <c r="M146" i="16"/>
  <c r="X144" i="18" l="1"/>
  <c r="S21" i="24"/>
  <c r="S31" i="24" s="1"/>
  <c r="Q42" i="16" l="1"/>
  <c r="Q60" i="16" s="1"/>
  <c r="S21" i="23"/>
  <c r="P15" i="2" s="1"/>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P18" i="2" s="1"/>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Y60" i="24"/>
  <c r="Y64" i="24" s="1"/>
  <c r="Y88" i="24" s="1"/>
  <c r="Y99" i="24" s="1"/>
  <c r="Y101" i="24" s="1"/>
  <c r="AA101" i="24" l="1"/>
  <c r="AD88" i="24"/>
  <c r="AD99" i="24" s="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K16" i="16" s="1"/>
  <c r="G101" i="23"/>
  <c r="I13" i="23" s="1"/>
  <c r="X57" i="2"/>
  <c r="AB146" i="16"/>
  <c r="AJ42" i="16"/>
  <c r="AH109" i="16"/>
  <c r="AJ109" i="16" s="1"/>
  <c r="AJ60" i="16"/>
  <c r="AL64" i="23"/>
  <c r="AN31" i="23"/>
  <c r="AG15" i="2"/>
  <c r="AI15" i="2"/>
  <c r="AL99" i="23" l="1"/>
  <c r="AL101" i="23" s="1"/>
  <c r="AB148" i="16"/>
  <c r="K148" i="16"/>
  <c r="M16" i="16" s="1"/>
  <c r="AI57" i="2"/>
  <c r="AG57" i="2"/>
  <c r="R59" i="2"/>
  <c r="AH146" i="16"/>
  <c r="AJ146" i="16" s="1"/>
  <c r="AN64" i="23"/>
  <c r="AL88" i="23"/>
  <c r="AN88" i="23" s="1"/>
  <c r="AN99" i="23" l="1"/>
  <c r="AH148" i="16"/>
  <c r="AJ148" i="16" s="1"/>
  <c r="M148" i="16"/>
  <c r="O16" i="16" s="1"/>
  <c r="I101" i="23"/>
  <c r="K13" i="23" s="1"/>
  <c r="O148" i="16" l="1"/>
  <c r="Q16" i="16" s="1"/>
  <c r="Q148" i="16" l="1"/>
  <c r="K101" i="23"/>
  <c r="M13" i="23" s="1"/>
  <c r="M35" i="40"/>
  <c r="S148" i="16" l="1"/>
  <c r="M46" i="40"/>
  <c r="M48" i="40" s="1"/>
  <c r="U148" i="16" l="1"/>
  <c r="M101" i="23"/>
  <c r="O13" i="23" s="1"/>
  <c r="W148" i="16" l="1"/>
  <c r="Y148" i="16" l="1"/>
  <c r="O101" i="23"/>
  <c r="Q13" i="23" s="1"/>
  <c r="Q101" i="23" l="1"/>
  <c r="S13" i="23" s="1"/>
  <c r="P57" i="2" s="1"/>
  <c r="S101" i="23" l="1"/>
  <c r="U101" i="23" l="1"/>
  <c r="W101" i="23" l="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AK38" i="19" s="1"/>
  <c r="J20" i="2"/>
  <c r="J45" i="2" s="1"/>
  <c r="J55" i="2" s="1"/>
  <c r="J59" i="2" s="1"/>
  <c r="J123" i="19" l="1"/>
  <c r="L13" i="19" s="1"/>
  <c r="AK85" i="19"/>
  <c r="AM38" i="19"/>
  <c r="AI20" i="2"/>
  <c r="X45" i="2"/>
  <c r="X25" i="15"/>
  <c r="AH22" i="15"/>
  <c r="L123" i="19" l="1"/>
  <c r="N13" i="19" s="1"/>
  <c r="AH25" i="15"/>
  <c r="AJ25" i="15" s="1"/>
  <c r="X58" i="15"/>
  <c r="AH58" i="15" s="1"/>
  <c r="AJ58" i="15" s="1"/>
  <c r="X55" i="2"/>
  <c r="AI45" i="2"/>
  <c r="AG45" i="2"/>
  <c r="AG55" i="2" s="1"/>
  <c r="AG59" i="2" s="1"/>
  <c r="AM85" i="19"/>
  <c r="AK111" i="19"/>
  <c r="AM111" i="19" s="1"/>
  <c r="N123" i="19" l="1"/>
  <c r="P13" i="19" s="1"/>
  <c r="X59" i="2"/>
  <c r="AI59" i="2" s="1"/>
  <c r="AI55" i="2"/>
  <c r="P123" i="19" l="1"/>
  <c r="R13" i="19" s="1"/>
  <c r="R123" i="19" l="1"/>
  <c r="H57" i="2"/>
  <c r="H59" i="2" s="1"/>
  <c r="V57" i="2" l="1"/>
  <c r="V59" i="2" s="1"/>
</calcChain>
</file>

<file path=xl/sharedStrings.xml><?xml version="1.0" encoding="utf-8"?>
<sst xmlns="http://schemas.openxmlformats.org/spreadsheetml/2006/main" count="4320" uniqueCount="1576">
  <si>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</si>
  <si>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</si>
  <si>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</si>
  <si>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</si>
  <si>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</si>
  <si>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</si>
  <si>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</si>
  <si>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</si>
  <si>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</si>
  <si>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</si>
  <si>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</si>
  <si>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</si>
  <si>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</si>
  <si>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</si>
  <si>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</si>
  <si>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</si>
  <si>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</si>
  <si>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</si>
  <si>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</si>
  <si>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</si>
  <si>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</si>
  <si>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</si>
  <si>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</si>
  <si>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</si>
  <si>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</si>
  <si>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</si>
  <si>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</si>
  <si>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</si>
  <si>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</si>
  <si>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</si>
  <si>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</si>
  <si>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</si>
  <si>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</si>
  <si>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</si>
  <si>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</si>
  <si>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</si>
  <si>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</si>
  <si>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</si>
  <si>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</si>
  <si>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</si>
  <si>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</si>
  <si>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</si>
  <si>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</si>
  <si>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</si>
  <si>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</si>
  <si>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</si>
  <si>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</si>
  <si>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</si>
  <si>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</si>
  <si>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</si>
  <si>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</si>
  <si>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</si>
  <si>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</si>
  <si>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</si>
  <si>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</si>
  <si>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</si>
  <si>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</si>
  <si>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</si>
  <si>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</si>
  <si>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</si>
  <si>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</si>
  <si>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</si>
  <si>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</si>
  <si>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</si>
  <si>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</si>
  <si>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</si>
  <si>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</si>
  <si>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</si>
  <si>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</si>
  <si>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</si>
  <si>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</si>
  <si>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</si>
  <si>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</si>
  <si>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</si>
  <si>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</si>
  <si>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</si>
  <si>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</si>
  <si>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</si>
  <si>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</si>
  <si>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</si>
  <si>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</si>
  <si>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</si>
  <si>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</si>
  <si>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</si>
  <si>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</si>
  <si>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</si>
  <si>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</si>
  <si>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</si>
  <si>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</si>
  <si>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</si>
  <si>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</si>
  <si>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</si>
  <si>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</si>
  <si>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</si>
  <si>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</si>
  <si>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</si>
  <si>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</si>
  <si>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</si>
  <si>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</si>
  <si>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</si>
  <si>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</si>
  <si>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</si>
  <si>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</si>
  <si>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</si>
  <si>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</si>
  <si>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</si>
  <si>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</si>
  <si>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</si>
  <si>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</si>
  <si>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</si>
  <si>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</si>
  <si>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</si>
  <si>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</si>
  <si>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</si>
  <si>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</si>
  <si>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</si>
  <si>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</si>
  <si>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</si>
  <si>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</si>
  <si>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</si>
  <si>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</si>
  <si>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</si>
  <si>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</si>
  <si>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</si>
  <si>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</si>
  <si>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</si>
  <si>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</si>
  <si>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</si>
  <si>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</si>
  <si>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</si>
  <si>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</si>
  <si>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</si>
  <si>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</si>
  <si>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</si>
  <si>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</si>
  <si>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</si>
  <si>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</si>
  <si>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</si>
  <si>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</si>
  <si>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</si>
  <si>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</si>
  <si>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</si>
  <si>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</si>
  <si>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</si>
  <si>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</si>
  <si>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</si>
  <si>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</si>
  <si>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</si>
  <si>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</si>
  <si>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</si>
  <si>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</si>
  <si>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</si>
  <si>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</si>
  <si>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</si>
  <si>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</si>
  <si>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</si>
  <si>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</si>
  <si>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</si>
  <si>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</si>
  <si>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</si>
  <si>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</si>
  <si>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</si>
  <si>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</si>
  <si>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</si>
  <si>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</si>
  <si>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</si>
  <si>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</si>
  <si>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</si>
  <si>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</si>
  <si>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</si>
  <si>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</si>
  <si>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</si>
  <si>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</si>
  <si>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</si>
  <si>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</si>
  <si>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</si>
  <si>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</si>
  <si>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</si>
  <si>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</si>
  <si>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</si>
  <si>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</si>
  <si>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</si>
  <si>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</si>
  <si>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</si>
  <si>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</si>
  <si>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</si>
  <si>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</si>
  <si>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</si>
  <si>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</si>
  <si>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</si>
  <si>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</si>
  <si>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</si>
  <si>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</si>
  <si>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</si>
  <si>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</si>
  <si>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</si>
  <si>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</si>
  <si>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</si>
  <si>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</si>
  <si>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</si>
  <si>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</si>
  <si>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</si>
  <si>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</si>
  <si>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</si>
  <si>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</si>
  <si>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</si>
  <si>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</si>
  <si>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</si>
  <si>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</si>
  <si>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</si>
  <si>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</si>
  <si>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</si>
  <si>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</si>
  <si>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</si>
  <si>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</si>
  <si>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</si>
  <si>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</si>
  <si>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</si>
  <si>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</si>
  <si>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</si>
  <si>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</si>
  <si>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</si>
  <si>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</si>
  <si>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</si>
  <si>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</si>
  <si>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</si>
  <si>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</si>
  <si>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</si>
  <si>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</si>
  <si>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</si>
  <si>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</si>
  <si>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</si>
  <si>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</si>
  <si>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</si>
  <si>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</si>
  <si>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</si>
  <si>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</si>
  <si>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</si>
  <si>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</si>
  <si>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</si>
  <si>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</si>
  <si>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</si>
  <si>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</si>
  <si>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</si>
  <si>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</si>
  <si>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</si>
  <si>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</si>
  <si>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</si>
  <si>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</si>
  <si>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</si>
  <si>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</si>
  <si>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</si>
  <si>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</si>
  <si>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</si>
  <si>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</si>
  <si>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</si>
  <si>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</si>
  <si>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</si>
  <si>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</si>
  <si>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</si>
  <si>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</si>
  <si>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</si>
  <si>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</si>
  <si>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</si>
  <si>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</si>
  <si>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</si>
  <si>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</si>
  <si>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</si>
  <si>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</si>
  <si>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</si>
  <si>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</si>
  <si>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</si>
  <si>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</si>
  <si>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</si>
  <si>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</si>
  <si>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</si>
  <si>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</si>
  <si>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</si>
  <si>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</si>
  <si>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</si>
  <si>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</si>
  <si>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</si>
  <si>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</si>
  <si>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</si>
  <si>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</si>
  <si>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</si>
  <si>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</si>
  <si>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</si>
  <si>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</si>
  <si>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</si>
  <si>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</si>
  <si>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</si>
  <si>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</si>
  <si>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</si>
  <si>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</si>
  <si>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</si>
  <si>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</si>
  <si>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</si>
  <si>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</si>
  <si>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</si>
  <si>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</si>
  <si>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</si>
  <si>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</si>
  <si>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</si>
  <si>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</si>
  <si>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</si>
  <si>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</si>
  <si>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</si>
  <si>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</si>
  <si>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</si>
  <si>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</si>
  <si>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</si>
  <si>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</si>
  <si>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</si>
  <si>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</si>
  <si>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</si>
  <si>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</si>
  <si>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</si>
  <si>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</si>
  <si>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</si>
  <si>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</si>
  <si>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</si>
  <si>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</si>
  <si>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</si>
  <si>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</si>
  <si>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</si>
  <si>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</si>
  <si>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</si>
  <si>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</si>
  <si>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</si>
  <si>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</si>
  <si>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</si>
  <si>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</si>
  <si>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</si>
  <si>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</si>
  <si>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</si>
  <si>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</si>
  <si>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</si>
  <si>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</si>
  <si>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</si>
  <si>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</si>
  <si>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</si>
  <si>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</si>
  <si>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</si>
  <si>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</si>
  <si>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</si>
  <si>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</si>
  <si>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</si>
  <si>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</si>
  <si>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</si>
  <si>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</si>
  <si>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</si>
  <si>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</si>
  <si>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</si>
  <si>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</si>
  <si>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</si>
  <si>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</si>
  <si>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</si>
  <si>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</si>
  <si>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</si>
  <si>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</si>
  <si>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</si>
  <si>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</si>
  <si>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</si>
  <si>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</si>
  <si>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</si>
  <si>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</si>
  <si>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</si>
  <si>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</si>
  <si>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</si>
  <si>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</si>
  <si>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</si>
  <si>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</si>
  <si>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</si>
  <si>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</si>
  <si>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</si>
  <si>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</si>
  <si>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</si>
  <si>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</si>
  <si>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</si>
  <si>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</si>
  <si>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</si>
  <si>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</si>
  <si>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</si>
  <si>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</si>
  <si>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</si>
  <si>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</si>
  <si>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</si>
  <si>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</si>
  <si>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</si>
  <si>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</si>
  <si>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</si>
  <si>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</si>
  <si>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</si>
  <si>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</si>
  <si>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</si>
  <si>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</si>
  <si>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</si>
  <si>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</si>
  <si>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</si>
  <si>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</si>
  <si>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</si>
  <si>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</si>
  <si>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</si>
  <si>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</si>
  <si>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</si>
  <si>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</si>
  <si>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</si>
  <si>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</si>
  <si>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</si>
  <si>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</si>
  <si>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</si>
  <si>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</si>
  <si>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</si>
  <si>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</si>
  <si>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</si>
  <si>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</si>
  <si>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</si>
  <si>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</si>
  <si>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</si>
  <si>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</si>
  <si>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</si>
  <si>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</si>
  <si>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</si>
  <si>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</si>
  <si>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</si>
  <si>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</si>
  <si>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</si>
  <si>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</si>
  <si>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</si>
  <si>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</si>
  <si>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</si>
  <si>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</si>
  <si>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</si>
  <si>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</si>
  <si>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</si>
  <si>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</si>
  <si>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</si>
  <si>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</si>
  <si>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</si>
  <si>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</si>
  <si>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</si>
  <si>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</si>
  <si>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</si>
  <si>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</si>
  <si>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</si>
  <si>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</si>
  <si>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</si>
  <si>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</si>
  <si>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</si>
  <si>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</si>
  <si>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</si>
  <si>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</si>
  <si>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</si>
  <si>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</si>
  <si>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</si>
  <si>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</si>
  <si>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</si>
  <si>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</si>
  <si>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</si>
  <si>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</si>
  <si>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</si>
  <si>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</si>
  <si>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</si>
  <si>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</si>
  <si>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</si>
  <si>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</si>
  <si>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</si>
  <si>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</si>
  <si>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</si>
  <si>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</si>
  <si>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</si>
  <si>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</si>
  <si>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</si>
  <si>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</si>
  <si>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</si>
  <si>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</si>
  <si>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</si>
  <si>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</si>
  <si>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</si>
  <si>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</si>
  <si>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</si>
  <si>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</si>
  <si>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</si>
  <si>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</si>
  <si>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</si>
  <si>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</si>
  <si>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</si>
  <si>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</si>
  <si>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</si>
  <si>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</si>
  <si>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</si>
  <si>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</si>
  <si>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</si>
  <si>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</si>
  <si>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</si>
  <si>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</si>
  <si>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</si>
  <si>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</si>
  <si>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</si>
  <si>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</si>
  <si>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</si>
  <si>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</si>
  <si>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</si>
  <si>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</si>
  <si>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</si>
  <si>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</si>
  <si>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</si>
  <si>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</si>
  <si>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</si>
  <si>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</si>
  <si>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</si>
  <si>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</si>
  <si>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</si>
  <si>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</si>
  <si>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</si>
  <si>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</si>
  <si>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</si>
  <si>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</si>
  <si>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</si>
  <si>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</si>
  <si>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</si>
  <si>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</si>
  <si>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</si>
  <si>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</si>
  <si>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</si>
  <si>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</si>
  <si>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</si>
  <si>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</si>
  <si>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</si>
  <si>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</si>
  <si>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</si>
  <si>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</si>
  <si>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</si>
  <si>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</si>
  <si>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</si>
  <si>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</si>
  <si>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</si>
  <si>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</si>
  <si>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</si>
  <si>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</si>
  <si>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</si>
  <si>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</si>
  <si>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</si>
  <si>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</si>
  <si>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</si>
  <si>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</si>
  <si>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</si>
  <si>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</si>
  <si>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</si>
  <si>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</si>
  <si>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</si>
  <si>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</si>
  <si>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</si>
  <si>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</si>
  <si>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</si>
  <si>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</si>
  <si>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</si>
  <si>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</si>
  <si>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</si>
  <si>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</si>
  <si>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</si>
  <si>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</si>
  <si>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</si>
  <si>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</si>
  <si>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</si>
  <si>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</si>
  <si>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</si>
  <si>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</si>
  <si>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</si>
  <si>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</si>
  <si>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</si>
  <si>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</si>
  <si>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</si>
  <si>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</si>
  <si>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</si>
  <si>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</si>
  <si>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</si>
  <si>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</si>
  <si>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</si>
  <si>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</si>
  <si>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</si>
  <si>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</si>
  <si>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</si>
  <si>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</si>
  <si>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</si>
  <si>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</si>
  <si>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</si>
  <si>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</si>
  <si>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</si>
  <si>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</si>
  <si>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</si>
  <si>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</si>
  <si>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</si>
  <si>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</si>
  <si>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</si>
  <si>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</si>
  <si>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</si>
  <si>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</si>
  <si>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</si>
  <si>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</si>
  <si>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</si>
  <si>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</si>
  <si>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</si>
  <si>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</si>
  <si>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</si>
  <si>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</si>
  <si>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</si>
  <si>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</si>
  <si>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</si>
  <si>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</si>
  <si>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</si>
  <si>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</si>
  <si>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</si>
  <si>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</si>
  <si>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</si>
  <si>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</si>
  <si>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</si>
  <si>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</si>
  <si>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</si>
  <si>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</si>
  <si>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</si>
  <si>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</si>
  <si>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</si>
  <si>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</si>
  <si>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</si>
  <si>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</si>
  <si>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</si>
  <si>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</si>
  <si>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</si>
  <si>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</si>
  <si>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</si>
  <si>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</si>
  <si>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</si>
  <si>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</si>
  <si>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</si>
  <si>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</si>
  <si>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</si>
  <si>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</si>
  <si>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</si>
  <si>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</si>
  <si>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</si>
  <si>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</si>
  <si>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</si>
  <si>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</si>
  <si>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</si>
  <si>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</si>
  <si>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</si>
  <si>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</si>
  <si>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</si>
  <si>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</si>
  <si>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</si>
  <si>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</si>
  <si>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</si>
  <si>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</si>
  <si>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</si>
  <si>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</si>
  <si>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</si>
  <si>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</si>
  <si>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</si>
  <si>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</si>
  <si>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</si>
  <si>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</si>
  <si>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</si>
  <si>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</si>
  <si>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</si>
  <si>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</si>
  <si>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</si>
  <si>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</si>
  <si>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</si>
  <si>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</si>
  <si>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</si>
  <si>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</si>
  <si>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</si>
  <si>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</si>
  <si>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</si>
  <si>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</si>
  <si>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</si>
  <si>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</si>
  <si>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</si>
  <si>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</si>
  <si>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</si>
  <si>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</si>
  <si>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</si>
  <si>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</si>
  <si>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</si>
  <si>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</si>
  <si>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</si>
  <si>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</si>
  <si>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</si>
  <si>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</si>
  <si>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</si>
  <si>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</si>
  <si>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</si>
  <si>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</si>
  <si>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</si>
  <si>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</si>
  <si>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</si>
  <si>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</si>
  <si>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</si>
  <si>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</si>
  <si>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</si>
  <si>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</si>
  <si>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</si>
  <si>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</si>
  <si>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</si>
  <si>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</si>
  <si>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</si>
  <si>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</si>
  <si>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</si>
  <si>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</si>
  <si>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</si>
  <si>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</si>
  <si>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</si>
  <si>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</si>
  <si>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</si>
  <si>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</si>
  <si>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</si>
  <si>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</si>
  <si>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</si>
  <si>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</si>
  <si>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</si>
  <si>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</si>
  <si>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</si>
  <si>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</si>
  <si>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</si>
  <si>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</si>
  <si>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</si>
  <si>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</si>
  <si>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</si>
  <si>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</si>
  <si>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</si>
  <si>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</si>
  <si>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</si>
  <si>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</si>
  <si>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</si>
  <si>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</si>
  <si>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</si>
  <si>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</si>
  <si>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</si>
  <si>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</si>
  <si>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</si>
  <si>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</si>
  <si>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</si>
  <si>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</si>
  <si>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</si>
  <si>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</si>
  <si>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</si>
  <si>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</si>
  <si>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</si>
  <si>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</si>
  <si>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</si>
  <si>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</si>
  <si>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</si>
  <si>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</si>
  <si>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</si>
  <si>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</si>
  <si>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</si>
  <si>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</si>
  <si>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</si>
  <si>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</si>
  <si>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</si>
  <si>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</si>
  <si>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</si>
  <si>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</si>
  <si>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</si>
  <si>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</si>
  <si>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</si>
  <si>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</si>
  <si>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</si>
  <si>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</si>
  <si>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</si>
  <si>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</si>
  <si>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</si>
  <si>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</si>
  <si>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</si>
  <si>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</si>
  <si>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</si>
  <si>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</si>
  <si>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</si>
  <si>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</si>
  <si>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</si>
  <si>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</si>
  <si>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</si>
  <si>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</si>
  <si>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</si>
  <si>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</si>
  <si>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</si>
  <si>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</si>
  <si>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</si>
  <si>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</si>
  <si>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</si>
  <si>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</si>
  <si>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</si>
  <si>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</si>
  <si>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</si>
  <si>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</si>
  <si>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</si>
  <si>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</si>
  <si>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</si>
  <si>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</si>
  <si>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</si>
  <si>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</si>
  <si>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</si>
  <si>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</si>
  <si>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</si>
  <si>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</si>
  <si>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</si>
  <si>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</si>
  <si>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</si>
  <si>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</si>
  <si>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</si>
  <si>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</si>
  <si>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</si>
  <si>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</si>
  <si>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</si>
  <si>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</si>
  <si>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</si>
  <si>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</si>
  <si>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</si>
  <si>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</si>
  <si>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</si>
  <si>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</si>
  <si>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</si>
  <si>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</si>
  <si>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</si>
  <si>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</si>
  <si>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</si>
  <si>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</si>
  <si>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</si>
  <si>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</si>
  <si>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</si>
  <si>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</si>
  <si>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</si>
  <si>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</si>
  <si>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</si>
  <si>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</si>
  <si>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</si>
  <si>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</si>
  <si>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</si>
  <si>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</si>
  <si>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</si>
  <si>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</si>
  <si>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</si>
  <si>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</si>
  <si>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</si>
  <si>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</si>
  <si>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</si>
  <si>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</si>
  <si>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</si>
  <si>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</si>
  <si>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</si>
  <si>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</si>
  <si>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</si>
  <si>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</si>
  <si>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</si>
  <si>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</si>
  <si>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</si>
  <si>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</si>
  <si>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</si>
  <si>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</si>
  <si>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</si>
  <si>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</si>
  <si>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</si>
  <si>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</si>
  <si>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</si>
  <si>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</si>
  <si>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</si>
  <si>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</si>
  <si>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</si>
  <si>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</si>
  <si>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</si>
  <si>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</si>
  <si>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</si>
  <si>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</si>
  <si>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</si>
  <si>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</si>
  <si>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</si>
  <si>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</si>
  <si>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</si>
  <si>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</si>
  <si>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</si>
  <si>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</si>
  <si>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</si>
  <si>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</si>
  <si>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</si>
  <si>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</si>
  <si>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</si>
  <si>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</si>
  <si>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</si>
  <si>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</si>
  <si>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</si>
  <si>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</si>
  <si>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</si>
  <si>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</si>
  <si>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</si>
  <si>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</si>
  <si>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</si>
  <si>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</si>
  <si>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</si>
  <si>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</si>
  <si>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</si>
  <si>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</si>
  <si>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</si>
  <si>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</si>
  <si>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</si>
  <si>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</si>
  <si>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</si>
  <si>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</si>
  <si>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</si>
  <si>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</si>
  <si>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</si>
  <si>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</si>
  <si>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</si>
  <si>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</si>
  <si>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</si>
  <si>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</si>
  <si>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</si>
  <si>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</si>
  <si>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</si>
  <si>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</si>
  <si>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</si>
  <si>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</si>
  <si>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</si>
  <si>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</si>
  <si>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</si>
  <si>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</si>
  <si>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</si>
  <si>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</si>
  <si>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</si>
  <si>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</si>
  <si>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</si>
  <si>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</si>
  <si>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</si>
  <si>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</si>
  <si>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</si>
  <si>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</si>
  <si>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</si>
  <si>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</si>
  <si>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</si>
  <si>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</si>
  <si>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</si>
  <si>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</si>
  <si>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</si>
  <si>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</si>
  <si>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</si>
  <si>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</si>
  <si>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</si>
  <si>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</si>
  <si>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</si>
  <si>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</si>
  <si>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</si>
  <si>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</si>
  <si>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</si>
  <si>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</si>
  <si>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</si>
  <si>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</si>
  <si>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</si>
  <si>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</si>
  <si>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</si>
  <si>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</si>
  <si>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</si>
  <si>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</si>
  <si>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</si>
  <si>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</si>
  <si>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</si>
  <si>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</si>
  <si>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</si>
  <si>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</si>
  <si>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</si>
  <si>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</si>
  <si>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</si>
  <si>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</si>
  <si>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</si>
  <si>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</si>
  <si>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</si>
  <si>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</si>
  <si>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</si>
  <si>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</si>
  <si>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</si>
  <si>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</si>
  <si>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</si>
  <si>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</si>
  <si>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</si>
  <si>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</si>
  <si>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</si>
  <si>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</si>
  <si>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</si>
  <si>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</si>
  <si>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</si>
  <si>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</si>
  <si>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</si>
  <si>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</si>
  <si>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</si>
  <si>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</si>
  <si>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</si>
  <si>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</si>
  <si>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</si>
  <si>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</si>
  <si>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</si>
  <si>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</si>
  <si>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</si>
  <si>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</si>
  <si>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</si>
  <si>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</si>
  <si>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</si>
  <si>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</si>
  <si>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</si>
  <si>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</si>
  <si>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</si>
  <si>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</si>
  <si>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</si>
  <si>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</si>
  <si>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</si>
  <si>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</si>
  <si>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</si>
  <si>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</si>
  <si>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</si>
  <si>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</si>
  <si>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</si>
  <si>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</si>
  <si>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</si>
  <si>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</si>
  <si>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</si>
  <si>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</si>
  <si>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</si>
  <si>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</si>
  <si>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</si>
  <si>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</si>
  <si>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</si>
  <si>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</si>
  <si>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</si>
  <si>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</si>
  <si>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</si>
  <si>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</si>
  <si>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</si>
  <si>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</si>
  <si>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</si>
  <si>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</si>
  <si>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</si>
  <si>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</si>
  <si>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</si>
  <si>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</si>
  <si>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</si>
  <si>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</si>
  <si>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</si>
  <si>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</si>
  <si>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</si>
  <si>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</si>
  <si>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</si>
  <si>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</si>
  <si>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</si>
  <si>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</si>
  <si>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</si>
  <si>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</si>
  <si>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</si>
  <si>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</si>
  <si>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</si>
  <si>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</si>
  <si>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</si>
  <si>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</si>
  <si>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</si>
  <si>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</si>
  <si>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</si>
  <si>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</si>
  <si>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</si>
  <si>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</si>
  <si>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</si>
  <si>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</si>
  <si>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</si>
  <si>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</si>
  <si>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</si>
  <si>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</si>
  <si>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</si>
  <si>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</si>
  <si>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</si>
  <si>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</si>
  <si>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</si>
  <si>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</si>
  <si>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</si>
  <si>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</si>
  <si>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</si>
  <si>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</si>
  <si>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</si>
  <si>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</si>
  <si>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</si>
  <si>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</si>
  <si>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</si>
  <si>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</si>
  <si>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</si>
  <si>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</si>
  <si>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</si>
  <si>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</si>
  <si>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</si>
  <si>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</si>
  <si>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</si>
  <si>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</si>
  <si>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</si>
  <si>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</si>
  <si>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</si>
  <si>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</si>
  <si>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</si>
  <si>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</si>
  <si>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</si>
  <si>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</si>
  <si>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</si>
  <si>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</si>
  <si>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</si>
  <si>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</si>
  <si>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</si>
  <si>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</si>
  <si>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</si>
  <si>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</si>
  <si>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</si>
  <si>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</si>
  <si>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</si>
  <si>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</si>
  <si>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</si>
  <si>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</si>
  <si>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</si>
  <si>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</si>
  <si>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</si>
  <si>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</si>
  <si>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</si>
  <si>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</si>
  <si>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</si>
  <si>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</si>
  <si>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</si>
  <si>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</si>
  <si>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</si>
  <si>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</si>
  <si>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</si>
  <si>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</si>
  <si>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</si>
  <si>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</si>
  <si>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</si>
  <si>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</si>
  <si>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</si>
  <si>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</si>
  <si>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</si>
  <si>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</si>
  <si>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</si>
  <si>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</si>
  <si>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</si>
  <si>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</si>
  <si>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</si>
  <si>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</si>
  <si>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</si>
  <si>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</si>
  <si>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</si>
  <si>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</si>
  <si>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</si>
  <si>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</si>
  <si>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</si>
  <si>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</si>
  <si>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</si>
  <si>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</si>
  <si>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</si>
  <si>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</si>
  <si>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</si>
  <si>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</si>
  <si>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</si>
  <si>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</si>
  <si>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</si>
  <si>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</si>
  <si>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</si>
  <si>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</si>
  <si>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</si>
  <si>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</si>
  <si>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</si>
  <si>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</si>
  <si>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</si>
  <si>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</si>
  <si>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</si>
  <si>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</si>
  <si>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</si>
  <si>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</si>
  <si>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</si>
  <si>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</si>
  <si>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</si>
  <si>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</si>
  <si>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</si>
  <si>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</si>
  <si>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</si>
  <si>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</si>
  <si>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</si>
  <si>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</si>
  <si>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</si>
  <si>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</si>
  <si>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</si>
  <si>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</si>
  <si>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</si>
  <si>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</si>
  <si>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</si>
  <si>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</si>
  <si>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</si>
  <si>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</si>
  <si>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</si>
  <si>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</si>
  <si>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</si>
  <si>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</si>
  <si>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</si>
  <si>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</si>
  <si>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</si>
  <si>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</si>
  <si>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</si>
  <si>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</si>
  <si>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</si>
  <si>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</si>
  <si>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</si>
  <si>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</si>
  <si>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</si>
  <si>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</si>
  <si>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</si>
  <si>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</si>
  <si>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</si>
  <si>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</si>
  <si>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</si>
  <si>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</si>
  <si>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</si>
  <si>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</si>
  <si>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</si>
  <si>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</si>
  <si>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</si>
  <si>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</si>
  <si>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</si>
  <si>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</si>
  <si>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</si>
  <si>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</si>
  <si>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</si>
  <si>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</si>
  <si>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</si>
  <si>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</si>
  <si>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</si>
  <si>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</si>
  <si>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</si>
  <si>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</si>
  <si>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</si>
  <si>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</si>
  <si>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</si>
  <si>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</si>
  <si>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</si>
  <si>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</si>
  <si>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</si>
  <si>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</si>
  <si>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</si>
  <si>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</si>
  <si>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</si>
  <si>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</si>
  <si>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</si>
  <si>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</si>
  <si>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</si>
  <si>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</si>
  <si>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</si>
  <si>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</si>
  <si>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</si>
  <si>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</si>
  <si>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</si>
  <si>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</si>
  <si>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</si>
  <si>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</si>
  <si>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</si>
  <si>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</si>
  <si>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</si>
  <si>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</si>
  <si>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</si>
  <si>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</si>
  <si>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</si>
  <si>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</si>
  <si>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</si>
  <si>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</si>
  <si>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</si>
  <si>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</si>
  <si>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</si>
  <si>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</si>
  <si>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</si>
  <si>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</si>
  <si>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</si>
  <si>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</si>
  <si>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</si>
  <si>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</si>
  <si>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</si>
  <si>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</si>
  <si>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</si>
  <si>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</si>
  <si>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</si>
  <si>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</si>
  <si>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</si>
  <si>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</si>
  <si>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</si>
  <si>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</si>
  <si>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</si>
  <si>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</si>
  <si>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</si>
  <si>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</si>
  <si>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</si>
  <si>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</si>
  <si>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</si>
  <si>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</si>
  <si>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</si>
  <si>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</si>
  <si>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</si>
  <si>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</si>
  <si>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</si>
  <si>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</si>
  <si>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</si>
  <si>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</si>
  <si>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</si>
  <si>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</si>
  <si>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</si>
  <si>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</si>
  <si>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</si>
  <si>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</si>
  <si>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</si>
  <si>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</si>
  <si>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</si>
  <si>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</si>
  <si>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</si>
  <si>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</si>
  <si>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</si>
  <si>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</si>
  <si>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</si>
  <si>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</si>
  <si>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</si>
  <si>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</si>
  <si>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</si>
  <si>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</si>
  <si>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</si>
  <si>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</si>
  <si>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</si>
  <si>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</si>
  <si>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</si>
  <si>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</si>
  <si>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</si>
  <si>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</si>
  <si>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</si>
  <si>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</si>
  <si>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</si>
  <si>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</si>
  <si>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</si>
  <si>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</si>
  <si>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</si>
  <si>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</si>
  <si>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</si>
  <si>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</si>
  <si>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</si>
  <si>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</si>
  <si>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</si>
  <si>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</si>
  <si>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</si>
  <si>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</si>
  <si>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</si>
  <si>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</si>
  <si>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</si>
  <si>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</si>
  <si>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</si>
  <si>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</si>
  <si>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</si>
  <si>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</si>
  <si>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</si>
  <si>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</si>
  <si>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</si>
  <si>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</si>
  <si>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</si>
  <si>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</si>
  <si>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</si>
  <si>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</si>
  <si>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</si>
  <si>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</si>
  <si>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</si>
  <si>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</si>
  <si>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</si>
  <si>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</si>
  <si>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</si>
  <si>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</si>
  <si>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</si>
  <si>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</si>
  <si>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</si>
  <si>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</si>
  <si>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</si>
  <si>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</si>
  <si>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</si>
  <si>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</si>
  <si>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</si>
  <si>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</si>
  <si>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</si>
  <si>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</si>
  <si>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</si>
  <si>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</si>
  <si>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</si>
  <si>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</si>
  <si>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</si>
  <si>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</si>
  <si>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</si>
  <si>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</si>
  <si>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</si>
  <si>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</si>
  <si>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</si>
  <si>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</si>
  <si>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</si>
  <si>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</si>
  <si>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</si>
  <si>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</si>
  <si>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</si>
  <si>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</si>
  <si>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</si>
  <si>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</si>
  <si>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</si>
  <si>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</si>
  <si>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</si>
  <si>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</si>
  <si>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</si>
  <si>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</si>
  <si>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</si>
  <si>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</si>
  <si>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</si>
  <si>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</si>
  <si>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</si>
  <si>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</si>
  <si>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</si>
  <si>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</si>
  <si>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</si>
  <si>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</si>
  <si>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</si>
  <si>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</si>
  <si>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</si>
  <si>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</si>
  <si>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</si>
  <si>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</si>
  <si>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</si>
  <si>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</si>
  <si>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</si>
  <si>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</si>
  <si>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</si>
  <si>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</si>
  <si>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</si>
  <si>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</si>
  <si>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</si>
  <si>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</si>
  <si>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</si>
  <si>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</si>
  <si>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</si>
  <si>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</si>
  <si>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</si>
  <si>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</si>
  <si>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</si>
  <si>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</si>
  <si>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</si>
  <si>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</si>
  <si>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</si>
  <si>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</si>
  <si>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</si>
  <si>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</si>
  <si>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</si>
  <si>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</si>
  <si>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</si>
  <si>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</si>
  <si>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</si>
  <si>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</si>
  <si>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</si>
  <si>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</si>
  <si>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</si>
  <si>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</si>
  <si>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</si>
  <si>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</si>
  <si>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</si>
  <si>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</si>
  <si>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</si>
  <si>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</si>
  <si>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</si>
  <si>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</si>
  <si>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</si>
  <si>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</si>
  <si>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</si>
  <si>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</si>
  <si>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</si>
  <si>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</si>
  <si>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</si>
  <si>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</si>
  <si>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</si>
  <si>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</si>
  <si>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</si>
  <si>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</si>
  <si>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</si>
  <si>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</si>
  <si>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</si>
  <si>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</si>
  <si>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</si>
  <si>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</si>
  <si>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</si>
  <si>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</si>
  <si>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</si>
  <si>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</si>
  <si>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</si>
  <si>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</si>
  <si>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</si>
  <si>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</si>
  <si>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</si>
  <si>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</si>
  <si>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</si>
  <si>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</si>
  <si>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</si>
  <si>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</si>
  <si>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</si>
  <si>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</si>
  <si>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</si>
  <si>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</si>
  <si>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</si>
  <si>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</si>
  <si>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</si>
  <si>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</si>
  <si>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</si>
  <si>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</si>
  <si>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</si>
  <si>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</si>
  <si>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</si>
  <si>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incurred during the COVID pandemic.</t>
  </si>
  <si>
    <t xml:space="preserve">     Housing Finance Agency</t>
  </si>
  <si>
    <t>Unemployment Insurance Fund - Additional Pymnts</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</si>
  <si>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</si>
  <si>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</si>
  <si>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</si>
  <si>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</si>
  <si>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</si>
  <si>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</si>
  <si>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</si>
  <si>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</si>
  <si>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</si>
  <si>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</si>
  <si>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</si>
  <si>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</si>
  <si>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</si>
  <si>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</si>
  <si>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</si>
  <si>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</si>
  <si>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</si>
  <si>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</si>
  <si>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</si>
  <si>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</si>
  <si>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</si>
  <si>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August 31, 2025</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</si>
  <si>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</si>
  <si>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</si>
  <si>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</si>
  <si>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</si>
  <si>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</si>
  <si>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</si>
  <si>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</si>
  <si>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APRIL - JUNE</t>
  </si>
  <si>
    <t>September 30, 2025</t>
  </si>
  <si>
    <t>Unemployment Insurance Fund - Interest Assessment</t>
  </si>
  <si>
    <t>Underground Safety Training Account</t>
  </si>
  <si>
    <t xml:space="preserve">Unemployment Insurance Interest &amp; Penalty </t>
  </si>
  <si>
    <t>Federal Education</t>
  </si>
  <si>
    <t>October 31, 2025</t>
  </si>
  <si>
    <t>(**)  Source: 2025-26 Mid Year Update dated October 30, 2025.</t>
  </si>
  <si>
    <t>Housing Program Fund</t>
  </si>
  <si>
    <t>2nd Quarter</t>
  </si>
  <si>
    <t>JULY - SEPTEMBER</t>
  </si>
  <si>
    <t>NOV. 2025</t>
  </si>
  <si>
    <t>NOV. 30, 2025</t>
  </si>
  <si>
    <t>FOR EIGHT MONTHS ENDED NOVEMBER 30, 2025</t>
  </si>
  <si>
    <t>November 30, 2025</t>
  </si>
  <si>
    <t>8 MOS. ENDED</t>
  </si>
  <si>
    <t xml:space="preserve">As of November 30, 2025, $11,145,767.01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</si>
  <si>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November 30, 2025 - pursuant to a certification of the Budget Director - </t>
  </si>
  <si>
    <t>payment obligations were met out of these reserves and future payment amounts were</t>
  </si>
  <si>
    <t>scheduled for transfer at the commencement of the succeeding month.</t>
  </si>
  <si>
    <t xml:space="preserve">Charter School Stimulus </t>
  </si>
  <si>
    <t>SUNY Hospital IFR</t>
  </si>
  <si>
    <r>
      <t>Capital Projects Funds</t>
    </r>
    <r>
      <rPr>
        <b/>
        <sz val="9"/>
        <rFont val="Arial"/>
        <family val="2"/>
      </rPr>
      <t xml:space="preserve"> </t>
    </r>
    <r>
      <rPr>
        <sz val="9"/>
        <rFont val="Arial"/>
        <family val="2"/>
      </rPr>
      <t>“Transfers To Other Funds” includes transfers to the General Fund ($23.3m)</t>
    </r>
  </si>
  <si>
    <t xml:space="preserve">operated health, mental hygiene and State University facilities to Debt Service funds ($7.5m), and  </t>
  </si>
  <si>
    <t xml:space="preserve">the State University Income Fund ($434.5m). </t>
  </si>
  <si>
    <t xml:space="preserve">Fund and Department of Health Income Fund ($1,122.4m) representing the federal share of Medicaid </t>
  </si>
  <si>
    <t>Projects Fund ($81.7m), and All Other Capital Projects ($51.4m).</t>
  </si>
  <si>
    <t xml:space="preserve">expenses for the Department of Health ($132.6m).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</si>
</sst>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2" fillId="0" borderId="0"/>
    <xf numFmtId="0" fontId="42" fillId="0" borderId="0"/>
    <xf numFmtId="0" fontId="85" fillId="0" borderId="0"/>
    <xf numFmtId="43" fontId="85"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9" fontId="42" fillId="0" borderId="0" applyFont="0" applyFill="0" applyBorder="0" applyAlignment="0" applyProtection="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0" fillId="0" borderId="0" applyFont="0" applyFill="0" applyBorder="0" applyAlignment="0" applyProtection="0"/>
  </cellStyleXfs>
  <cellXfs count="2124">
    <xf numFmtId="164" fontId="0" fillId="0" borderId="0" xfId="0"/>
    <xf numFmtId="170" fontId="49" fillId="0" borderId="0" xfId="0" applyNumberFormat="1" applyFont="1"/>
    <xf numFmtId="164" fontId="49" fillId="0" borderId="0" xfId="0" applyFont="1" applyProtection="1">
      <protection locked="0"/>
    </xf>
    <xf numFmtId="0" fontId="49" fillId="0" borderId="0" xfId="1" applyFont="1"/>
    <xf numFmtId="165" fontId="44" fillId="0" borderId="0" xfId="1" applyNumberFormat="1" applyFont="1"/>
    <xf numFmtId="0" fontId="44" fillId="0" borderId="0" xfId="1" applyFont="1"/>
    <xf numFmtId="0" fontId="49" fillId="0" borderId="0" xfId="1" quotePrefix="1" applyFont="1" applyAlignment="1">
      <alignment horizontal="left"/>
    </xf>
    <xf numFmtId="0" fontId="67" fillId="0" borderId="0" xfId="1" applyFont="1"/>
    <xf numFmtId="165" fontId="67" fillId="0" borderId="0" xfId="1" applyNumberFormat="1" applyFont="1" applyAlignment="1" applyProtection="1">
      <alignment horizontal="center"/>
      <protection locked="0"/>
    </xf>
    <xf numFmtId="165" fontId="67" fillId="0" borderId="0" xfId="1" applyNumberFormat="1" applyFont="1" applyProtection="1">
      <protection locked="0"/>
    </xf>
    <xf numFmtId="165" fontId="67" fillId="0" borderId="0" xfId="1" applyNumberFormat="1" applyFont="1"/>
    <xf numFmtId="170" fontId="67" fillId="0" borderId="0" xfId="1" applyNumberFormat="1" applyFont="1"/>
    <xf numFmtId="170" fontId="0" fillId="0" borderId="0" xfId="1" applyNumberFormat="1" applyFont="1"/>
    <xf numFmtId="170" fontId="49" fillId="0" borderId="0" xfId="1" applyNumberFormat="1" applyFont="1"/>
    <xf numFmtId="170" fontId="49" fillId="0" borderId="17" xfId="1" applyNumberFormat="1" applyFont="1" applyBorder="1"/>
    <xf numFmtId="165" fontId="68" fillId="0" borderId="0" xfId="1" applyNumberFormat="1" applyFont="1"/>
    <xf numFmtId="170" fontId="49" fillId="0" borderId="0" xfId="1" quotePrefix="1" applyNumberFormat="1" applyFont="1" applyAlignment="1">
      <alignment horizontal="center"/>
    </xf>
    <xf numFmtId="170" fontId="49" fillId="0" borderId="0" xfId="1" applyNumberFormat="1" applyFont="1" applyAlignment="1">
      <alignment horizontal="center"/>
    </xf>
    <xf numFmtId="170" fontId="49" fillId="0" borderId="0" xfId="1" applyNumberFormat="1" applyFont="1" applyAlignment="1">
      <alignment horizontal="right"/>
    </xf>
    <xf numFmtId="170" fontId="49" fillId="0" borderId="0" xfId="1" applyNumberFormat="1" applyFont="1" applyAlignment="1">
      <alignment vertical="center"/>
    </xf>
    <xf numFmtId="174" fontId="49" fillId="0" borderId="0" xfId="1" applyNumberFormat="1" applyFont="1"/>
    <xf numFmtId="174" fontId="49" fillId="0" borderId="17" xfId="1" applyNumberFormat="1" applyFont="1" applyBorder="1"/>
    <xf numFmtId="168" fontId="67" fillId="0" borderId="0" xfId="1" applyNumberFormat="1" applyFont="1" applyProtection="1">
      <protection locked="0"/>
    </xf>
    <xf numFmtId="0" fontId="0" fillId="0" borderId="0" xfId="1" applyFont="1"/>
    <xf numFmtId="166" fontId="69" fillId="0" borderId="0" xfId="1" applyNumberFormat="1" applyFont="1"/>
    <xf numFmtId="0" fontId="49" fillId="0" borderId="0" xfId="1" applyFont="1" applyAlignment="1">
      <alignment horizontal="centerContinuous"/>
    </xf>
    <xf numFmtId="170" fontId="49" fillId="0" borderId="0" xfId="1" quotePrefix="1" applyNumberFormat="1" applyFont="1" applyAlignment="1">
      <alignment horizontal="right"/>
    </xf>
    <xf numFmtId="174" fontId="49" fillId="0" borderId="0" xfId="1" applyNumberFormat="1" applyFont="1" applyAlignment="1">
      <alignment horizontal="center"/>
    </xf>
    <xf numFmtId="0" fontId="70" fillId="33" borderId="0" xfId="1" applyFont="1" applyFill="1" applyAlignment="1">
      <alignment horizontal="left"/>
    </xf>
    <xf numFmtId="37" fontId="47" fillId="33" borderId="0" xfId="1" applyNumberFormat="1" applyFont="1" applyFill="1"/>
    <xf numFmtId="37" fontId="47" fillId="0" borderId="0" xfId="1" applyNumberFormat="1" applyFont="1"/>
    <xf numFmtId="37" fontId="71" fillId="0" borderId="0" xfId="1" applyNumberFormat="1" applyFont="1" applyAlignment="1">
      <alignment horizontal="center"/>
    </xf>
    <xf numFmtId="37" fontId="72" fillId="0" borderId="0" xfId="1" applyNumberFormat="1" applyFont="1"/>
    <xf numFmtId="0" fontId="70" fillId="0" borderId="0" xfId="1" quotePrefix="1" applyFont="1" applyAlignment="1" applyProtection="1">
      <alignment horizontal="left"/>
      <protection locked="0"/>
    </xf>
    <xf numFmtId="0" fontId="65" fillId="0" borderId="0" xfId="1" applyFont="1"/>
    <xf numFmtId="0" fontId="45" fillId="0" borderId="0" xfId="1" applyFont="1"/>
    <xf numFmtId="37" fontId="49" fillId="0" borderId="0" xfId="1" applyNumberFormat="1" applyFont="1"/>
    <xf numFmtId="37" fontId="49" fillId="0" borderId="0" xfId="1" applyNumberFormat="1" applyFont="1" applyAlignment="1">
      <alignment horizontal="center"/>
    </xf>
    <xf numFmtId="37" fontId="49" fillId="0" borderId="0" xfId="1" quotePrefix="1" applyNumberFormat="1" applyFont="1" applyAlignment="1">
      <alignment horizontal="center"/>
    </xf>
    <xf numFmtId="3" fontId="47" fillId="0" borderId="0" xfId="1" applyNumberFormat="1" applyFont="1"/>
    <xf numFmtId="166" fontId="49" fillId="0" borderId="0" xfId="1" applyNumberFormat="1" applyFont="1"/>
    <xf numFmtId="166" fontId="0" fillId="0" borderId="0" xfId="1" applyNumberFormat="1" applyFont="1"/>
    <xf numFmtId="37" fontId="49" fillId="0" borderId="0" xfId="1" applyNumberFormat="1" applyFont="1" applyAlignment="1">
      <alignment horizontal="right"/>
    </xf>
    <xf numFmtId="3" fontId="49" fillId="0" borderId="0" xfId="1" applyNumberFormat="1" applyFont="1" applyAlignment="1">
      <alignment horizontal="right"/>
    </xf>
    <xf numFmtId="174" fontId="49" fillId="0" borderId="0" xfId="1" applyNumberFormat="1" applyFont="1" applyAlignment="1">
      <alignment horizontal="right"/>
    </xf>
    <xf numFmtId="169" fontId="49" fillId="0" borderId="0" xfId="1" applyNumberFormat="1" applyFont="1"/>
    <xf numFmtId="166" fontId="67" fillId="0" borderId="0" xfId="1" quotePrefix="1" applyNumberFormat="1" applyFont="1" applyAlignment="1">
      <alignment horizontal="left"/>
    </xf>
    <xf numFmtId="0" fontId="74" fillId="0" borderId="0" xfId="1" applyFont="1"/>
    <xf numFmtId="37" fontId="69" fillId="0" borderId="0" xfId="1" applyNumberFormat="1" applyFont="1"/>
    <xf numFmtId="0" fontId="75" fillId="0" borderId="0" xfId="1" applyFont="1"/>
    <xf numFmtId="0" fontId="70" fillId="0" borderId="0" xfId="1" applyFont="1" applyAlignment="1">
      <alignment horizontal="left"/>
    </xf>
    <xf numFmtId="37" fontId="70" fillId="0" borderId="0" xfId="1" applyNumberFormat="1" applyFont="1" applyAlignment="1">
      <alignment horizontal="right"/>
    </xf>
    <xf numFmtId="37" fontId="49" fillId="0" borderId="0" xfId="1" applyNumberFormat="1" applyFont="1" applyAlignment="1">
      <alignment horizontal="centerContinuous"/>
    </xf>
    <xf numFmtId="37" fontId="49" fillId="0" borderId="0" xfId="1" applyNumberFormat="1" applyFont="1" applyAlignment="1">
      <alignment horizontal="left"/>
    </xf>
    <xf numFmtId="0" fontId="49" fillId="0" borderId="0" xfId="1" applyFont="1" applyAlignment="1">
      <alignment horizontal="center"/>
    </xf>
    <xf numFmtId="0" fontId="76" fillId="0" borderId="0" xfId="1" applyFont="1" applyAlignment="1">
      <alignment horizontal="center"/>
    </xf>
    <xf numFmtId="37" fontId="73" fillId="0" borderId="0" xfId="1" quotePrefix="1" applyNumberFormat="1" applyFont="1" applyAlignment="1">
      <alignment horizontal="centerContinuous"/>
    </xf>
    <xf numFmtId="37" fontId="67" fillId="0" borderId="0" xfId="1" applyNumberFormat="1" applyFont="1"/>
    <xf numFmtId="0" fontId="54" fillId="0" borderId="0" xfId="1" applyFont="1"/>
    <xf numFmtId="165" fontId="69" fillId="0" borderId="0" xfId="1" applyNumberFormat="1" applyFont="1"/>
    <xf numFmtId="165" fontId="49" fillId="0" borderId="0" xfId="1" applyNumberFormat="1" applyFont="1"/>
    <xf numFmtId="166" fontId="67" fillId="0" borderId="0" xfId="1" applyNumberFormat="1" applyFont="1"/>
    <xf numFmtId="165" fontId="77" fillId="0" borderId="0" xfId="1" applyNumberFormat="1" applyFont="1"/>
    <xf numFmtId="166" fontId="78" fillId="0" borderId="0" xfId="1" applyNumberFormat="1" applyFont="1"/>
    <xf numFmtId="166" fontId="78" fillId="0" borderId="0" xfId="1" quotePrefix="1" applyNumberFormat="1" applyFont="1" applyAlignment="1">
      <alignment horizontal="left"/>
    </xf>
    <xf numFmtId="166" fontId="63" fillId="0" borderId="0" xfId="1" applyNumberFormat="1" applyFont="1"/>
    <xf numFmtId="165" fontId="47" fillId="0" borderId="0" xfId="1" applyNumberFormat="1" applyFont="1"/>
    <xf numFmtId="165" fontId="70" fillId="0" borderId="0" xfId="1" applyNumberFormat="1" applyFont="1"/>
    <xf numFmtId="0" fontId="70" fillId="0" borderId="0" xfId="1" applyFont="1"/>
    <xf numFmtId="164" fontId="70" fillId="0" borderId="0" xfId="1" applyNumberFormat="1" applyFont="1" applyAlignment="1">
      <alignment horizontal="right"/>
    </xf>
    <xf numFmtId="174" fontId="68" fillId="0" borderId="0" xfId="1" applyNumberFormat="1" applyFont="1"/>
    <xf numFmtId="170" fontId="49" fillId="0" borderId="25" xfId="1" applyNumberFormat="1" applyFont="1" applyBorder="1"/>
    <xf numFmtId="0" fontId="49" fillId="0" borderId="17" xfId="1" applyFont="1" applyBorder="1"/>
    <xf numFmtId="174" fontId="49" fillId="0" borderId="15" xfId="1" applyNumberFormat="1" applyFont="1" applyBorder="1"/>
    <xf numFmtId="0" fontId="47" fillId="0" borderId="0" xfId="1" applyFont="1"/>
    <xf numFmtId="0" fontId="43" fillId="0" borderId="0" xfId="1" applyFont="1" applyAlignment="1">
      <alignment horizontal="right"/>
    </xf>
    <xf numFmtId="174" fontId="49" fillId="0" borderId="27" xfId="1" applyNumberFormat="1" applyFont="1" applyBorder="1"/>
    <xf numFmtId="164" fontId="49" fillId="0" borderId="0" xfId="1" applyNumberFormat="1" applyFont="1"/>
    <xf numFmtId="170" fontId="49" fillId="0" borderId="27" xfId="1" applyNumberFormat="1" applyFont="1" applyBorder="1"/>
    <xf numFmtId="166" fontId="49" fillId="0" borderId="0" xfId="1" applyNumberFormat="1" applyFont="1" applyAlignment="1">
      <alignment horizontal="right"/>
    </xf>
    <xf numFmtId="164" fontId="49" fillId="0" borderId="15" xfId="1" applyNumberFormat="1" applyFont="1" applyBorder="1"/>
    <xf numFmtId="168" fontId="45" fillId="0" borderId="0" xfId="1" applyNumberFormat="1" applyFont="1"/>
    <xf numFmtId="168" fontId="47" fillId="0" borderId="0" xfId="1" applyNumberFormat="1" applyFont="1"/>
    <xf numFmtId="0" fontId="84" fillId="0" borderId="0" xfId="1" applyFont="1"/>
    <xf numFmtId="0" fontId="47" fillId="0" borderId="0" xfId="3" applyFont="1"/>
    <xf numFmtId="0" fontId="70" fillId="0" borderId="0" xfId="3" applyFont="1"/>
    <xf numFmtId="174" fontId="49" fillId="0" borderId="0" xfId="3" applyNumberFormat="1" applyFont="1"/>
    <xf numFmtId="0" fontId="49" fillId="0" borderId="0" xfId="3" applyFont="1"/>
    <xf numFmtId="165" fontId="87" fillId="0" borderId="0" xfId="1" applyNumberFormat="1" applyFont="1" applyAlignment="1">
      <alignment horizontal="left"/>
    </xf>
    <xf numFmtId="165" fontId="88" fillId="0" borderId="0" xfId="1" applyNumberFormat="1" applyFont="1"/>
    <xf numFmtId="165" fontId="89" fillId="0" borderId="0" xfId="1" applyNumberFormat="1" applyFont="1"/>
    <xf numFmtId="165" fontId="90" fillId="0" borderId="0" xfId="1" applyNumberFormat="1" applyFont="1" applyAlignment="1">
      <alignment horizontal="centerContinuous"/>
    </xf>
    <xf numFmtId="0" fontId="80" fillId="0" borderId="0" xfId="1" applyFont="1"/>
    <xf numFmtId="165" fontId="87" fillId="0" borderId="0" xfId="1" applyNumberFormat="1" applyFont="1" applyAlignment="1">
      <alignment horizontal="centerContinuous"/>
    </xf>
    <xf numFmtId="0" fontId="91" fillId="0" borderId="0" xfId="1" applyFont="1" applyAlignment="1">
      <alignment horizontal="left"/>
    </xf>
    <xf numFmtId="165" fontId="92" fillId="0" borderId="0" xfId="1" applyNumberFormat="1" applyFont="1"/>
    <xf numFmtId="166" fontId="49" fillId="0" borderId="14" xfId="1" applyNumberFormat="1" applyFont="1" applyBorder="1"/>
    <xf numFmtId="174" fontId="49" fillId="0" borderId="0" xfId="1" quotePrefix="1" applyNumberFormat="1" applyFont="1"/>
    <xf numFmtId="174" fontId="49"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49" fillId="0" borderId="14" xfId="1" applyNumberFormat="1" applyFont="1" applyBorder="1" applyAlignment="1">
      <alignment horizontal="right"/>
    </xf>
    <xf numFmtId="170" fontId="49" fillId="0" borderId="14" xfId="1" applyNumberFormat="1" applyFont="1" applyBorder="1"/>
    <xf numFmtId="172" fontId="0" fillId="0" borderId="0" xfId="1" applyNumberFormat="1" applyFont="1"/>
    <xf numFmtId="170" fontId="49" fillId="0" borderId="14" xfId="1" applyNumberFormat="1" applyFont="1" applyBorder="1" applyAlignment="1">
      <alignment horizontal="center"/>
    </xf>
    <xf numFmtId="7" fontId="49" fillId="0" borderId="0" xfId="1" applyNumberFormat="1" applyFont="1"/>
    <xf numFmtId="166" fontId="82" fillId="0" borderId="0" xfId="1" applyNumberFormat="1" applyFont="1" applyAlignment="1">
      <alignment horizontal="left"/>
    </xf>
    <xf numFmtId="0" fontId="82" fillId="0" borderId="0" xfId="1" applyFont="1"/>
    <xf numFmtId="166" fontId="82" fillId="0" borderId="0" xfId="1" quotePrefix="1" applyNumberFormat="1" applyFont="1" applyAlignment="1">
      <alignment horizontal="left"/>
    </xf>
    <xf numFmtId="170" fontId="63" fillId="0" borderId="0" xfId="1" applyNumberFormat="1" applyFont="1" applyAlignment="1">
      <alignment horizontal="right"/>
    </xf>
    <xf numFmtId="0" fontId="70" fillId="0" borderId="0" xfId="1" applyFont="1" applyAlignment="1">
      <alignment horizontal="right"/>
    </xf>
    <xf numFmtId="0" fontId="94" fillId="0" borderId="0" xfId="1" applyFont="1"/>
    <xf numFmtId="0" fontId="0" fillId="0" borderId="0" xfId="14" applyNumberFormat="1" applyFont="1"/>
    <xf numFmtId="0" fontId="49" fillId="0" borderId="0" xfId="14" applyNumberFormat="1" applyFont="1" applyAlignment="1" applyProtection="1">
      <alignment horizontal="center"/>
      <protection locked="0"/>
    </xf>
    <xf numFmtId="0" fontId="49" fillId="0" borderId="0" xfId="14" applyNumberFormat="1" applyFont="1" applyAlignment="1">
      <alignment horizontal="center"/>
    </xf>
    <xf numFmtId="0" fontId="73" fillId="0" borderId="0" xfId="14" applyNumberFormat="1" applyFont="1"/>
    <xf numFmtId="174" fontId="49" fillId="0" borderId="0" xfId="14" applyNumberFormat="1" applyFont="1"/>
    <xf numFmtId="189" fontId="107" fillId="0" borderId="0" xfId="8" applyNumberFormat="1" applyFont="1" applyAlignment="1">
      <alignment horizontal="right"/>
    </xf>
    <xf numFmtId="189" fontId="69" fillId="0" borderId="0" xfId="8" applyNumberFormat="1" applyFont="1" applyAlignment="1"/>
    <xf numFmtId="43" fontId="77" fillId="0" borderId="0" xfId="8" applyFont="1" applyAlignment="1"/>
    <xf numFmtId="189" fontId="47" fillId="0" borderId="0" xfId="8" applyNumberFormat="1" applyFont="1" applyAlignment="1"/>
    <xf numFmtId="0" fontId="43" fillId="0" borderId="0" xfId="736" quotePrefix="1" applyFont="1" applyAlignment="1">
      <alignment horizontal="left"/>
    </xf>
    <xf numFmtId="0" fontId="49" fillId="0" borderId="0" xfId="736" applyFont="1"/>
    <xf numFmtId="0" fontId="94" fillId="0" borderId="0" xfId="736" applyFont="1"/>
    <xf numFmtId="0" fontId="93" fillId="0" borderId="0" xfId="736" applyFont="1"/>
    <xf numFmtId="37" fontId="93" fillId="0" borderId="0" xfId="736" applyNumberFormat="1" applyFont="1"/>
    <xf numFmtId="0" fontId="95" fillId="0" borderId="0" xfId="736" applyFont="1"/>
    <xf numFmtId="37" fontId="94" fillId="0" borderId="22" xfId="736" quotePrefix="1" applyNumberFormat="1" applyFont="1" applyBorder="1" applyAlignment="1">
      <alignment horizontal="center"/>
    </xf>
    <xf numFmtId="37" fontId="130" fillId="0" borderId="0" xfId="1" applyNumberFormat="1" applyFont="1"/>
    <xf numFmtId="37" fontId="131" fillId="0" borderId="0" xfId="1" applyNumberFormat="1" applyFont="1"/>
    <xf numFmtId="0" fontId="129" fillId="0" borderId="0" xfId="1" applyFont="1" applyAlignment="1">
      <alignment horizontal="center"/>
    </xf>
    <xf numFmtId="37" fontId="129" fillId="0" borderId="0" xfId="1" applyNumberFormat="1" applyFont="1"/>
    <xf numFmtId="37" fontId="128" fillId="0" borderId="0" xfId="1" applyNumberFormat="1" applyFont="1"/>
    <xf numFmtId="166" fontId="68" fillId="0" borderId="0" xfId="1" applyNumberFormat="1" applyFont="1"/>
    <xf numFmtId="177" fontId="49" fillId="0" borderId="0" xfId="737" quotePrefix="1" applyNumberFormat="1" applyFont="1" applyAlignment="1">
      <alignment horizontal="left"/>
    </xf>
    <xf numFmtId="177" fontId="49" fillId="0" borderId="0" xfId="737" applyNumberFormat="1" applyFont="1" applyAlignment="1">
      <alignment horizontal="center"/>
    </xf>
    <xf numFmtId="177" fontId="73" fillId="0" borderId="0" xfId="737" applyNumberFormat="1" applyFont="1"/>
    <xf numFmtId="177" fontId="98" fillId="0" borderId="0" xfId="737" applyNumberFormat="1" applyFont="1"/>
    <xf numFmtId="165" fontId="98" fillId="0" borderId="0" xfId="737" applyNumberFormat="1" applyFont="1"/>
    <xf numFmtId="177" fontId="49" fillId="0" borderId="0" xfId="737" applyNumberFormat="1" applyFont="1"/>
    <xf numFmtId="177" fontId="49" fillId="0" borderId="0" xfId="737" applyNumberFormat="1" applyFont="1" applyAlignment="1">
      <alignment horizontal="right"/>
    </xf>
    <xf numFmtId="182" fontId="49" fillId="0" borderId="0" xfId="737" applyNumberFormat="1" applyFont="1"/>
    <xf numFmtId="0" fontId="65" fillId="0" borderId="0" xfId="833" applyFont="1"/>
    <xf numFmtId="0" fontId="65" fillId="0" borderId="0" xfId="833" applyFont="1" applyAlignment="1">
      <alignment horizontal="right"/>
    </xf>
    <xf numFmtId="177" fontId="65" fillId="0" borderId="0" xfId="833" applyNumberFormat="1" applyFont="1"/>
    <xf numFmtId="173" fontId="69" fillId="0" borderId="0" xfId="833" applyNumberFormat="1" applyFont="1"/>
    <xf numFmtId="0" fontId="70" fillId="0" borderId="0" xfId="833" applyFont="1"/>
    <xf numFmtId="0" fontId="49" fillId="0" borderId="0" xfId="833" applyFont="1"/>
    <xf numFmtId="173" fontId="44" fillId="0" borderId="0" xfId="833" applyNumberFormat="1"/>
    <xf numFmtId="0" fontId="70" fillId="0" borderId="0" xfId="833" applyFont="1" applyAlignment="1">
      <alignment horizontal="right"/>
    </xf>
    <xf numFmtId="173" fontId="65" fillId="0" borderId="0" xfId="833" applyNumberFormat="1" applyFont="1"/>
    <xf numFmtId="0" fontId="49" fillId="0" borderId="0" xfId="833" applyFont="1" applyAlignment="1">
      <alignment horizontal="right"/>
    </xf>
    <xf numFmtId="0" fontId="70" fillId="0" borderId="0" xfId="833" quotePrefix="1" applyFont="1" applyAlignment="1">
      <alignment horizontal="left"/>
    </xf>
    <xf numFmtId="0" fontId="101" fillId="0" borderId="0" xfId="833" applyFont="1"/>
    <xf numFmtId="180" fontId="44" fillId="0" borderId="0" xfId="833" applyNumberFormat="1"/>
    <xf numFmtId="180" fontId="49" fillId="0" borderId="0" xfId="833" applyNumberFormat="1" applyFont="1"/>
    <xf numFmtId="173" fontId="49" fillId="0" borderId="0" xfId="833" applyNumberFormat="1" applyFont="1"/>
    <xf numFmtId="173" fontId="70" fillId="0" borderId="0" xfId="833" applyNumberFormat="1" applyFont="1"/>
    <xf numFmtId="180" fontId="44" fillId="0" borderId="0" xfId="833" quotePrefix="1" applyNumberFormat="1" applyAlignment="1">
      <alignment horizontal="left"/>
    </xf>
    <xf numFmtId="173" fontId="70" fillId="0" borderId="0" xfId="833" applyNumberFormat="1" applyFont="1" applyAlignment="1">
      <alignment horizontal="centerContinuous"/>
    </xf>
    <xf numFmtId="173" fontId="70" fillId="0" borderId="0" xfId="833" applyNumberFormat="1" applyFont="1" applyAlignment="1">
      <alignment horizontal="center"/>
    </xf>
    <xf numFmtId="0" fontId="101" fillId="0" borderId="0" xfId="833" applyFont="1" applyAlignment="1">
      <alignment horizontal="center"/>
    </xf>
    <xf numFmtId="0" fontId="70" fillId="0" borderId="0" xfId="833" applyFont="1" applyAlignment="1">
      <alignment horizontal="center"/>
    </xf>
    <xf numFmtId="173" fontId="65" fillId="0" borderId="0" xfId="833" applyNumberFormat="1" applyFont="1" applyAlignment="1">
      <alignment horizontal="right"/>
    </xf>
    <xf numFmtId="176" fontId="65" fillId="0" borderId="0" xfId="833" applyNumberFormat="1" applyFont="1"/>
    <xf numFmtId="173" fontId="65" fillId="0" borderId="0" xfId="833" applyNumberFormat="1" applyFont="1" applyAlignment="1">
      <alignment horizontal="center"/>
    </xf>
    <xf numFmtId="0" fontId="66" fillId="0" borderId="0" xfId="833" applyFont="1"/>
    <xf numFmtId="165" fontId="47" fillId="0" borderId="0" xfId="837" applyNumberFormat="1"/>
    <xf numFmtId="165" fontId="107" fillId="0" borderId="0" xfId="837" applyNumberFormat="1" applyFont="1" applyAlignment="1">
      <alignment horizontal="right"/>
    </xf>
    <xf numFmtId="39" fontId="47" fillId="0" borderId="0" xfId="837" applyNumberFormat="1"/>
    <xf numFmtId="40" fontId="47" fillId="0" borderId="0" xfId="837" applyNumberFormat="1"/>
    <xf numFmtId="165" fontId="69" fillId="0" borderId="0" xfId="837" applyNumberFormat="1" applyFont="1"/>
    <xf numFmtId="5" fontId="49" fillId="0" borderId="0" xfId="837" applyNumberFormat="1" applyFont="1"/>
    <xf numFmtId="40" fontId="49" fillId="0" borderId="0" xfId="837" applyNumberFormat="1" applyFont="1"/>
    <xf numFmtId="165" fontId="77" fillId="0" borderId="0" xfId="837" applyNumberFormat="1" applyFont="1" applyAlignment="1">
      <alignment horizontal="right"/>
    </xf>
    <xf numFmtId="0" fontId="71" fillId="0" borderId="0" xfId="837" quotePrefix="1" applyFont="1" applyAlignment="1">
      <alignment horizontal="left"/>
    </xf>
    <xf numFmtId="0" fontId="70" fillId="0" borderId="0" xfId="837" applyFont="1"/>
    <xf numFmtId="40" fontId="108" fillId="0" borderId="0" xfId="837" applyNumberFormat="1" applyFont="1" applyAlignment="1">
      <alignment horizontal="center"/>
    </xf>
    <xf numFmtId="40" fontId="49" fillId="0" borderId="0" xfId="837" quotePrefix="1" applyNumberFormat="1" applyFont="1" applyAlignment="1">
      <alignment horizontal="left"/>
    </xf>
    <xf numFmtId="40" fontId="49" fillId="0" borderId="0" xfId="837" applyNumberFormat="1" applyFont="1" applyAlignment="1">
      <alignment horizontal="left"/>
    </xf>
    <xf numFmtId="39" fontId="49" fillId="0" borderId="0" xfId="837" quotePrefix="1" applyNumberFormat="1" applyFont="1" applyAlignment="1">
      <alignment horizontal="center"/>
    </xf>
    <xf numFmtId="40" fontId="49" fillId="0" borderId="0" xfId="837" applyNumberFormat="1" applyFont="1" applyAlignment="1">
      <alignment horizontal="center"/>
    </xf>
    <xf numFmtId="39" fontId="49" fillId="0" borderId="0" xfId="837" applyNumberFormat="1" applyFont="1" applyAlignment="1">
      <alignment horizontal="center"/>
    </xf>
    <xf numFmtId="37" fontId="49" fillId="0" borderId="0" xfId="837" applyNumberFormat="1" applyFont="1"/>
    <xf numFmtId="185" fontId="49" fillId="0" borderId="0" xfId="837" quotePrefix="1" applyNumberFormat="1" applyFont="1" applyAlignment="1">
      <alignment horizontal="center"/>
    </xf>
    <xf numFmtId="42" fontId="49" fillId="0" borderId="0" xfId="837" applyNumberFormat="1" applyFont="1"/>
    <xf numFmtId="165" fontId="77" fillId="0" borderId="0" xfId="837" applyNumberFormat="1" applyFont="1"/>
    <xf numFmtId="0" fontId="49" fillId="0" borderId="0" xfId="837" applyFont="1"/>
    <xf numFmtId="41" fontId="49" fillId="0" borderId="0" xfId="837" applyNumberFormat="1" applyFont="1"/>
    <xf numFmtId="0" fontId="49" fillId="0" borderId="0" xfId="837" applyFont="1" applyAlignment="1">
      <alignment horizontal="left"/>
    </xf>
    <xf numFmtId="0" fontId="47" fillId="0" borderId="0" xfId="837" applyAlignment="1">
      <alignment horizontal="left"/>
    </xf>
    <xf numFmtId="166" fontId="62" fillId="0" borderId="0" xfId="1" applyNumberFormat="1" applyFont="1"/>
    <xf numFmtId="166" fontId="62" fillId="0" borderId="0" xfId="1" quotePrefix="1" applyNumberFormat="1" applyFont="1" applyAlignment="1">
      <alignment horizontal="left"/>
    </xf>
    <xf numFmtId="166" fontId="63" fillId="0" borderId="0" xfId="1" applyNumberFormat="1" applyFont="1" applyAlignment="1">
      <alignment horizontal="center"/>
    </xf>
    <xf numFmtId="174" fontId="62" fillId="0" borderId="0" xfId="1" applyNumberFormat="1" applyFont="1"/>
    <xf numFmtId="174" fontId="62" fillId="0" borderId="16" xfId="1" applyNumberFormat="1" applyFont="1" applyBorder="1"/>
    <xf numFmtId="166" fontId="63" fillId="0" borderId="0" xfId="1" applyNumberFormat="1" applyFont="1" applyAlignment="1">
      <alignment horizontal="right"/>
    </xf>
    <xf numFmtId="166" fontId="63" fillId="0" borderId="16" xfId="1" applyNumberFormat="1" applyFont="1" applyBorder="1"/>
    <xf numFmtId="170" fontId="63" fillId="0" borderId="0" xfId="1" applyNumberFormat="1" applyFont="1"/>
    <xf numFmtId="170" fontId="63" fillId="0" borderId="16" xfId="1" applyNumberFormat="1" applyFont="1" applyBorder="1"/>
    <xf numFmtId="170" fontId="63" fillId="0" borderId="45" xfId="1" applyNumberFormat="1" applyFont="1" applyBorder="1"/>
    <xf numFmtId="170" fontId="62" fillId="0" borderId="0" xfId="1" applyNumberFormat="1" applyFont="1"/>
    <xf numFmtId="170" fontId="62" fillId="0" borderId="16" xfId="1" applyNumberFormat="1" applyFont="1" applyBorder="1"/>
    <xf numFmtId="166" fontId="63" fillId="0" borderId="0" xfId="1" quotePrefix="1" applyNumberFormat="1" applyFont="1" applyAlignment="1">
      <alignment horizontal="left"/>
    </xf>
    <xf numFmtId="170" fontId="135" fillId="0" borderId="0" xfId="1" applyNumberFormat="1" applyFont="1"/>
    <xf numFmtId="170" fontId="67" fillId="0" borderId="16" xfId="1" applyNumberFormat="1" applyFont="1" applyBorder="1"/>
    <xf numFmtId="170" fontId="68" fillId="0" borderId="0" xfId="1" applyNumberFormat="1" applyFont="1"/>
    <xf numFmtId="170" fontId="68" fillId="0" borderId="16" xfId="1" applyNumberFormat="1" applyFont="1" applyBorder="1"/>
    <xf numFmtId="170" fontId="62" fillId="0" borderId="0" xfId="1" applyNumberFormat="1" applyFont="1" applyAlignment="1">
      <alignment horizontal="right"/>
    </xf>
    <xf numFmtId="166" fontId="67" fillId="0" borderId="16" xfId="1" applyNumberFormat="1" applyFont="1" applyBorder="1"/>
    <xf numFmtId="166" fontId="49" fillId="0" borderId="0" xfId="1" applyNumberFormat="1" applyFont="1" applyAlignment="1">
      <alignment horizontal="left"/>
    </xf>
    <xf numFmtId="174" fontId="62" fillId="0" borderId="15" xfId="1" applyNumberFormat="1" applyFont="1" applyBorder="1"/>
    <xf numFmtId="174" fontId="68" fillId="0" borderId="0" xfId="1" applyNumberFormat="1" applyFont="1" applyAlignment="1">
      <alignment horizontal="right"/>
    </xf>
    <xf numFmtId="174" fontId="68" fillId="0" borderId="16" xfId="1" applyNumberFormat="1" applyFont="1" applyBorder="1"/>
    <xf numFmtId="166" fontId="51" fillId="0" borderId="0" xfId="1" applyNumberFormat="1" applyFont="1"/>
    <xf numFmtId="43" fontId="47" fillId="0" borderId="0" xfId="4" applyFont="1" applyFill="1" applyBorder="1" applyAlignment="1">
      <alignment horizontal="right"/>
    </xf>
    <xf numFmtId="0" fontId="81" fillId="0" borderId="0" xfId="5" applyFont="1"/>
    <xf numFmtId="0" fontId="136" fillId="0" borderId="0" xfId="5" applyFont="1"/>
    <xf numFmtId="0" fontId="112" fillId="0" borderId="0" xfId="5" applyFont="1"/>
    <xf numFmtId="0" fontId="54" fillId="0" borderId="0" xfId="5" applyFont="1"/>
    <xf numFmtId="0" fontId="54" fillId="0" borderId="0" xfId="5" applyFont="1" applyAlignment="1">
      <alignment horizontal="left"/>
    </xf>
    <xf numFmtId="0" fontId="54" fillId="0" borderId="0" xfId="5" applyFont="1" applyAlignment="1">
      <alignment horizontal="right" indent="15"/>
    </xf>
    <xf numFmtId="0" fontId="47" fillId="0" borderId="0" xfId="5" applyFont="1" applyAlignment="1">
      <alignment horizontal="center"/>
    </xf>
    <xf numFmtId="0" fontId="54" fillId="0" borderId="0" xfId="5" applyFont="1" applyAlignment="1">
      <alignment horizontal="center"/>
    </xf>
    <xf numFmtId="0" fontId="54" fillId="0" borderId="0" xfId="5" applyFont="1" applyAlignment="1">
      <alignment horizontal="right"/>
    </xf>
    <xf numFmtId="0" fontId="112" fillId="0" borderId="0" xfId="5" quotePrefix="1" applyFont="1" applyAlignment="1">
      <alignment horizontal="right"/>
    </xf>
    <xf numFmtId="165" fontId="54" fillId="0" borderId="0" xfId="5" applyNumberFormat="1" applyFont="1" applyAlignment="1">
      <alignment horizontal="right"/>
    </xf>
    <xf numFmtId="0" fontId="138" fillId="0" borderId="0" xfId="5" applyFont="1"/>
    <xf numFmtId="0" fontId="112" fillId="0" borderId="0" xfId="5" applyFont="1" applyAlignment="1">
      <alignment horizontal="center"/>
    </xf>
    <xf numFmtId="187" fontId="54" fillId="0" borderId="0" xfId="5" applyNumberFormat="1" applyFont="1"/>
    <xf numFmtId="3" fontId="54" fillId="0" borderId="0" xfId="5" applyNumberFormat="1" applyFont="1"/>
    <xf numFmtId="0" fontId="136" fillId="0" borderId="0" xfId="5" applyFont="1" applyAlignment="1">
      <alignment horizontal="center"/>
    </xf>
    <xf numFmtId="190" fontId="54" fillId="0" borderId="0" xfId="5" applyNumberFormat="1" applyFont="1"/>
    <xf numFmtId="175" fontId="54" fillId="0" borderId="0" xfId="5" quotePrefix="1" applyNumberFormat="1" applyFont="1" applyAlignment="1">
      <alignment horizontal="right"/>
    </xf>
    <xf numFmtId="191" fontId="54" fillId="0" borderId="0" xfId="5" applyNumberFormat="1" applyFont="1"/>
    <xf numFmtId="175" fontId="54" fillId="0" borderId="0" xfId="5" quotePrefix="1" applyNumberFormat="1" applyFont="1"/>
    <xf numFmtId="0" fontId="48" fillId="0" borderId="0" xfId="857" applyFont="1" applyAlignment="1">
      <alignment horizontal="centerContinuous"/>
    </xf>
    <xf numFmtId="37" fontId="48" fillId="0" borderId="0" xfId="857" applyNumberFormat="1" applyFont="1" applyAlignment="1">
      <alignment horizontal="centerContinuous"/>
    </xf>
    <xf numFmtId="0" fontId="48" fillId="0" borderId="0" xfId="857" applyFont="1"/>
    <xf numFmtId="0" fontId="47" fillId="0" borderId="0" xfId="857" applyFont="1" applyAlignment="1">
      <alignment horizontal="centerContinuous"/>
    </xf>
    <xf numFmtId="37" fontId="70" fillId="0" borderId="0" xfId="857" applyNumberFormat="1" applyFont="1" applyAlignment="1">
      <alignment horizontal="centerContinuous"/>
    </xf>
    <xf numFmtId="0" fontId="47" fillId="0" borderId="0" xfId="857" applyFont="1"/>
    <xf numFmtId="0" fontId="48" fillId="0" borderId="46" xfId="857" applyFont="1" applyBorder="1" applyAlignment="1">
      <alignment horizontal="centerContinuous"/>
    </xf>
    <xf numFmtId="0" fontId="47" fillId="0" borderId="20" xfId="857" applyFont="1" applyBorder="1" applyAlignment="1">
      <alignment horizontal="centerContinuous"/>
    </xf>
    <xf numFmtId="37" fontId="70" fillId="0" borderId="47" xfId="857" applyNumberFormat="1" applyFont="1" applyBorder="1"/>
    <xf numFmtId="0" fontId="48" fillId="0" borderId="20" xfId="857" applyFont="1" applyBorder="1"/>
    <xf numFmtId="0" fontId="47" fillId="0" borderId="20" xfId="857" applyFont="1" applyBorder="1"/>
    <xf numFmtId="37" fontId="70" fillId="0" borderId="0" xfId="857" applyNumberFormat="1" applyFont="1"/>
    <xf numFmtId="37" fontId="47" fillId="0" borderId="0" xfId="857" applyNumberFormat="1" applyFont="1"/>
    <xf numFmtId="37" fontId="45" fillId="0" borderId="0" xfId="857" applyNumberFormat="1" applyFont="1"/>
    <xf numFmtId="0" fontId="47" fillId="0" borderId="45" xfId="857" applyFont="1" applyBorder="1"/>
    <xf numFmtId="0" fontId="139" fillId="0" borderId="0" xfId="857" applyFont="1"/>
    <xf numFmtId="37" fontId="47" fillId="0" borderId="0" xfId="857" applyNumberFormat="1" applyFont="1" applyAlignment="1">
      <alignment horizontal="left"/>
    </xf>
    <xf numFmtId="0" fontId="109" fillId="0" borderId="0" xfId="857" applyFont="1"/>
    <xf numFmtId="165" fontId="47" fillId="0" borderId="0" xfId="857" applyNumberFormat="1" applyFont="1" applyAlignment="1">
      <alignment horizontal="left"/>
    </xf>
    <xf numFmtId="0" fontId="140" fillId="0" borderId="0" xfId="857" applyFont="1" applyAlignment="1">
      <alignment vertical="top" wrapText="1"/>
    </xf>
    <xf numFmtId="0" fontId="83" fillId="0" borderId="0" xfId="857" applyFont="1"/>
    <xf numFmtId="0" fontId="47" fillId="0" borderId="0" xfId="857"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1" applyNumberFormat="1"/>
    <xf numFmtId="49" fontId="42" fillId="0" borderId="0" xfId="14"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1"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1" applyNumberFormat="1"/>
    <xf numFmtId="0" fontId="42" fillId="0" borderId="0" xfId="14" applyNumberFormat="1" applyAlignment="1">
      <alignment horizontal="left"/>
    </xf>
    <xf numFmtId="164" fontId="70" fillId="0" borderId="0" xfId="0" applyFont="1"/>
    <xf numFmtId="0" fontId="144" fillId="0" borderId="0" xfId="857" applyFont="1"/>
    <xf numFmtId="37" fontId="47" fillId="34" borderId="0" xfId="857" applyNumberFormat="1" applyFont="1" applyFill="1" applyAlignment="1">
      <alignment horizontal="left"/>
    </xf>
    <xf numFmtId="0" fontId="48" fillId="34" borderId="0" xfId="857" applyFont="1" applyFill="1"/>
    <xf numFmtId="174" fontId="42" fillId="0" borderId="0" xfId="1" applyNumberFormat="1"/>
    <xf numFmtId="170" fontId="42" fillId="0" borderId="0" xfId="1" quotePrefix="1" applyNumberFormat="1" applyAlignment="1">
      <alignment horizontal="center"/>
    </xf>
    <xf numFmtId="174" fontId="42" fillId="0" borderId="0" xfId="1" applyNumberFormat="1" applyAlignment="1">
      <alignment horizontal="right"/>
    </xf>
    <xf numFmtId="174" fontId="42" fillId="0" borderId="0" xfId="1" quotePrefix="1" applyNumberFormat="1" applyAlignment="1">
      <alignment horizontal="center"/>
    </xf>
    <xf numFmtId="186" fontId="96" fillId="0" borderId="0" xfId="5" applyNumberFormat="1"/>
    <xf numFmtId="0" fontId="42" fillId="0" borderId="0" xfId="14" quotePrefix="1" applyNumberFormat="1" applyAlignment="1">
      <alignment horizontal="left"/>
    </xf>
    <xf numFmtId="164" fontId="65" fillId="0" borderId="0" xfId="0" applyFont="1"/>
    <xf numFmtId="164" fontId="49" fillId="0" borderId="0" xfId="0" applyFont="1"/>
    <xf numFmtId="0" fontId="137" fillId="0" borderId="0" xfId="5" applyFont="1" applyAlignment="1">
      <alignment horizontal="left"/>
    </xf>
    <xf numFmtId="164" fontId="42" fillId="0" borderId="0" xfId="1"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1" applyNumberFormat="1" applyAlignment="1">
      <alignment horizontal="right"/>
    </xf>
    <xf numFmtId="170" fontId="42" fillId="0" borderId="0" xfId="1" quotePrefix="1" applyNumberFormat="1" applyAlignment="1">
      <alignment horizontal="right"/>
    </xf>
    <xf numFmtId="170" fontId="42" fillId="0" borderId="0" xfId="1" quotePrefix="1" applyNumberFormat="1"/>
    <xf numFmtId="174" fontId="128" fillId="0" borderId="0" xfId="1" applyNumberFormat="1" applyFont="1"/>
    <xf numFmtId="0" fontId="42" fillId="0" borderId="0" xfId="1"/>
    <xf numFmtId="180" fontId="65" fillId="0" borderId="0" xfId="833" applyNumberFormat="1" applyFont="1"/>
    <xf numFmtId="177" fontId="70" fillId="0" borderId="0" xfId="833" applyNumberFormat="1" applyFont="1" applyAlignment="1">
      <alignment horizontal="right"/>
    </xf>
    <xf numFmtId="177" fontId="70" fillId="0" borderId="0" xfId="833" applyNumberFormat="1" applyFont="1"/>
    <xf numFmtId="173" fontId="65" fillId="0" borderId="0" xfId="833" quotePrefix="1" applyNumberFormat="1" applyFont="1" applyAlignment="1">
      <alignment horizontal="left"/>
    </xf>
    <xf numFmtId="179" fontId="65" fillId="0" borderId="0" xfId="833" applyNumberFormat="1" applyFont="1"/>
    <xf numFmtId="179" fontId="70" fillId="0" borderId="0" xfId="833" applyNumberFormat="1" applyFont="1" applyAlignment="1">
      <alignment horizontal="right"/>
    </xf>
    <xf numFmtId="0" fontId="151" fillId="0" borderId="0" xfId="833" quotePrefix="1" applyFont="1" applyAlignment="1">
      <alignment horizontal="left"/>
    </xf>
    <xf numFmtId="173" fontId="79" fillId="0" borderId="0" xfId="833" applyNumberFormat="1" applyFont="1"/>
    <xf numFmtId="0" fontId="42" fillId="0" borderId="0" xfId="14" applyNumberFormat="1" applyAlignment="1">
      <alignment readingOrder="1"/>
    </xf>
    <xf numFmtId="0" fontId="42" fillId="0" borderId="0" xfId="14" applyNumberFormat="1"/>
    <xf numFmtId="0" fontId="42" fillId="0" borderId="0" xfId="14" applyNumberFormat="1" applyAlignment="1" applyProtection="1">
      <alignment readingOrder="1"/>
      <protection locked="0"/>
    </xf>
    <xf numFmtId="0" fontId="42" fillId="0" borderId="0" xfId="14" applyNumberFormat="1" applyProtection="1">
      <protection locked="0"/>
    </xf>
    <xf numFmtId="0" fontId="49" fillId="0" borderId="0" xfId="14"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37" applyNumberFormat="1" applyFont="1" applyAlignment="1">
      <alignment horizontal="right"/>
    </xf>
    <xf numFmtId="177" fontId="42" fillId="0" borderId="0" xfId="737" applyNumberFormat="1" applyFont="1"/>
    <xf numFmtId="177" fontId="42" fillId="0" borderId="0" xfId="737" quotePrefix="1" applyNumberFormat="1" applyFont="1" applyAlignment="1">
      <alignment horizontal="left"/>
    </xf>
    <xf numFmtId="177" fontId="96" fillId="0" borderId="0" xfId="737" applyNumberFormat="1" applyFont="1"/>
    <xf numFmtId="0" fontId="96" fillId="0" borderId="0" xfId="737" applyFont="1"/>
    <xf numFmtId="0" fontId="42" fillId="0" borderId="0" xfId="737" quotePrefix="1" applyFont="1" applyAlignment="1">
      <alignment horizontal="left"/>
    </xf>
    <xf numFmtId="181" fontId="42" fillId="0" borderId="0" xfId="738" applyNumberFormat="1" applyFont="1" applyFill="1" applyBorder="1" applyAlignment="1"/>
    <xf numFmtId="0" fontId="49" fillId="0" borderId="0" xfId="1" quotePrefix="1" applyFont="1" applyAlignment="1">
      <alignment horizontal="center"/>
    </xf>
    <xf numFmtId="17" fontId="49" fillId="0" borderId="0" xfId="1" applyNumberFormat="1" applyFont="1" applyAlignment="1">
      <alignment horizontal="center"/>
    </xf>
    <xf numFmtId="15" fontId="49" fillId="0" borderId="0" xfId="1" applyNumberFormat="1" applyFont="1" applyAlignment="1">
      <alignment horizontal="center"/>
    </xf>
    <xf numFmtId="166" fontId="62" fillId="0" borderId="0" xfId="1" applyNumberFormat="1" applyFont="1" applyAlignment="1">
      <alignment horizontal="center"/>
    </xf>
    <xf numFmtId="165" fontId="49" fillId="0" borderId="0" xfId="1" quotePrefix="1" applyNumberFormat="1" applyFont="1" applyAlignment="1">
      <alignment horizontal="center"/>
    </xf>
    <xf numFmtId="166" fontId="49" fillId="0" borderId="0" xfId="1" applyNumberFormat="1" applyFont="1" applyAlignment="1">
      <alignment horizontal="center"/>
    </xf>
    <xf numFmtId="165" fontId="49" fillId="0" borderId="0" xfId="1" applyNumberFormat="1" applyFont="1" applyAlignment="1">
      <alignment horizontal="center"/>
    </xf>
    <xf numFmtId="165" fontId="48" fillId="0" borderId="0" xfId="1" applyNumberFormat="1" applyFont="1"/>
    <xf numFmtId="165" fontId="153" fillId="0" borderId="0" xfId="1" applyNumberFormat="1" applyFont="1"/>
    <xf numFmtId="165" fontId="154" fillId="0" borderId="0" xfId="1"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57" applyFont="1" applyAlignment="1">
      <alignment horizontal="right"/>
    </xf>
    <xf numFmtId="164" fontId="47" fillId="0" borderId="0" xfId="1" applyNumberFormat="1" applyFont="1"/>
    <xf numFmtId="164" fontId="43" fillId="0" borderId="0" xfId="1" applyNumberFormat="1" applyFont="1" applyAlignment="1">
      <alignment horizontal="right"/>
    </xf>
    <xf numFmtId="164" fontId="45" fillId="0" borderId="0" xfId="1" applyNumberFormat="1" applyFont="1"/>
    <xf numFmtId="164" fontId="49" fillId="0" borderId="0" xfId="1"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1" applyNumberFormat="1" applyFont="1" applyBorder="1"/>
    <xf numFmtId="0" fontId="70" fillId="0" borderId="0" xfId="833" quotePrefix="1" applyFont="1"/>
    <xf numFmtId="43" fontId="47" fillId="0" borderId="0" xfId="0" applyNumberFormat="1" applyFont="1"/>
    <xf numFmtId="189" fontId="155" fillId="0" borderId="0" xfId="8" applyNumberFormat="1" applyFont="1" applyAlignment="1">
      <alignment horizontal="right"/>
    </xf>
    <xf numFmtId="4" fontId="49" fillId="0" borderId="0" xfId="1025"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37" applyNumberFormat="1" applyFont="1" applyAlignment="1">
      <alignment horizontal="left"/>
    </xf>
    <xf numFmtId="0" fontId="71" fillId="0" borderId="0" xfId="837" applyFont="1" applyAlignment="1">
      <alignment horizontal="left"/>
    </xf>
    <xf numFmtId="0" fontId="42" fillId="0" borderId="0" xfId="837" applyFont="1" applyAlignment="1">
      <alignment horizontal="left"/>
    </xf>
    <xf numFmtId="0" fontId="42" fillId="0" borderId="0" xfId="1" applyAlignment="1">
      <alignment horizontal="left"/>
    </xf>
    <xf numFmtId="0" fontId="70" fillId="0" borderId="0" xfId="1" applyFont="1" applyAlignment="1" applyProtection="1">
      <alignment horizontal="left"/>
      <protection locked="0"/>
    </xf>
    <xf numFmtId="37" fontId="70" fillId="0" borderId="0" xfId="1" applyNumberFormat="1" applyFont="1" applyAlignment="1">
      <alignment horizontal="center"/>
    </xf>
    <xf numFmtId="37" fontId="70" fillId="0" borderId="0" xfId="1" quotePrefix="1" applyNumberFormat="1" applyFont="1" applyAlignment="1">
      <alignment horizontal="center"/>
    </xf>
    <xf numFmtId="165" fontId="42" fillId="0" borderId="0" xfId="1" applyNumberFormat="1" applyProtection="1">
      <protection locked="0"/>
    </xf>
    <xf numFmtId="165" fontId="42" fillId="0" borderId="0" xfId="14" applyNumberFormat="1" applyProtection="1">
      <protection locked="0"/>
    </xf>
    <xf numFmtId="0" fontId="49" fillId="0" borderId="0" xfId="14" applyNumberFormat="1" applyFont="1"/>
    <xf numFmtId="170" fontId="49" fillId="0" borderId="45" xfId="1" applyNumberFormat="1" applyFont="1" applyBorder="1"/>
    <xf numFmtId="43" fontId="48" fillId="0" borderId="0" xfId="0" applyNumberFormat="1" applyFont="1"/>
    <xf numFmtId="0" fontId="101" fillId="0" borderId="0" xfId="14" applyNumberFormat="1" applyFont="1"/>
    <xf numFmtId="0" fontId="106" fillId="0" borderId="0" xfId="14" applyNumberFormat="1" applyFont="1" applyProtection="1">
      <protection locked="0"/>
    </xf>
    <xf numFmtId="0" fontId="106" fillId="0" borderId="0" xfId="14" applyNumberFormat="1" applyFont="1"/>
    <xf numFmtId="0" fontId="106" fillId="0" borderId="0" xfId="14" applyNumberFormat="1" applyFont="1" applyAlignment="1">
      <alignment horizontal="center"/>
    </xf>
    <xf numFmtId="0" fontId="48" fillId="0" borderId="0" xfId="5" applyFont="1" applyAlignment="1">
      <alignment horizontal="right"/>
    </xf>
    <xf numFmtId="165" fontId="42" fillId="0" borderId="0" xfId="1" applyNumberFormat="1"/>
    <xf numFmtId="165" fontId="42" fillId="0" borderId="0" xfId="1" applyNumberFormat="1" applyAlignment="1">
      <alignment horizontal="centerContinuous"/>
    </xf>
    <xf numFmtId="0" fontId="77" fillId="0" borderId="0" xfId="1" applyFont="1" applyAlignment="1">
      <alignment horizontal="left"/>
    </xf>
    <xf numFmtId="170" fontId="42" fillId="0" borderId="0" xfId="1" applyNumberFormat="1" applyAlignment="1">
      <alignment horizontal="center"/>
    </xf>
    <xf numFmtId="164" fontId="49" fillId="0" borderId="45" xfId="1" applyNumberFormat="1" applyFont="1" applyBorder="1"/>
    <xf numFmtId="179" fontId="0" fillId="0" borderId="0" xfId="14" applyNumberFormat="1" applyFont="1"/>
    <xf numFmtId="17" fontId="49" fillId="0" borderId="45" xfId="1" quotePrefix="1" applyNumberFormat="1" applyFont="1" applyBorder="1" applyAlignment="1">
      <alignment horizontal="center"/>
    </xf>
    <xf numFmtId="178" fontId="70" fillId="0" borderId="0" xfId="833" quotePrefix="1" applyNumberFormat="1" applyFont="1" applyAlignment="1">
      <alignment horizontal="center"/>
    </xf>
    <xf numFmtId="0" fontId="158" fillId="0" borderId="0" xfId="1" applyFont="1"/>
    <xf numFmtId="0" fontId="49" fillId="0" borderId="0" xfId="837"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0" applyNumberFormat="1" applyFill="1" applyProtection="1">
      <protection locked="0"/>
    </xf>
    <xf numFmtId="37" fontId="42" fillId="0" borderId="0" xfId="1" applyNumberFormat="1" applyAlignment="1">
      <alignment horizontal="right"/>
    </xf>
    <xf numFmtId="169" fontId="42" fillId="0" borderId="0" xfId="1" applyNumberFormat="1"/>
    <xf numFmtId="37" fontId="42" fillId="0" borderId="0" xfId="1" quotePrefix="1" applyNumberFormat="1" applyAlignment="1">
      <alignment horizontal="center"/>
    </xf>
    <xf numFmtId="170" fontId="42" fillId="0" borderId="45" xfId="1" applyNumberFormat="1" applyBorder="1" applyAlignment="1">
      <alignment horizontal="right"/>
    </xf>
    <xf numFmtId="170" fontId="42" fillId="0" borderId="45" xfId="1" applyNumberFormat="1" applyBorder="1"/>
    <xf numFmtId="166" fontId="42" fillId="0" borderId="0" xfId="1" applyNumberFormat="1" applyAlignment="1">
      <alignment horizontal="right"/>
    </xf>
    <xf numFmtId="3" fontId="42" fillId="0" borderId="0" xfId="1" applyNumberFormat="1"/>
    <xf numFmtId="0" fontId="42" fillId="0" borderId="0" xfId="5450" applyNumberFormat="1" applyAlignment="1">
      <alignment horizontal="left"/>
    </xf>
    <xf numFmtId="165" fontId="42" fillId="0" borderId="0" xfId="5450" applyNumberFormat="1" applyProtection="1">
      <protection locked="0"/>
    </xf>
    <xf numFmtId="174" fontId="42" fillId="0" borderId="0" xfId="1" quotePrefix="1" applyNumberFormat="1" applyAlignment="1">
      <alignment horizontal="right"/>
    </xf>
    <xf numFmtId="37" fontId="42" fillId="0" borderId="0" xfId="1" applyNumberFormat="1" applyAlignment="1">
      <alignment horizontal="center"/>
    </xf>
    <xf numFmtId="174" fontId="42" fillId="0" borderId="0" xfId="1" quotePrefix="1" applyNumberFormat="1"/>
    <xf numFmtId="166" fontId="63" fillId="0" borderId="19" xfId="1" applyNumberFormat="1" applyFont="1" applyBorder="1"/>
    <xf numFmtId="170" fontId="63" fillId="0" borderId="19" xfId="1" applyNumberFormat="1" applyFont="1" applyBorder="1"/>
    <xf numFmtId="37" fontId="132" fillId="0" borderId="0" xfId="1" applyNumberFormat="1" applyFont="1" applyAlignment="1">
      <alignment horizontal="centerContinuous"/>
    </xf>
    <xf numFmtId="170" fontId="49" fillId="0" borderId="0" xfId="1" quotePrefix="1" applyNumberFormat="1" applyFont="1"/>
    <xf numFmtId="0" fontId="49" fillId="0" borderId="14" xfId="1" applyFont="1" applyBorder="1" applyAlignment="1">
      <alignment horizontal="center"/>
    </xf>
    <xf numFmtId="0" fontId="49" fillId="0" borderId="14" xfId="1" quotePrefix="1" applyFont="1" applyBorder="1" applyAlignment="1">
      <alignment horizontal="center"/>
    </xf>
    <xf numFmtId="170" fontId="49" fillId="0" borderId="14" xfId="1" quotePrefix="1" applyNumberFormat="1" applyFont="1" applyBorder="1"/>
    <xf numFmtId="170" fontId="49" fillId="0" borderId="14" xfId="1" applyNumberFormat="1" applyFont="1" applyBorder="1" applyAlignment="1">
      <alignment vertical="center"/>
    </xf>
    <xf numFmtId="0" fontId="49" fillId="0" borderId="14" xfId="1" applyFont="1" applyBorder="1"/>
    <xf numFmtId="0" fontId="42" fillId="0" borderId="0" xfId="1" applyAlignment="1">
      <alignment horizontal="centerContinuous"/>
    </xf>
    <xf numFmtId="165" fontId="42" fillId="0" borderId="0" xfId="1" applyNumberFormat="1" applyAlignment="1" applyProtection="1">
      <alignment horizontal="center"/>
      <protection locked="0"/>
    </xf>
    <xf numFmtId="165" fontId="42" fillId="0" borderId="14" xfId="1" applyNumberFormat="1" applyBorder="1" applyProtection="1">
      <protection locked="0"/>
    </xf>
    <xf numFmtId="0" fontId="42" fillId="0" borderId="14" xfId="1" applyBorder="1"/>
    <xf numFmtId="169" fontId="42" fillId="0" borderId="14" xfId="1" applyNumberFormat="1" applyBorder="1"/>
    <xf numFmtId="168" fontId="42" fillId="0" borderId="0" xfId="1" applyNumberFormat="1" applyProtection="1">
      <protection locked="0"/>
    </xf>
    <xf numFmtId="168" fontId="42" fillId="0" borderId="0" xfId="1" applyNumberFormat="1"/>
    <xf numFmtId="166" fontId="42" fillId="0" borderId="14" xfId="1" applyNumberFormat="1" applyBorder="1"/>
    <xf numFmtId="0" fontId="42" fillId="0" borderId="14" xfId="1" quotePrefix="1" applyBorder="1"/>
    <xf numFmtId="0" fontId="42" fillId="0" borderId="14" xfId="1" quotePrefix="1" applyBorder="1" applyAlignment="1">
      <alignment horizontal="center"/>
    </xf>
    <xf numFmtId="0" fontId="42" fillId="0" borderId="14" xfId="1" quotePrefix="1" applyBorder="1" applyAlignment="1">
      <alignment horizontal="right"/>
    </xf>
    <xf numFmtId="169" fontId="42" fillId="0" borderId="20" xfId="1" applyNumberFormat="1" applyBorder="1"/>
    <xf numFmtId="170" fontId="42" fillId="0" borderId="0" xfId="1" applyNumberFormat="1" applyProtection="1">
      <protection locked="0"/>
    </xf>
    <xf numFmtId="0" fontId="42" fillId="0" borderId="0" xfId="1" quotePrefix="1" applyAlignment="1">
      <alignment horizontal="left"/>
    </xf>
    <xf numFmtId="170" fontId="49" fillId="0" borderId="0" xfId="3" applyNumberFormat="1" applyFont="1"/>
    <xf numFmtId="170" fontId="49" fillId="0" borderId="0" xfId="4" applyNumberFormat="1" applyFont="1" applyFill="1" applyBorder="1"/>
    <xf numFmtId="165" fontId="49" fillId="0" borderId="45" xfId="1" applyNumberFormat="1" applyFont="1" applyBorder="1" applyAlignment="1">
      <alignment horizontal="center"/>
    </xf>
    <xf numFmtId="164" fontId="49" fillId="0" borderId="25" xfId="1" applyNumberFormat="1" applyFont="1" applyBorder="1"/>
    <xf numFmtId="0" fontId="52" fillId="0" borderId="0" xfId="1" applyFont="1"/>
    <xf numFmtId="170" fontId="84" fillId="0" borderId="0" xfId="1" applyNumberFormat="1" applyFont="1"/>
    <xf numFmtId="170" fontId="49" fillId="0" borderId="25" xfId="1" applyNumberFormat="1" applyFont="1" applyBorder="1" applyAlignment="1">
      <alignment horizontal="right"/>
    </xf>
    <xf numFmtId="165" fontId="42" fillId="0" borderId="0" xfId="0" applyNumberFormat="1" applyFont="1" applyAlignment="1">
      <alignment horizontal="left"/>
    </xf>
    <xf numFmtId="165" fontId="0" fillId="0" borderId="0" xfId="1" applyNumberFormat="1" applyFont="1"/>
    <xf numFmtId="170" fontId="47" fillId="0" borderId="0" xfId="1" applyNumberFormat="1" applyFont="1"/>
    <xf numFmtId="170" fontId="42" fillId="0" borderId="0" xfId="17915" applyNumberFormat="1" applyFont="1" applyFill="1" applyAlignment="1">
      <alignment horizontal="center"/>
    </xf>
    <xf numFmtId="174" fontId="42" fillId="0" borderId="0" xfId="1" applyNumberFormat="1" applyProtection="1">
      <protection locked="0"/>
    </xf>
    <xf numFmtId="174" fontId="0" fillId="0" borderId="0" xfId="1" applyNumberFormat="1" applyFont="1"/>
    <xf numFmtId="37" fontId="49" fillId="0" borderId="45" xfId="1" applyNumberFormat="1" applyFont="1" applyBorder="1"/>
    <xf numFmtId="37" fontId="49" fillId="0" borderId="45" xfId="1" applyNumberFormat="1" applyFont="1" applyBorder="1" applyAlignment="1">
      <alignment horizontal="centerContinuous"/>
    </xf>
    <xf numFmtId="166" fontId="42" fillId="0" borderId="0" xfId="1" applyNumberFormat="1" applyAlignment="1">
      <alignment horizontal="left"/>
    </xf>
    <xf numFmtId="0" fontId="49" fillId="0" borderId="0" xfId="14" applyNumberFormat="1" applyFont="1" applyAlignment="1" applyProtection="1">
      <alignment horizontal="right"/>
      <protection locked="0"/>
    </xf>
    <xf numFmtId="37" fontId="49" fillId="0" borderId="45" xfId="1" applyNumberFormat="1" applyFont="1" applyBorder="1" applyAlignment="1">
      <alignment horizontal="center"/>
    </xf>
    <xf numFmtId="174" fontId="42" fillId="0" borderId="17" xfId="1" applyNumberFormat="1" applyBorder="1"/>
    <xf numFmtId="43" fontId="42" fillId="0" borderId="0" xfId="737" applyNumberFormat="1" applyFont="1" applyAlignment="1">
      <alignment horizontal="right"/>
    </xf>
    <xf numFmtId="0" fontId="97" fillId="0" borderId="0" xfId="737"/>
    <xf numFmtId="0" fontId="42" fillId="0" borderId="0" xfId="736"/>
    <xf numFmtId="37" fontId="42" fillId="0" borderId="0" xfId="736" applyNumberFormat="1"/>
    <xf numFmtId="164" fontId="43" fillId="0" borderId="0" xfId="0" applyFont="1" applyAlignment="1">
      <alignment horizontal="right"/>
    </xf>
    <xf numFmtId="0" fontId="42" fillId="0" borderId="0" xfId="736" applyAlignment="1">
      <alignment horizontal="centerContinuous"/>
    </xf>
    <xf numFmtId="166" fontId="42" fillId="0" borderId="0" xfId="736" applyNumberFormat="1" applyProtection="1">
      <protection locked="0"/>
    </xf>
    <xf numFmtId="0" fontId="42" fillId="0" borderId="0" xfId="736" applyAlignment="1">
      <alignment horizontal="left"/>
    </xf>
    <xf numFmtId="0" fontId="42" fillId="0" borderId="0" xfId="1769"/>
    <xf numFmtId="39" fontId="42" fillId="0" borderId="0" xfId="1769" applyNumberFormat="1"/>
    <xf numFmtId="165" fontId="65" fillId="0" borderId="0" xfId="1769" applyNumberFormat="1" applyFont="1" applyAlignment="1">
      <alignment horizontal="left"/>
    </xf>
    <xf numFmtId="39" fontId="65" fillId="0" borderId="0" xfId="1769" applyNumberFormat="1" applyFont="1"/>
    <xf numFmtId="0" fontId="65" fillId="0" borderId="0" xfId="1769" applyFont="1"/>
    <xf numFmtId="0" fontId="42" fillId="0" borderId="0" xfId="1769" applyAlignment="1">
      <alignment horizontal="left"/>
    </xf>
    <xf numFmtId="39" fontId="42" fillId="0" borderId="0" xfId="1769" applyNumberFormat="1" applyAlignment="1">
      <alignment horizontal="center"/>
    </xf>
    <xf numFmtId="165" fontId="49" fillId="0" borderId="0" xfId="1769" applyNumberFormat="1" applyFont="1"/>
    <xf numFmtId="39" fontId="49" fillId="0" borderId="0" xfId="1769" applyNumberFormat="1" applyFont="1"/>
    <xf numFmtId="0" fontId="49" fillId="0" borderId="0" xfId="1769" applyFont="1"/>
    <xf numFmtId="39" fontId="49" fillId="0" borderId="0" xfId="1769" applyNumberFormat="1" applyFont="1" applyAlignment="1">
      <alignment horizontal="center"/>
    </xf>
    <xf numFmtId="44" fontId="49" fillId="0" borderId="0" xfId="1769" applyNumberFormat="1" applyFont="1"/>
    <xf numFmtId="8" fontId="49" fillId="0" borderId="0" xfId="1769" applyNumberFormat="1" applyFont="1"/>
    <xf numFmtId="40" fontId="49" fillId="0" borderId="0" xfId="1769" applyNumberFormat="1" applyFont="1"/>
    <xf numFmtId="43" fontId="42" fillId="0" borderId="0" xfId="1769" applyNumberFormat="1"/>
    <xf numFmtId="0" fontId="49" fillId="0" borderId="0" xfId="1769" applyFont="1" applyAlignment="1">
      <alignment horizontal="left"/>
    </xf>
    <xf numFmtId="0" fontId="42" fillId="0" borderId="0" xfId="1769" quotePrefix="1" applyAlignment="1">
      <alignment horizontal="left"/>
    </xf>
    <xf numFmtId="43" fontId="49" fillId="0" borderId="0" xfId="1769" applyNumberFormat="1" applyFont="1" applyAlignment="1">
      <alignment horizontal="right"/>
    </xf>
    <xf numFmtId="43" fontId="42" fillId="0" borderId="0" xfId="1769" applyNumberFormat="1" applyAlignment="1">
      <alignment horizontal="right"/>
    </xf>
    <xf numFmtId="39" fontId="42" fillId="0" borderId="26" xfId="1769" applyNumberFormat="1" applyBorder="1"/>
    <xf numFmtId="39" fontId="49" fillId="0" borderId="0" xfId="1769" quotePrefix="1" applyNumberFormat="1" applyFont="1" applyAlignment="1">
      <alignment horizontal="left"/>
    </xf>
    <xf numFmtId="4" fontId="49" fillId="0" borderId="0" xfId="1769" applyNumberFormat="1" applyFont="1"/>
    <xf numFmtId="0" fontId="82" fillId="0" borderId="0" xfId="1769" applyFont="1"/>
    <xf numFmtId="165" fontId="42" fillId="0" borderId="0" xfId="1769" applyNumberFormat="1" applyProtection="1">
      <protection locked="0"/>
    </xf>
    <xf numFmtId="0" fontId="56" fillId="0" borderId="0" xfId="1769" applyFont="1" applyAlignment="1">
      <alignment horizontal="left"/>
    </xf>
    <xf numFmtId="165" fontId="88" fillId="0" borderId="0" xfId="1769" applyNumberFormat="1" applyFont="1"/>
    <xf numFmtId="39" fontId="88" fillId="0" borderId="0" xfId="1769" applyNumberFormat="1" applyFont="1"/>
    <xf numFmtId="44" fontId="49" fillId="0" borderId="17" xfId="1769" applyNumberFormat="1" applyFont="1" applyBorder="1"/>
    <xf numFmtId="39" fontId="42" fillId="0" borderId="17" xfId="1769" applyNumberFormat="1" applyBorder="1"/>
    <xf numFmtId="43" fontId="42" fillId="0" borderId="17" xfId="1769" applyNumberFormat="1" applyBorder="1"/>
    <xf numFmtId="43" fontId="42" fillId="0" borderId="16" xfId="1769" applyNumberFormat="1" applyBorder="1"/>
    <xf numFmtId="43" fontId="49" fillId="0" borderId="17" xfId="1769" applyNumberFormat="1" applyFont="1" applyBorder="1"/>
    <xf numFmtId="43" fontId="49" fillId="0" borderId="0" xfId="1769" applyNumberFormat="1" applyFont="1"/>
    <xf numFmtId="43" fontId="92" fillId="0" borderId="0" xfId="1769" applyNumberFormat="1" applyFont="1"/>
    <xf numFmtId="43" fontId="49" fillId="0" borderId="16" xfId="1769" applyNumberFormat="1" applyFont="1" applyBorder="1"/>
    <xf numFmtId="39" fontId="42" fillId="0" borderId="16" xfId="1769" applyNumberFormat="1" applyBorder="1"/>
    <xf numFmtId="44" fontId="49" fillId="0" borderId="16" xfId="1769" applyNumberFormat="1" applyFont="1" applyBorder="1"/>
    <xf numFmtId="39" fontId="42" fillId="0" borderId="20" xfId="1769" applyNumberFormat="1" applyBorder="1"/>
    <xf numFmtId="165" fontId="45" fillId="0" borderId="0" xfId="837" applyNumberFormat="1" applyFont="1" applyProtection="1">
      <protection locked="0"/>
    </xf>
    <xf numFmtId="40" fontId="42" fillId="0" borderId="0" xfId="837" applyNumberFormat="1" applyFont="1" applyAlignment="1">
      <alignment horizontal="center"/>
    </xf>
    <xf numFmtId="189" fontId="42" fillId="0" borderId="0" xfId="8" applyNumberFormat="1" applyFont="1" applyAlignment="1">
      <alignment horizontal="center"/>
    </xf>
    <xf numFmtId="40" fontId="42" fillId="0" borderId="0" xfId="837" quotePrefix="1" applyNumberFormat="1" applyFont="1" applyAlignment="1">
      <alignment horizontal="center"/>
    </xf>
    <xf numFmtId="165" fontId="42" fillId="0" borderId="0" xfId="837" applyNumberFormat="1" applyFont="1"/>
    <xf numFmtId="39" fontId="42" fillId="0" borderId="0" xfId="837" applyNumberFormat="1" applyFont="1"/>
    <xf numFmtId="40" fontId="42" fillId="0" borderId="0" xfId="837" applyNumberFormat="1" applyFont="1"/>
    <xf numFmtId="42" fontId="42" fillId="0" borderId="0" xfId="837" applyNumberFormat="1" applyFont="1"/>
    <xf numFmtId="0" fontId="42" fillId="0" borderId="0" xfId="837" applyFont="1"/>
    <xf numFmtId="37" fontId="42" fillId="0" borderId="0" xfId="837" applyNumberFormat="1" applyFont="1"/>
    <xf numFmtId="189" fontId="42" fillId="0" borderId="0" xfId="8" applyNumberFormat="1" applyFont="1" applyAlignment="1"/>
    <xf numFmtId="41" fontId="42" fillId="0" borderId="0" xfId="837" applyNumberFormat="1" applyFont="1"/>
    <xf numFmtId="41" fontId="42" fillId="0" borderId="0" xfId="8" applyNumberFormat="1" applyFont="1" applyFill="1" applyAlignment="1"/>
    <xf numFmtId="41" fontId="42" fillId="0" borderId="0" xfId="837" quotePrefix="1" applyNumberFormat="1" applyFont="1" applyAlignment="1">
      <alignment horizontal="center"/>
    </xf>
    <xf numFmtId="41" fontId="42" fillId="0" borderId="0" xfId="8" applyNumberFormat="1" applyFont="1" applyAlignment="1"/>
    <xf numFmtId="41" fontId="42" fillId="0" borderId="0" xfId="837" applyNumberFormat="1" applyFont="1" applyAlignment="1">
      <alignment horizontal="right"/>
    </xf>
    <xf numFmtId="41" fontId="42" fillId="0" borderId="0" xfId="837" quotePrefix="1" applyNumberFormat="1" applyFont="1" applyAlignment="1">
      <alignment horizontal="right"/>
    </xf>
    <xf numFmtId="189" fontId="42" fillId="0" borderId="0" xfId="8" applyNumberFormat="1" applyFont="1" applyBorder="1" applyAlignment="1"/>
    <xf numFmtId="174" fontId="42" fillId="0" borderId="0" xfId="14" applyNumberFormat="1"/>
    <xf numFmtId="170" fontId="42" fillId="0" borderId="0" xfId="14" applyNumberFormat="1"/>
    <xf numFmtId="174" fontId="44" fillId="0" borderId="0" xfId="15" applyNumberFormat="1" applyAlignment="1">
      <alignment horizontal="center"/>
    </xf>
    <xf numFmtId="170" fontId="42" fillId="0" borderId="0" xfId="14" applyNumberFormat="1" applyProtection="1">
      <protection locked="0"/>
    </xf>
    <xf numFmtId="170" fontId="42" fillId="0" borderId="0" xfId="14" applyNumberFormat="1" applyAlignment="1">
      <alignment horizontal="right"/>
    </xf>
    <xf numFmtId="186" fontId="42" fillId="0" borderId="0" xfId="14" applyNumberFormat="1"/>
    <xf numFmtId="0" fontId="0" fillId="0" borderId="0" xfId="1" applyFont="1" applyAlignment="1">
      <alignment horizontal="right"/>
    </xf>
    <xf numFmtId="165" fontId="67" fillId="0" borderId="0" xfId="1" applyNumberFormat="1" applyFont="1" applyAlignment="1">
      <alignment horizontal="center"/>
    </xf>
    <xf numFmtId="193" fontId="42" fillId="0" borderId="0" xfId="1" applyNumberFormat="1" applyProtection="1">
      <protection locked="0"/>
    </xf>
    <xf numFmtId="39" fontId="70" fillId="0" borderId="0" xfId="1769" applyNumberFormat="1" applyFont="1" applyAlignment="1">
      <alignment horizontal="right" vertical="top"/>
    </xf>
    <xf numFmtId="0" fontId="70" fillId="0" borderId="0" xfId="1769" applyFont="1" applyAlignment="1">
      <alignment horizontal="left"/>
    </xf>
    <xf numFmtId="0" fontId="49" fillId="0" borderId="0" xfId="1769" applyFont="1" applyAlignment="1">
      <alignment horizontal="left" vertical="top"/>
    </xf>
    <xf numFmtId="0" fontId="70" fillId="0" borderId="0" xfId="1769" applyFont="1" applyAlignment="1">
      <alignment horizontal="center"/>
    </xf>
    <xf numFmtId="39" fontId="45" fillId="0" borderId="0" xfId="1769" applyNumberFormat="1" applyFont="1" applyAlignment="1">
      <alignment horizontal="centerContinuous"/>
    </xf>
    <xf numFmtId="0" fontId="65" fillId="0" borderId="0" xfId="1769" applyFont="1" applyAlignment="1">
      <alignment horizontal="left"/>
    </xf>
    <xf numFmtId="0" fontId="42" fillId="0" borderId="0" xfId="1769" applyAlignment="1">
      <alignment horizontal="center"/>
    </xf>
    <xf numFmtId="170" fontId="42" fillId="0" borderId="0" xfId="0" quotePrefix="1" applyNumberFormat="1" applyFont="1" applyAlignment="1">
      <alignment horizontal="right"/>
    </xf>
    <xf numFmtId="0" fontId="161" fillId="0" borderId="0" xfId="858" applyNumberFormat="1" applyFont="1" applyAlignment="1" applyProtection="1"/>
    <xf numFmtId="0" fontId="161" fillId="0" borderId="0" xfId="857" applyFont="1"/>
    <xf numFmtId="0" fontId="162" fillId="0" borderId="0" xfId="857" applyFont="1"/>
    <xf numFmtId="0" fontId="161" fillId="0" borderId="0" xfId="858" quotePrefix="1" applyNumberFormat="1" applyFont="1" applyBorder="1" applyAlignment="1" applyProtection="1">
      <alignment horizontal="left"/>
    </xf>
    <xf numFmtId="0" fontId="161" fillId="0" borderId="0" xfId="858" applyNumberFormat="1" applyFont="1" applyBorder="1" applyAlignment="1" applyProtection="1"/>
    <xf numFmtId="0" fontId="145" fillId="0" borderId="0" xfId="858" applyNumberFormat="1" applyAlignment="1" applyProtection="1"/>
    <xf numFmtId="170" fontId="42" fillId="0" borderId="27" xfId="1" applyNumberFormat="1" applyBorder="1"/>
    <xf numFmtId="164" fontId="42" fillId="0" borderId="0" xfId="1933" applyNumberFormat="1" applyFont="1" applyAlignment="1"/>
    <xf numFmtId="164" fontId="49" fillId="0" borderId="45" xfId="1933" applyNumberFormat="1" applyFont="1" applyBorder="1" applyAlignment="1"/>
    <xf numFmtId="174" fontId="42" fillId="0" borderId="14" xfId="1" applyNumberFormat="1" applyBorder="1"/>
    <xf numFmtId="170" fontId="42" fillId="0" borderId="17" xfId="1" applyNumberFormat="1" applyBorder="1"/>
    <xf numFmtId="170" fontId="42" fillId="0" borderId="16" xfId="1" applyNumberFormat="1" applyBorder="1"/>
    <xf numFmtId="170" fontId="42" fillId="0" borderId="14" xfId="1" applyNumberFormat="1" applyBorder="1"/>
    <xf numFmtId="43" fontId="42" fillId="0" borderId="0" xfId="1" applyNumberFormat="1"/>
    <xf numFmtId="170" fontId="42" fillId="0" borderId="14" xfId="1" quotePrefix="1" applyNumberFormat="1" applyBorder="1" applyAlignment="1">
      <alignment horizontal="right"/>
    </xf>
    <xf numFmtId="170" fontId="42" fillId="0" borderId="14" xfId="1" quotePrefix="1" applyNumberFormat="1" applyBorder="1"/>
    <xf numFmtId="0" fontId="42" fillId="0" borderId="0" xfId="1" quotePrefix="1" applyAlignment="1">
      <alignment horizontal="right"/>
    </xf>
    <xf numFmtId="165" fontId="42" fillId="0" borderId="0" xfId="1" applyNumberFormat="1" applyAlignment="1">
      <alignment horizontal="right"/>
    </xf>
    <xf numFmtId="170" fontId="42" fillId="0" borderId="0" xfId="0" applyNumberFormat="1" applyFont="1" applyAlignment="1">
      <alignment horizontal="right"/>
    </xf>
    <xf numFmtId="0" fontId="49" fillId="0" borderId="0" xfId="1" applyFont="1" applyAlignment="1" applyProtection="1">
      <alignment horizontal="center"/>
      <protection locked="0"/>
    </xf>
    <xf numFmtId="164" fontId="42" fillId="0" borderId="45" xfId="0" applyFont="1" applyBorder="1"/>
    <xf numFmtId="164" fontId="42" fillId="0" borderId="45" xfId="1" applyNumberFormat="1" applyBorder="1" applyAlignment="1">
      <alignment horizontal="right"/>
    </xf>
    <xf numFmtId="164" fontId="42" fillId="0" borderId="0" xfId="1" applyNumberFormat="1" applyAlignment="1">
      <alignment horizontal="right"/>
    </xf>
    <xf numFmtId="164" fontId="49" fillId="0" borderId="45" xfId="1"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1" quotePrefix="1" applyFont="1" applyAlignment="1">
      <alignment horizontal="left"/>
    </xf>
    <xf numFmtId="41" fontId="42" fillId="0" borderId="0" xfId="736" applyNumberFormat="1"/>
    <xf numFmtId="172" fontId="42" fillId="0" borderId="0" xfId="0" applyNumberFormat="1" applyFont="1"/>
    <xf numFmtId="172" fontId="49" fillId="0" borderId="0" xfId="0" applyNumberFormat="1" applyFont="1"/>
    <xf numFmtId="0" fontId="137" fillId="0" borderId="0" xfId="5" applyFont="1"/>
    <xf numFmtId="0" fontId="42" fillId="0" borderId="0" xfId="5" applyFont="1"/>
    <xf numFmtId="41" fontId="47" fillId="0" borderId="0" xfId="17915" applyNumberFormat="1" applyFont="1" applyFill="1"/>
    <xf numFmtId="172" fontId="42" fillId="0" borderId="0" xfId="1933" applyNumberFormat="1" applyFont="1" applyBorder="1" applyAlignment="1" applyProtection="1"/>
    <xf numFmtId="0" fontId="48" fillId="0" borderId="0" xfId="9958" applyFont="1" applyAlignment="1">
      <alignment horizontal="center"/>
    </xf>
    <xf numFmtId="43" fontId="48" fillId="0" borderId="0" xfId="9958" applyNumberFormat="1" applyFont="1" applyAlignment="1">
      <alignment horizontal="center"/>
    </xf>
    <xf numFmtId="0" fontId="48" fillId="0" borderId="0" xfId="9958" quotePrefix="1" applyFont="1" applyAlignment="1">
      <alignment horizontal="center"/>
    </xf>
    <xf numFmtId="0" fontId="43" fillId="0" borderId="0" xfId="1" quotePrefix="1" applyFont="1" applyAlignment="1">
      <alignment horizontal="left"/>
    </xf>
    <xf numFmtId="0" fontId="42" fillId="0" borderId="0" xfId="5509" applyFont="1"/>
    <xf numFmtId="170" fontId="42" fillId="0" borderId="0" xfId="5509" applyNumberFormat="1" applyFont="1"/>
    <xf numFmtId="185" fontId="48" fillId="0" borderId="47" xfId="857" quotePrefix="1" applyNumberFormat="1" applyFont="1" applyBorder="1" applyAlignment="1">
      <alignment horizontal="centerContinuous"/>
    </xf>
    <xf numFmtId="37" fontId="173" fillId="0" borderId="0" xfId="1" applyNumberFormat="1" applyFont="1"/>
    <xf numFmtId="174" fontId="173" fillId="0" borderId="0" xfId="1" applyNumberFormat="1" applyFont="1"/>
    <xf numFmtId="0" fontId="48" fillId="0" borderId="0" xfId="0" quotePrefix="1" applyNumberFormat="1" applyFont="1" applyAlignment="1">
      <alignment horizontal="left"/>
    </xf>
    <xf numFmtId="0" fontId="62" fillId="0" borderId="0" xfId="1" quotePrefix="1" applyFont="1" applyAlignment="1">
      <alignment horizontal="center"/>
    </xf>
    <xf numFmtId="44" fontId="47" fillId="0" borderId="0" xfId="0" applyNumberFormat="1" applyFont="1"/>
    <xf numFmtId="0" fontId="96" fillId="0" borderId="0" xfId="5"/>
    <xf numFmtId="172" fontId="0" fillId="0" borderId="0" xfId="0" applyNumberFormat="1"/>
    <xf numFmtId="40" fontId="69" fillId="0" borderId="0" xfId="25852" applyNumberFormat="1" applyFont="1"/>
    <xf numFmtId="39" fontId="69" fillId="0" borderId="0" xfId="25852" applyNumberFormat="1" applyFont="1"/>
    <xf numFmtId="165" fontId="82" fillId="0" borderId="0" xfId="837" applyNumberFormat="1" applyFont="1"/>
    <xf numFmtId="0" fontId="82" fillId="0" borderId="0" xfId="837" applyFont="1" applyAlignment="1">
      <alignment horizontal="left"/>
    </xf>
    <xf numFmtId="164" fontId="160" fillId="0" borderId="0" xfId="0" applyFont="1"/>
    <xf numFmtId="0" fontId="70" fillId="0" borderId="0" xfId="17020"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0" applyFont="1"/>
    <xf numFmtId="0" fontId="42" fillId="0" borderId="0" xfId="5500" applyFont="1"/>
    <xf numFmtId="172" fontId="49" fillId="0" borderId="45" xfId="1933" applyNumberFormat="1" applyFont="1" applyBorder="1" applyAlignment="1" applyProtection="1"/>
    <xf numFmtId="190" fontId="54" fillId="0" borderId="0" xfId="5" quotePrefix="1" applyNumberFormat="1" applyFont="1" applyAlignment="1">
      <alignment horizontal="right"/>
    </xf>
    <xf numFmtId="166" fontId="54" fillId="0" borderId="0" xfId="5" quotePrefix="1" applyNumberFormat="1" applyFont="1" applyAlignment="1">
      <alignment horizontal="right"/>
    </xf>
    <xf numFmtId="166" fontId="54" fillId="0" borderId="0" xfId="5" applyNumberFormat="1" applyFont="1" applyAlignment="1">
      <alignment horizontal="right" vertical="top"/>
    </xf>
    <xf numFmtId="0" fontId="158" fillId="0" borderId="0" xfId="5" applyFont="1"/>
    <xf numFmtId="165" fontId="54" fillId="0" borderId="0" xfId="5" quotePrefix="1" applyNumberFormat="1" applyFont="1" applyAlignment="1">
      <alignment horizontal="right"/>
    </xf>
    <xf numFmtId="0" fontId="54" fillId="0" borderId="0" xfId="5" quotePrefix="1" applyFont="1"/>
    <xf numFmtId="0" fontId="136" fillId="0" borderId="0" xfId="5" applyFont="1" applyAlignment="1">
      <alignment horizontal="left"/>
    </xf>
    <xf numFmtId="0" fontId="145" fillId="0" borderId="0" xfId="858" applyNumberFormat="1" applyBorder="1" applyAlignment="1" applyProtection="1"/>
    <xf numFmtId="0" fontId="49" fillId="0" borderId="0" xfId="1769" applyFont="1" applyAlignment="1">
      <alignment horizontal="center"/>
    </xf>
    <xf numFmtId="0" fontId="42" fillId="0" borderId="45" xfId="1" applyBorder="1" applyAlignment="1">
      <alignment horizontal="center"/>
    </xf>
    <xf numFmtId="37" fontId="49" fillId="0" borderId="45" xfId="1" quotePrefix="1" applyNumberFormat="1" applyFont="1" applyBorder="1" applyAlignment="1">
      <alignment horizontal="center"/>
    </xf>
    <xf numFmtId="41" fontId="47" fillId="0" borderId="0" xfId="0" applyNumberFormat="1" applyFont="1"/>
    <xf numFmtId="167" fontId="42" fillId="0" borderId="0" xfId="1" quotePrefix="1" applyNumberFormat="1" applyAlignment="1">
      <alignment horizontal="center"/>
    </xf>
    <xf numFmtId="192" fontId="42" fillId="0" borderId="0" xfId="1" quotePrefix="1" applyNumberFormat="1" applyAlignment="1">
      <alignment horizontal="center"/>
    </xf>
    <xf numFmtId="169" fontId="54" fillId="0" borderId="0" xfId="5" quotePrefix="1" applyNumberFormat="1" applyFont="1" applyAlignment="1">
      <alignment horizontal="right"/>
    </xf>
    <xf numFmtId="177" fontId="65" fillId="0" borderId="0" xfId="737" applyNumberFormat="1" applyFont="1" applyAlignment="1">
      <alignment horizontal="right"/>
    </xf>
    <xf numFmtId="179" fontId="65" fillId="0" borderId="0" xfId="737" applyNumberFormat="1" applyFont="1" applyAlignment="1">
      <alignment horizontal="center"/>
    </xf>
    <xf numFmtId="177" fontId="65" fillId="0" borderId="0" xfId="737" applyNumberFormat="1" applyFont="1" applyAlignment="1">
      <alignment horizontal="left"/>
    </xf>
    <xf numFmtId="177" fontId="65" fillId="0" borderId="0" xfId="737" applyNumberFormat="1" applyFont="1" applyAlignment="1">
      <alignment horizontal="center"/>
    </xf>
    <xf numFmtId="164" fontId="42" fillId="0" borderId="0" xfId="1933" applyNumberFormat="1" applyFont="1" applyFill="1" applyAlignment="1">
      <alignment horizontal="right"/>
    </xf>
    <xf numFmtId="41" fontId="49" fillId="0" borderId="61" xfId="837" applyNumberFormat="1" applyFont="1" applyBorder="1"/>
    <xf numFmtId="39" fontId="69" fillId="0" borderId="0" xfId="16" applyNumberFormat="1" applyFont="1"/>
    <xf numFmtId="189" fontId="107" fillId="0" borderId="0" xfId="8" applyNumberFormat="1" applyFont="1" applyFill="1" applyAlignment="1">
      <alignment horizontal="right"/>
    </xf>
    <xf numFmtId="189" fontId="155" fillId="0" borderId="0" xfId="8" applyNumberFormat="1" applyFont="1" applyFill="1" applyAlignment="1">
      <alignment horizontal="right"/>
    </xf>
    <xf numFmtId="189" fontId="42" fillId="0" borderId="0" xfId="8" applyNumberFormat="1" applyFont="1" applyFill="1" applyAlignment="1">
      <alignment horizontal="center"/>
    </xf>
    <xf numFmtId="189" fontId="42" fillId="0" borderId="0" xfId="8" applyNumberFormat="1" applyFont="1" applyFill="1" applyAlignment="1"/>
    <xf numFmtId="41" fontId="69" fillId="0" borderId="0" xfId="837" applyNumberFormat="1" applyFont="1"/>
    <xf numFmtId="41" fontId="49" fillId="0" borderId="61" xfId="837" quotePrefix="1" applyNumberFormat="1" applyFont="1" applyBorder="1"/>
    <xf numFmtId="189" fontId="42" fillId="0" borderId="0" xfId="8" applyNumberFormat="1" applyFont="1" applyFill="1" applyBorder="1" applyAlignment="1"/>
    <xf numFmtId="0" fontId="65" fillId="0" borderId="0" xfId="837" quotePrefix="1" applyFont="1" applyAlignment="1">
      <alignment horizontal="left"/>
    </xf>
    <xf numFmtId="189" fontId="47" fillId="0" borderId="0" xfId="8" applyNumberFormat="1" applyFont="1" applyFill="1" applyAlignment="1"/>
    <xf numFmtId="40" fontId="69" fillId="0" borderId="0" xfId="16" applyNumberFormat="1" applyFont="1"/>
    <xf numFmtId="189" fontId="69" fillId="0" borderId="0" xfId="8" applyNumberFormat="1" applyFont="1" applyFill="1" applyAlignment="1"/>
    <xf numFmtId="174" fontId="42" fillId="0" borderId="0" xfId="5509" applyNumberFormat="1" applyFont="1"/>
    <xf numFmtId="172" fontId="42" fillId="0" borderId="0" xfId="1" applyNumberFormat="1"/>
    <xf numFmtId="170" fontId="49" fillId="0" borderId="45" xfId="5509" applyNumberFormat="1" applyFont="1" applyBorder="1"/>
    <xf numFmtId="170" fontId="49" fillId="0" borderId="0" xfId="1043" applyNumberFormat="1" applyFont="1" applyFill="1" applyBorder="1"/>
    <xf numFmtId="170" fontId="158" fillId="0" borderId="0" xfId="1" applyNumberFormat="1" applyFont="1"/>
    <xf numFmtId="172" fontId="49" fillId="0" borderId="45" xfId="1" applyNumberFormat="1" applyFont="1" applyBorder="1"/>
    <xf numFmtId="39" fontId="42" fillId="0" borderId="64" xfId="837" applyNumberFormat="1" applyFont="1" applyBorder="1"/>
    <xf numFmtId="41" fontId="42" fillId="0" borderId="0" xfId="837" quotePrefix="1" applyNumberFormat="1" applyFont="1"/>
    <xf numFmtId="41" fontId="42" fillId="0" borderId="65" xfId="837" quotePrefix="1" applyNumberFormat="1" applyFont="1" applyBorder="1" applyAlignment="1">
      <alignment horizontal="center"/>
    </xf>
    <xf numFmtId="170" fontId="42" fillId="0" borderId="64" xfId="1" applyNumberFormat="1" applyBorder="1"/>
    <xf numFmtId="170" fontId="49" fillId="0" borderId="66" xfId="1" applyNumberFormat="1" applyFont="1" applyBorder="1"/>
    <xf numFmtId="170" fontId="49" fillId="0" borderId="64" xfId="1" applyNumberFormat="1" applyFont="1" applyBorder="1"/>
    <xf numFmtId="192" fontId="49" fillId="0" borderId="0" xfId="1" quotePrefix="1" applyNumberFormat="1" applyFont="1" applyAlignment="1">
      <alignment horizontal="center"/>
    </xf>
    <xf numFmtId="196" fontId="42" fillId="0" borderId="0" xfId="736" applyNumberFormat="1" applyProtection="1">
      <protection locked="0"/>
    </xf>
    <xf numFmtId="196" fontId="42" fillId="0" borderId="0" xfId="736" applyNumberFormat="1"/>
    <xf numFmtId="196" fontId="94" fillId="0" borderId="0" xfId="736" applyNumberFormat="1" applyFont="1"/>
    <xf numFmtId="39" fontId="42" fillId="0" borderId="64" xfId="1769" applyNumberFormat="1" applyBorder="1"/>
    <xf numFmtId="43" fontId="49" fillId="0" borderId="63" xfId="1769" applyNumberFormat="1" applyFont="1" applyBorder="1"/>
    <xf numFmtId="43" fontId="42" fillId="0" borderId="64" xfId="1769" applyNumberFormat="1" applyBorder="1"/>
    <xf numFmtId="43" fontId="49" fillId="0" borderId="64" xfId="1769" applyNumberFormat="1" applyFont="1" applyBorder="1"/>
    <xf numFmtId="43" fontId="49" fillId="0" borderId="61" xfId="1769" applyNumberFormat="1" applyFont="1" applyBorder="1"/>
    <xf numFmtId="0" fontId="49" fillId="0" borderId="64" xfId="14" applyNumberFormat="1" applyFont="1" applyBorder="1"/>
    <xf numFmtId="174" fontId="49" fillId="0" borderId="54" xfId="14" applyNumberFormat="1" applyFont="1" applyBorder="1"/>
    <xf numFmtId="180" fontId="47" fillId="0" borderId="0" xfId="1769" applyNumberFormat="1" applyFont="1"/>
    <xf numFmtId="180" fontId="70" fillId="0" borderId="0" xfId="1769" applyNumberFormat="1" applyFont="1"/>
    <xf numFmtId="180" fontId="65" fillId="0" borderId="0" xfId="1769" applyNumberFormat="1" applyFont="1"/>
    <xf numFmtId="180" fontId="70" fillId="0" borderId="0" xfId="1769" quotePrefix="1" applyNumberFormat="1" applyFont="1" applyAlignment="1">
      <alignment horizontal="left"/>
    </xf>
    <xf numFmtId="180" fontId="70" fillId="0" borderId="0" xfId="1769" applyNumberFormat="1" applyFont="1" applyAlignment="1">
      <alignment horizontal="center"/>
    </xf>
    <xf numFmtId="180" fontId="101" fillId="0" borderId="0" xfId="1769" applyNumberFormat="1" applyFont="1" applyAlignment="1">
      <alignment horizontal="center"/>
    </xf>
    <xf numFmtId="180" fontId="70" fillId="0" borderId="0" xfId="1769" quotePrefix="1" applyNumberFormat="1" applyFont="1" applyAlignment="1">
      <alignment horizontal="center"/>
    </xf>
    <xf numFmtId="180" fontId="70" fillId="0" borderId="64" xfId="1769" applyNumberFormat="1" applyFont="1" applyBorder="1" applyAlignment="1">
      <alignment horizontal="center"/>
    </xf>
    <xf numFmtId="180" fontId="70" fillId="0" borderId="64" xfId="1769" quotePrefix="1" applyNumberFormat="1" applyFont="1" applyBorder="1" applyAlignment="1">
      <alignment horizontal="fill"/>
    </xf>
    <xf numFmtId="180" fontId="101" fillId="0" borderId="0" xfId="1769" applyNumberFormat="1" applyFont="1"/>
    <xf numFmtId="179" fontId="65" fillId="0" borderId="0" xfId="1769" applyNumberFormat="1" applyFont="1" applyAlignment="1">
      <alignment horizontal="right"/>
    </xf>
    <xf numFmtId="180" fontId="65" fillId="0" borderId="0" xfId="1769" quotePrefix="1" applyNumberFormat="1" applyFont="1" applyAlignment="1">
      <alignment horizontal="left"/>
    </xf>
    <xf numFmtId="177" fontId="65" fillId="0" borderId="0" xfId="1769" applyNumberFormat="1" applyFont="1"/>
    <xf numFmtId="177" fontId="65" fillId="0" borderId="0" xfId="1769" applyNumberFormat="1" applyFont="1" applyAlignment="1">
      <alignment horizontal="right"/>
    </xf>
    <xf numFmtId="180" fontId="70" fillId="0" borderId="0" xfId="1769" applyNumberFormat="1" applyFont="1" applyAlignment="1">
      <alignment horizontal="left"/>
    </xf>
    <xf numFmtId="179" fontId="70" fillId="0" borderId="67" xfId="1769" applyNumberFormat="1" applyFont="1" applyBorder="1" applyAlignment="1">
      <alignment horizontal="right"/>
    </xf>
    <xf numFmtId="180" fontId="48" fillId="0" borderId="0" xfId="1769" applyNumberFormat="1" applyFont="1"/>
    <xf numFmtId="180" fontId="47" fillId="0" borderId="0" xfId="1769" quotePrefix="1" applyNumberFormat="1" applyFont="1" applyAlignment="1">
      <alignment horizontal="left" wrapText="1"/>
    </xf>
    <xf numFmtId="180" fontId="47" fillId="0" borderId="0" xfId="1769" applyNumberFormat="1" applyFont="1" applyAlignment="1">
      <alignment horizontal="right"/>
    </xf>
    <xf numFmtId="39" fontId="47" fillId="0" borderId="0" xfId="1769" applyNumberFormat="1" applyFont="1"/>
    <xf numFmtId="180" fontId="47" fillId="0" borderId="0" xfId="1769" quotePrefix="1" applyNumberFormat="1" applyFont="1" applyAlignment="1">
      <alignment horizontal="left"/>
    </xf>
    <xf numFmtId="39" fontId="47" fillId="0" borderId="0" xfId="1769" quotePrefix="1" applyNumberFormat="1" applyFont="1" applyAlignment="1">
      <alignment horizontal="center"/>
    </xf>
    <xf numFmtId="39" fontId="47" fillId="0" borderId="0" xfId="1769" quotePrefix="1" applyNumberFormat="1" applyFont="1" applyAlignment="1">
      <alignment horizontal="right"/>
    </xf>
    <xf numFmtId="180" fontId="48" fillId="0" borderId="0" xfId="1769" quotePrefix="1" applyNumberFormat="1" applyFont="1" applyAlignment="1">
      <alignment horizontal="left"/>
    </xf>
    <xf numFmtId="180" fontId="47" fillId="0" borderId="0" xfId="1769" applyNumberFormat="1" applyFont="1" applyAlignment="1">
      <alignment horizontal="left"/>
    </xf>
    <xf numFmtId="39" fontId="48" fillId="0" borderId="0" xfId="1769" quotePrefix="1" applyNumberFormat="1" applyFont="1" applyAlignment="1">
      <alignment horizontal="center"/>
    </xf>
    <xf numFmtId="39" fontId="48" fillId="0" borderId="0" xfId="1769" applyNumberFormat="1" applyFont="1"/>
    <xf numFmtId="40" fontId="49" fillId="0" borderId="0" xfId="837" quotePrefix="1" applyNumberFormat="1" applyFont="1" applyAlignment="1">
      <alignment horizontal="center"/>
    </xf>
    <xf numFmtId="0" fontId="49" fillId="0" borderId="0" xfId="14" applyNumberFormat="1" applyFont="1" applyAlignment="1">
      <alignment horizontal="left"/>
    </xf>
    <xf numFmtId="0" fontId="42" fillId="0" borderId="0" xfId="14" applyNumberFormat="1" applyAlignment="1" applyProtection="1">
      <alignment horizontal="left"/>
      <protection locked="0"/>
    </xf>
    <xf numFmtId="0" fontId="49" fillId="0" borderId="0" xfId="14" applyNumberFormat="1" applyFont="1" applyAlignment="1" applyProtection="1">
      <alignment horizontal="left"/>
      <protection locked="0"/>
    </xf>
    <xf numFmtId="189" fontId="160" fillId="0" borderId="0" xfId="17915" applyNumberFormat="1" applyFont="1" applyFill="1"/>
    <xf numFmtId="189" fontId="47" fillId="0" borderId="0" xfId="17915" applyNumberFormat="1" applyFont="1" applyFill="1"/>
    <xf numFmtId="170" fontId="49" fillId="0" borderId="0" xfId="17915" applyNumberFormat="1" applyFont="1" applyBorder="1" applyAlignment="1"/>
    <xf numFmtId="0" fontId="70" fillId="0" borderId="0" xfId="1769" quotePrefix="1" applyFont="1" applyAlignment="1">
      <alignment horizontal="left"/>
    </xf>
    <xf numFmtId="0" fontId="70" fillId="0" borderId="0" xfId="1769" quotePrefix="1" applyFont="1" applyAlignment="1">
      <alignment horizontal="center"/>
    </xf>
    <xf numFmtId="0" fontId="49" fillId="0" borderId="0" xfId="1769" quotePrefix="1" applyFont="1" applyAlignment="1">
      <alignment horizontal="center"/>
    </xf>
    <xf numFmtId="170" fontId="42" fillId="0" borderId="0" xfId="1043" applyNumberFormat="1" applyFont="1" applyFill="1" applyProtection="1"/>
    <xf numFmtId="166" fontId="42" fillId="0" borderId="17" xfId="1" applyNumberFormat="1" applyBorder="1"/>
    <xf numFmtId="166" fontId="49" fillId="0" borderId="17" xfId="1" applyNumberFormat="1" applyFont="1" applyBorder="1"/>
    <xf numFmtId="170" fontId="49" fillId="0" borderId="16" xfId="1" applyNumberFormat="1" applyFont="1" applyBorder="1"/>
    <xf numFmtId="170" fontId="49" fillId="0" borderId="0" xfId="4" applyNumberFormat="1" applyFont="1" applyFill="1" applyBorder="1" applyProtection="1"/>
    <xf numFmtId="0" fontId="49" fillId="0" borderId="16" xfId="1" applyFont="1" applyBorder="1"/>
    <xf numFmtId="173" fontId="42" fillId="0" borderId="0" xfId="737" quotePrefix="1" applyNumberFormat="1" applyFont="1" applyAlignment="1">
      <alignment horizontal="left"/>
    </xf>
    <xf numFmtId="170" fontId="49" fillId="0" borderId="69" xfId="1" applyNumberFormat="1" applyFont="1" applyBorder="1"/>
    <xf numFmtId="174" fontId="49" fillId="0" borderId="54" xfId="1" applyNumberFormat="1" applyFont="1" applyBorder="1"/>
    <xf numFmtId="0" fontId="54" fillId="0" borderId="0" xfId="5" applyFont="1" applyAlignment="1">
      <alignment horizontal="left" vertical="top"/>
    </xf>
    <xf numFmtId="172" fontId="49" fillId="0" borderId="45" xfId="1933" applyNumberFormat="1" applyFont="1" applyBorder="1" applyAlignment="1"/>
    <xf numFmtId="172" fontId="49" fillId="0" borderId="0" xfId="1933" applyNumberFormat="1" applyFont="1" applyBorder="1" applyAlignment="1"/>
    <xf numFmtId="0" fontId="42" fillId="0" borderId="0" xfId="0" applyNumberFormat="1" applyFont="1" applyAlignment="1">
      <alignment horizontal="left"/>
    </xf>
    <xf numFmtId="0" fontId="42" fillId="0" borderId="0" xfId="14" applyNumberFormat="1" applyAlignment="1">
      <alignment horizontal="center"/>
    </xf>
    <xf numFmtId="5" fontId="42" fillId="0" borderId="0" xfId="1" applyNumberFormat="1"/>
    <xf numFmtId="43" fontId="42" fillId="0" borderId="0" xfId="17915" applyFont="1" applyFill="1" applyAlignment="1" applyProtection="1">
      <alignment horizontal="right"/>
    </xf>
    <xf numFmtId="170" fontId="63" fillId="0" borderId="0" xfId="1" applyNumberFormat="1" applyFont="1" applyAlignment="1">
      <alignment horizontal="center"/>
    </xf>
    <xf numFmtId="4" fontId="49" fillId="0" borderId="0" xfId="1025" quotePrefix="1" applyNumberFormat="1" applyFont="1" applyAlignment="1">
      <alignment horizontal="left"/>
    </xf>
    <xf numFmtId="180" fontId="49" fillId="0" borderId="0" xfId="1769"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5" applyNumberFormat="1" applyFont="1" applyAlignment="1">
      <alignment horizontal="right" vertical="top"/>
    </xf>
    <xf numFmtId="165" fontId="49" fillId="0" borderId="0" xfId="1" applyNumberFormat="1" applyFont="1" applyAlignment="1">
      <alignment horizontal="right"/>
    </xf>
    <xf numFmtId="177" fontId="49" fillId="0" borderId="0" xfId="737" quotePrefix="1" applyNumberFormat="1" applyFont="1" applyAlignment="1">
      <alignment horizontal="center"/>
    </xf>
    <xf numFmtId="0" fontId="79" fillId="0" borderId="0" xfId="833" applyFont="1"/>
    <xf numFmtId="184" fontId="65" fillId="0" borderId="0" xfId="833" applyNumberFormat="1" applyFont="1"/>
    <xf numFmtId="179" fontId="70" fillId="0" borderId="15" xfId="833" applyNumberFormat="1" applyFont="1" applyBorder="1" applyAlignment="1">
      <alignment horizontal="right"/>
    </xf>
    <xf numFmtId="184" fontId="65" fillId="0" borderId="20" xfId="833" applyNumberFormat="1" applyFont="1" applyBorder="1"/>
    <xf numFmtId="165" fontId="79" fillId="0" borderId="0" xfId="833" applyNumberFormat="1" applyFont="1"/>
    <xf numFmtId="165" fontId="67" fillId="0" borderId="45" xfId="1" applyNumberFormat="1" applyFont="1" applyBorder="1" applyAlignment="1" applyProtection="1">
      <alignment horizontal="centerContinuous"/>
      <protection locked="0"/>
    </xf>
    <xf numFmtId="43" fontId="49" fillId="0" borderId="10" xfId="1769" applyNumberFormat="1" applyFont="1" applyBorder="1"/>
    <xf numFmtId="166" fontId="42" fillId="0" borderId="0" xfId="0" applyNumberFormat="1" applyFont="1" applyAlignment="1">
      <alignment horizontal="left"/>
    </xf>
    <xf numFmtId="170" fontId="69" fillId="0" borderId="0" xfId="1" applyNumberFormat="1" applyFont="1"/>
    <xf numFmtId="164" fontId="69" fillId="0" borderId="0" xfId="1" applyNumberFormat="1" applyFont="1"/>
    <xf numFmtId="165" fontId="70" fillId="0" borderId="0" xfId="1" applyNumberFormat="1" applyFont="1" applyAlignment="1">
      <alignment horizontal="right"/>
    </xf>
    <xf numFmtId="1" fontId="49" fillId="0" borderId="0" xfId="1" quotePrefix="1" applyNumberFormat="1" applyFont="1" applyAlignment="1">
      <alignment horizontal="center"/>
    </xf>
    <xf numFmtId="165" fontId="69" fillId="0" borderId="14" xfId="1" applyNumberFormat="1" applyFont="1" applyBorder="1"/>
    <xf numFmtId="169" fontId="49" fillId="0" borderId="17" xfId="1" applyNumberFormat="1" applyFont="1" applyBorder="1"/>
    <xf numFmtId="169" fontId="77" fillId="0" borderId="14" xfId="1" applyNumberFormat="1" applyFont="1" applyBorder="1"/>
    <xf numFmtId="169" fontId="48" fillId="0" borderId="0" xfId="1" applyNumberFormat="1" applyFont="1"/>
    <xf numFmtId="170" fontId="69" fillId="0" borderId="14" xfId="1" applyNumberFormat="1" applyFont="1" applyBorder="1"/>
    <xf numFmtId="170" fontId="77" fillId="0" borderId="14" xfId="1" applyNumberFormat="1" applyFont="1" applyBorder="1"/>
    <xf numFmtId="170" fontId="49" fillId="0" borderId="45" xfId="1043" applyNumberFormat="1" applyFont="1" applyFill="1" applyBorder="1" applyProtection="1"/>
    <xf numFmtId="170" fontId="42" fillId="0" borderId="14" xfId="0" quotePrefix="1" applyNumberFormat="1" applyFont="1" applyBorder="1" applyAlignment="1">
      <alignment horizontal="right"/>
    </xf>
    <xf numFmtId="170" fontId="51" fillId="0" borderId="0" xfId="1" applyNumberFormat="1" applyFont="1" applyAlignment="1">
      <alignment horizontal="right"/>
    </xf>
    <xf numFmtId="170" fontId="69" fillId="0" borderId="14" xfId="1" applyNumberFormat="1" applyFont="1" applyBorder="1" applyAlignment="1">
      <alignment horizontal="center"/>
    </xf>
    <xf numFmtId="170" fontId="48" fillId="0" borderId="0" xfId="1" applyNumberFormat="1" applyFont="1"/>
    <xf numFmtId="169" fontId="49" fillId="0" borderId="16" xfId="1" applyNumberFormat="1" applyFont="1" applyBorder="1"/>
    <xf numFmtId="165" fontId="52" fillId="0" borderId="0" xfId="1" applyNumberFormat="1" applyFont="1"/>
    <xf numFmtId="166" fontId="51" fillId="0" borderId="0" xfId="1" quotePrefix="1" applyNumberFormat="1" applyFont="1" applyAlignment="1">
      <alignment horizontal="left"/>
    </xf>
    <xf numFmtId="168" fontId="49" fillId="0" borderId="0" xfId="1" applyNumberFormat="1" applyFont="1"/>
    <xf numFmtId="192" fontId="42" fillId="0" borderId="0" xfId="1" applyNumberFormat="1"/>
    <xf numFmtId="170" fontId="42" fillId="0" borderId="0" xfId="17915" applyNumberFormat="1" applyFont="1" applyFill="1" applyAlignment="1" applyProtection="1">
      <alignment horizontal="right"/>
    </xf>
    <xf numFmtId="170" fontId="42" fillId="0" borderId="14" xfId="17915" applyNumberFormat="1" applyFont="1" applyFill="1" applyBorder="1" applyAlignment="1" applyProtection="1">
      <alignment horizontal="right"/>
    </xf>
    <xf numFmtId="170" fontId="49" fillId="0" borderId="45" xfId="49849" applyNumberFormat="1" applyFont="1" applyFill="1" applyBorder="1" applyAlignment="1" applyProtection="1"/>
    <xf numFmtId="170" fontId="49" fillId="0" borderId="0" xfId="49849" applyNumberFormat="1" applyFont="1" applyFill="1" applyAlignment="1" applyProtection="1"/>
    <xf numFmtId="170" fontId="49" fillId="0" borderId="17" xfId="49849" applyNumberFormat="1" applyFont="1" applyFill="1" applyBorder="1" applyAlignment="1" applyProtection="1"/>
    <xf numFmtId="166" fontId="47" fillId="0" borderId="0" xfId="3" applyNumberFormat="1" applyFont="1"/>
    <xf numFmtId="43" fontId="47" fillId="0" borderId="0" xfId="4" applyFont="1" applyFill="1" applyBorder="1" applyAlignment="1" applyProtection="1">
      <alignment horizontal="right"/>
    </xf>
    <xf numFmtId="0" fontId="70" fillId="0" borderId="0" xfId="3" quotePrefix="1" applyFont="1" applyAlignment="1">
      <alignment horizontal="left"/>
    </xf>
    <xf numFmtId="0" fontId="70" fillId="0" borderId="0" xfId="3" applyFont="1" applyAlignment="1">
      <alignment horizontal="right"/>
    </xf>
    <xf numFmtId="0" fontId="49" fillId="0" borderId="0" xfId="3" applyFont="1" applyAlignment="1">
      <alignment horizontal="center"/>
    </xf>
    <xf numFmtId="166" fontId="49" fillId="0" borderId="0" xfId="3" applyNumberFormat="1" applyFont="1" applyAlignment="1">
      <alignment horizontal="center"/>
    </xf>
    <xf numFmtId="165" fontId="49" fillId="0" borderId="0" xfId="3" applyNumberFormat="1" applyFont="1"/>
    <xf numFmtId="165" fontId="49" fillId="0" borderId="0" xfId="3" applyNumberFormat="1" applyFont="1" applyAlignment="1">
      <alignment horizontal="center"/>
    </xf>
    <xf numFmtId="0" fontId="49" fillId="0" borderId="0" xfId="3" applyFont="1" applyAlignment="1">
      <alignment horizontal="left"/>
    </xf>
    <xf numFmtId="174" fontId="49" fillId="0" borderId="0" xfId="3" quotePrefix="1" applyNumberFormat="1" applyFont="1" applyAlignment="1">
      <alignment horizontal="right"/>
    </xf>
    <xf numFmtId="174" fontId="49" fillId="0" borderId="14" xfId="3" applyNumberFormat="1" applyFont="1" applyBorder="1"/>
    <xf numFmtId="164" fontId="49" fillId="0" borderId="0" xfId="3" applyNumberFormat="1" applyFont="1"/>
    <xf numFmtId="170" fontId="49" fillId="0" borderId="0" xfId="5509" applyNumberFormat="1" applyFont="1"/>
    <xf numFmtId="170" fontId="49" fillId="0" borderId="14" xfId="3" applyNumberFormat="1" applyFont="1" applyBorder="1"/>
    <xf numFmtId="0" fontId="48" fillId="0" borderId="0" xfId="3" applyFont="1"/>
    <xf numFmtId="0" fontId="42" fillId="0" borderId="0" xfId="3" applyFont="1"/>
    <xf numFmtId="170" fontId="49" fillId="0" borderId="0" xfId="5509" applyNumberFormat="1" applyFont="1" applyAlignment="1">
      <alignment horizontal="right"/>
    </xf>
    <xf numFmtId="170" fontId="49" fillId="0" borderId="0" xfId="3" applyNumberFormat="1" applyFont="1" applyAlignment="1">
      <alignment horizontal="right"/>
    </xf>
    <xf numFmtId="0" fontId="49" fillId="0" borderId="0" xfId="3" quotePrefix="1" applyFont="1" applyAlignment="1">
      <alignment horizontal="left"/>
    </xf>
    <xf numFmtId="0" fontId="42" fillId="0" borderId="0" xfId="3" quotePrefix="1" applyFont="1" applyAlignment="1">
      <alignment horizontal="left"/>
    </xf>
    <xf numFmtId="0" fontId="42" fillId="0" borderId="0" xfId="3" applyFont="1" applyAlignment="1">
      <alignment horizontal="left"/>
    </xf>
    <xf numFmtId="170" fontId="42" fillId="0" borderId="0" xfId="5509" applyNumberFormat="1" applyFont="1" applyAlignment="1">
      <alignment horizontal="right"/>
    </xf>
    <xf numFmtId="174" fontId="49" fillId="0" borderId="15" xfId="3" applyNumberFormat="1" applyFont="1" applyBorder="1"/>
    <xf numFmtId="169" fontId="47" fillId="0" borderId="0" xfId="3" applyNumberFormat="1" applyFont="1"/>
    <xf numFmtId="169" fontId="47" fillId="0" borderId="0" xfId="3" quotePrefix="1" applyNumberFormat="1" applyFont="1" applyAlignment="1">
      <alignment horizontal="right"/>
    </xf>
    <xf numFmtId="0" fontId="47" fillId="0" borderId="0" xfId="3" applyFont="1" applyAlignment="1">
      <alignment horizontal="center"/>
    </xf>
    <xf numFmtId="164" fontId="47" fillId="0" borderId="0" xfId="3" applyNumberFormat="1" applyFont="1"/>
    <xf numFmtId="39" fontId="47" fillId="0" borderId="0" xfId="3" applyNumberFormat="1" applyFont="1"/>
    <xf numFmtId="174" fontId="47" fillId="0" borderId="0" xfId="3" applyNumberFormat="1" applyFont="1"/>
    <xf numFmtId="43" fontId="47" fillId="0" borderId="0" xfId="4" applyFont="1" applyFill="1" applyProtection="1"/>
    <xf numFmtId="0" fontId="47" fillId="0" borderId="0" xfId="3" quotePrefix="1" applyFont="1" applyAlignment="1">
      <alignment horizontal="left"/>
    </xf>
    <xf numFmtId="170" fontId="47" fillId="0" borderId="0" xfId="3" quotePrefix="1" applyNumberFormat="1" applyFont="1" applyAlignment="1">
      <alignment horizontal="left"/>
    </xf>
    <xf numFmtId="43" fontId="47" fillId="0" borderId="0" xfId="3" applyNumberFormat="1" applyFont="1"/>
    <xf numFmtId="49" fontId="86" fillId="0" borderId="0" xfId="3" applyNumberFormat="1" applyFont="1" applyAlignment="1">
      <alignment horizontal="left"/>
    </xf>
    <xf numFmtId="0" fontId="86" fillId="0" borderId="0" xfId="3" applyFont="1" applyAlignment="1">
      <alignment horizontal="left"/>
    </xf>
    <xf numFmtId="165" fontId="42" fillId="0" borderId="0" xfId="5450" applyNumberFormat="1"/>
    <xf numFmtId="3" fontId="42" fillId="0" borderId="0" xfId="1" applyNumberFormat="1" applyAlignment="1">
      <alignment vertical="center"/>
    </xf>
    <xf numFmtId="3" fontId="42" fillId="0" borderId="0" xfId="1" applyNumberFormat="1" applyAlignment="1">
      <alignment horizontal="left" vertical="center"/>
    </xf>
    <xf numFmtId="170" fontId="62" fillId="0" borderId="45" xfId="1" applyNumberFormat="1" applyFont="1" applyBorder="1" applyAlignment="1">
      <alignment horizontal="right"/>
    </xf>
    <xf numFmtId="170" fontId="63" fillId="0" borderId="45" xfId="1" applyNumberFormat="1" applyFont="1" applyBorder="1" applyAlignment="1">
      <alignment horizontal="center"/>
    </xf>
    <xf numFmtId="0" fontId="42" fillId="0" borderId="0" xfId="0" quotePrefix="1" applyNumberFormat="1" applyFont="1" applyAlignment="1">
      <alignment horizontal="center"/>
    </xf>
    <xf numFmtId="0" fontId="42" fillId="0" borderId="0" xfId="737" applyFont="1"/>
    <xf numFmtId="0" fontId="19" fillId="0" borderId="0" xfId="838" applyFont="1"/>
    <xf numFmtId="4" fontId="48" fillId="0" borderId="0" xfId="1025" applyNumberFormat="1" applyFont="1"/>
    <xf numFmtId="1" fontId="48" fillId="0" borderId="0" xfId="1025" applyNumberFormat="1" applyFont="1"/>
    <xf numFmtId="0" fontId="48" fillId="0" borderId="0" xfId="1025" applyFont="1" applyAlignment="1">
      <alignment horizontal="left"/>
    </xf>
    <xf numFmtId="4" fontId="70" fillId="0" borderId="0" xfId="1025" applyNumberFormat="1" applyFont="1" applyAlignment="1">
      <alignment horizontal="left" vertical="center"/>
    </xf>
    <xf numFmtId="0" fontId="48" fillId="0" borderId="0" xfId="1025" applyFont="1" applyAlignment="1">
      <alignment horizontal="right"/>
    </xf>
    <xf numFmtId="4" fontId="48" fillId="0" borderId="0" xfId="1025" applyNumberFormat="1" applyFont="1" applyAlignment="1">
      <alignment horizontal="center"/>
    </xf>
    <xf numFmtId="1" fontId="49" fillId="0" borderId="29" xfId="1025" applyNumberFormat="1" applyFont="1" applyBorder="1"/>
    <xf numFmtId="4" fontId="49" fillId="0" borderId="29" xfId="1025" applyNumberFormat="1" applyFont="1" applyBorder="1"/>
    <xf numFmtId="4" fontId="49" fillId="0" borderId="29" xfId="1025" applyNumberFormat="1" applyFont="1" applyBorder="1" applyAlignment="1">
      <alignment horizontal="center"/>
    </xf>
    <xf numFmtId="0" fontId="114" fillId="0" borderId="0" xfId="838" applyFont="1"/>
    <xf numFmtId="0" fontId="0" fillId="0" borderId="0" xfId="0" applyNumberFormat="1"/>
    <xf numFmtId="4" fontId="49" fillId="0" borderId="0" xfId="1025" applyNumberFormat="1" applyFont="1"/>
    <xf numFmtId="4" fontId="49" fillId="35" borderId="62" xfId="1025" applyNumberFormat="1" applyFont="1" applyFill="1" applyBorder="1" applyAlignment="1">
      <alignment horizontal="center"/>
    </xf>
    <xf numFmtId="4" fontId="49" fillId="0" borderId="0" xfId="1025" applyNumberFormat="1" applyFont="1" applyAlignment="1">
      <alignment horizontal="center"/>
    </xf>
    <xf numFmtId="0" fontId="96" fillId="0" borderId="0" xfId="0" applyNumberFormat="1" applyFont="1"/>
    <xf numFmtId="0" fontId="42" fillId="0" borderId="0" xfId="1025" quotePrefix="1" applyAlignment="1">
      <alignment horizontal="center"/>
    </xf>
    <xf numFmtId="4" fontId="42" fillId="0" borderId="0" xfId="1025" applyNumberFormat="1" applyAlignment="1">
      <alignment horizontal="left"/>
    </xf>
    <xf numFmtId="0" fontId="100" fillId="0" borderId="0" xfId="0" applyNumberFormat="1" applyFont="1"/>
    <xf numFmtId="1" fontId="42" fillId="0" borderId="0" xfId="1025" applyNumberFormat="1" applyAlignment="1">
      <alignment horizontal="center"/>
    </xf>
    <xf numFmtId="4" fontId="49" fillId="35" borderId="62" xfId="1025" quotePrefix="1" applyNumberFormat="1" applyFont="1" applyFill="1" applyBorder="1" applyAlignment="1">
      <alignment horizontal="center"/>
    </xf>
    <xf numFmtId="4" fontId="49" fillId="0" borderId="0" xfId="1025" quotePrefix="1" applyNumberFormat="1" applyFont="1" applyAlignment="1">
      <alignment horizontal="center"/>
    </xf>
    <xf numFmtId="4" fontId="42" fillId="0" borderId="0" xfId="1025" quotePrefix="1" applyNumberFormat="1" applyAlignment="1">
      <alignment horizontal="left"/>
    </xf>
    <xf numFmtId="4" fontId="42" fillId="0" borderId="0" xfId="1025" applyNumberFormat="1"/>
    <xf numFmtId="4" fontId="42" fillId="0" borderId="0" xfId="1025" applyNumberFormat="1" applyAlignment="1">
      <alignment horizontal="center"/>
    </xf>
    <xf numFmtId="1" fontId="42" fillId="0" borderId="0" xfId="1025" quotePrefix="1" applyNumberFormat="1"/>
    <xf numFmtId="4" fontId="49" fillId="0" borderId="0" xfId="0" applyNumberFormat="1" applyFont="1"/>
    <xf numFmtId="0" fontId="96" fillId="0" borderId="0" xfId="1025" quotePrefix="1" applyFont="1"/>
    <xf numFmtId="1" fontId="42" fillId="0" borderId="0" xfId="1025"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5" quotePrefix="1" applyNumberFormat="1" applyAlignment="1">
      <alignment horizontal="center"/>
    </xf>
    <xf numFmtId="4" fontId="42" fillId="0" borderId="0" xfId="1025" quotePrefix="1" applyNumberFormat="1" applyAlignment="1">
      <alignment horizontal="right"/>
    </xf>
    <xf numFmtId="4" fontId="42" fillId="0" borderId="0" xfId="1025" quotePrefix="1" applyNumberFormat="1" applyAlignment="1">
      <alignment horizontal="center"/>
    </xf>
    <xf numFmtId="37" fontId="49" fillId="0" borderId="0" xfId="1025" quotePrefix="1" applyNumberFormat="1" applyFont="1" applyAlignment="1">
      <alignment horizontal="center"/>
    </xf>
    <xf numFmtId="43" fontId="49" fillId="0" borderId="0" xfId="17915" applyFont="1" applyFill="1" applyAlignment="1" applyProtection="1">
      <alignment horizontal="right"/>
    </xf>
    <xf numFmtId="4" fontId="42" fillId="33" borderId="0" xfId="1025" applyNumberFormat="1" applyFill="1" applyAlignment="1">
      <alignment horizontal="centerContinuous"/>
    </xf>
    <xf numFmtId="4" fontId="42" fillId="33" borderId="0" xfId="1025" applyNumberFormat="1" applyFill="1" applyAlignment="1">
      <alignment horizontal="center"/>
    </xf>
    <xf numFmtId="4" fontId="42" fillId="0" borderId="0" xfId="1025" applyNumberFormat="1" applyAlignment="1">
      <alignment horizontal="right"/>
    </xf>
    <xf numFmtId="1" fontId="49" fillId="0" borderId="0" xfId="1025" quotePrefix="1" applyNumberFormat="1" applyFont="1"/>
    <xf numFmtId="0" fontId="96" fillId="0" borderId="0" xfId="1025" applyFont="1"/>
    <xf numFmtId="0" fontId="49" fillId="0" borderId="0" xfId="1025" applyFont="1" applyAlignment="1">
      <alignment horizontal="center"/>
    </xf>
    <xf numFmtId="4" fontId="49" fillId="35" borderId="36" xfId="1025" applyNumberFormat="1" applyFont="1" applyFill="1" applyBorder="1" applyAlignment="1">
      <alignment horizontal="left"/>
    </xf>
    <xf numFmtId="164" fontId="42" fillId="0" borderId="0" xfId="1025" applyNumberFormat="1"/>
    <xf numFmtId="4" fontId="49" fillId="0" borderId="0" xfId="0" applyNumberFormat="1" applyFont="1" applyAlignment="1">
      <alignment horizontal="left"/>
    </xf>
    <xf numFmtId="0" fontId="114" fillId="0" borderId="0" xfId="1025" quotePrefix="1" applyFont="1"/>
    <xf numFmtId="164" fontId="42" fillId="0" borderId="0" xfId="1025" quotePrefix="1" applyNumberFormat="1"/>
    <xf numFmtId="7" fontId="49" fillId="0" borderId="0" xfId="0" applyNumberFormat="1" applyFont="1" applyAlignment="1">
      <alignment horizontal="right"/>
    </xf>
    <xf numFmtId="37" fontId="49" fillId="0" borderId="0" xfId="1025"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38" applyNumberFormat="1" applyFont="1" applyAlignment="1">
      <alignment horizontal="right"/>
    </xf>
    <xf numFmtId="37" fontId="49" fillId="0" borderId="0" xfId="0" applyNumberFormat="1" applyFont="1" applyAlignment="1">
      <alignment horizontal="right"/>
    </xf>
    <xf numFmtId="7" fontId="49" fillId="0" borderId="0" xfId="1025" applyNumberFormat="1" applyFont="1" applyAlignment="1">
      <alignment horizontal="right"/>
    </xf>
    <xf numFmtId="37" fontId="49" fillId="0" borderId="0" xfId="1025" quotePrefix="1" applyNumberFormat="1" applyFont="1" applyAlignment="1">
      <alignment horizontal="right"/>
    </xf>
    <xf numFmtId="0" fontId="134" fillId="0" borderId="0" xfId="838" applyFont="1"/>
    <xf numFmtId="4" fontId="47" fillId="0" borderId="0" xfId="737" applyNumberFormat="1" applyFont="1" applyAlignment="1">
      <alignment horizontal="right"/>
    </xf>
    <xf numFmtId="42" fontId="42" fillId="0" borderId="0" xfId="736" applyNumberFormat="1"/>
    <xf numFmtId="42" fontId="49" fillId="0" borderId="15" xfId="837" applyNumberFormat="1" applyFont="1" applyBorder="1"/>
    <xf numFmtId="165" fontId="42" fillId="0" borderId="0" xfId="737" applyNumberFormat="1" applyFont="1" applyProtection="1">
      <protection locked="0"/>
    </xf>
    <xf numFmtId="177" fontId="42" fillId="0" borderId="0" xfId="737" applyNumberFormat="1" applyFont="1" applyAlignment="1">
      <alignment horizontal="fill"/>
    </xf>
    <xf numFmtId="178" fontId="49" fillId="0" borderId="10" xfId="737" quotePrefix="1" applyNumberFormat="1" applyFont="1" applyBorder="1" applyAlignment="1">
      <alignment horizontal="center"/>
    </xf>
    <xf numFmtId="178" fontId="49" fillId="0" borderId="0" xfId="737" quotePrefix="1" applyNumberFormat="1" applyFont="1" applyAlignment="1">
      <alignment horizontal="center"/>
    </xf>
    <xf numFmtId="173" fontId="42" fillId="0" borderId="0" xfId="737" applyNumberFormat="1" applyFont="1"/>
    <xf numFmtId="181" fontId="96" fillId="0" borderId="0" xfId="737" applyNumberFormat="1" applyFont="1"/>
    <xf numFmtId="177" fontId="49" fillId="0" borderId="0" xfId="737" applyNumberFormat="1" applyFont="1" applyAlignment="1">
      <alignment horizontal="left"/>
    </xf>
    <xf numFmtId="43" fontId="42" fillId="0" borderId="0" xfId="738" applyFont="1" applyFill="1" applyAlignment="1"/>
    <xf numFmtId="180" fontId="42" fillId="0" borderId="0" xfId="737" applyNumberFormat="1" applyFont="1" applyAlignment="1">
      <alignment horizontal="right"/>
    </xf>
    <xf numFmtId="177" fontId="73" fillId="0" borderId="0" xfId="737"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1" quotePrefix="1" applyNumberFormat="1" applyBorder="1" applyAlignment="1">
      <alignment horizontal="center"/>
    </xf>
    <xf numFmtId="165" fontId="42" fillId="0" borderId="0" xfId="833" applyNumberFormat="1" applyFont="1" applyProtection="1">
      <protection locked="0"/>
    </xf>
    <xf numFmtId="0" fontId="56" fillId="0" borderId="0" xfId="833" applyFont="1"/>
    <xf numFmtId="0" fontId="44" fillId="0" borderId="0" xfId="833" quotePrefix="1" applyAlignment="1">
      <alignment horizontal="left"/>
    </xf>
    <xf numFmtId="181" fontId="79" fillId="0" borderId="0" xfId="833" applyNumberFormat="1" applyFont="1"/>
    <xf numFmtId="0" fontId="112" fillId="0" borderId="0" xfId="1"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5"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4" applyNumberFormat="1" applyFont="1"/>
    <xf numFmtId="179" fontId="42" fillId="0" borderId="0" xfId="14" applyNumberFormat="1"/>
    <xf numFmtId="180" fontId="65" fillId="0" borderId="0" xfId="1769" applyNumberFormat="1" applyFont="1" applyAlignment="1">
      <alignment horizontal="left"/>
    </xf>
    <xf numFmtId="179" fontId="70" fillId="0" borderId="0" xfId="1769" applyNumberFormat="1" applyFont="1" applyAlignment="1">
      <alignment horizontal="right"/>
    </xf>
    <xf numFmtId="0" fontId="42" fillId="0" borderId="0" xfId="1025" quotePrefix="1" applyAlignment="1">
      <alignment horizontal="left"/>
    </xf>
    <xf numFmtId="165" fontId="43" fillId="0" borderId="0" xfId="1" applyNumberFormat="1" applyFont="1" applyAlignment="1">
      <alignment horizontal="right"/>
    </xf>
    <xf numFmtId="171" fontId="62" fillId="0" borderId="0" xfId="1" quotePrefix="1" applyNumberFormat="1" applyFont="1" applyAlignment="1">
      <alignment horizontal="center"/>
    </xf>
    <xf numFmtId="165" fontId="48" fillId="0" borderId="0" xfId="1" applyNumberFormat="1" applyFont="1" applyAlignment="1">
      <alignment horizontal="right"/>
    </xf>
    <xf numFmtId="0" fontId="42" fillId="0" borderId="17" xfId="1" applyBorder="1"/>
    <xf numFmtId="170" fontId="158" fillId="0" borderId="16" xfId="1" applyNumberFormat="1" applyFont="1" applyBorder="1"/>
    <xf numFmtId="166" fontId="62" fillId="0" borderId="0" xfId="1" quotePrefix="1" applyNumberFormat="1" applyFont="1" applyAlignment="1">
      <alignment horizontal="center"/>
    </xf>
    <xf numFmtId="174" fontId="62" fillId="0" borderId="17" xfId="1" applyNumberFormat="1" applyFont="1" applyBorder="1"/>
    <xf numFmtId="166" fontId="63" fillId="0" borderId="17" xfId="1"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1" applyNumberFormat="1" applyFont="1" applyBorder="1"/>
    <xf numFmtId="170" fontId="77" fillId="0" borderId="0" xfId="1" applyNumberFormat="1" applyFont="1"/>
    <xf numFmtId="164" fontId="42" fillId="0" borderId="45" xfId="0" applyFont="1" applyBorder="1" applyProtection="1">
      <protection locked="0"/>
    </xf>
    <xf numFmtId="170" fontId="62" fillId="0" borderId="17" xfId="1" applyNumberFormat="1" applyFont="1" applyBorder="1"/>
    <xf numFmtId="172" fontId="49" fillId="0" borderId="45" xfId="0" applyNumberFormat="1" applyFont="1" applyBorder="1" applyProtection="1">
      <protection locked="0"/>
    </xf>
    <xf numFmtId="195" fontId="67" fillId="0" borderId="0" xfId="1" applyNumberFormat="1" applyFont="1"/>
    <xf numFmtId="164" fontId="49" fillId="0" borderId="15" xfId="0" applyFont="1" applyBorder="1" applyProtection="1">
      <protection locked="0"/>
    </xf>
    <xf numFmtId="166" fontId="62" fillId="0" borderId="45" xfId="1" applyNumberFormat="1" applyFont="1" applyBorder="1" applyAlignment="1">
      <alignment horizontal="center"/>
    </xf>
    <xf numFmtId="170" fontId="62" fillId="0" borderId="45" xfId="1" applyNumberFormat="1" applyFont="1" applyBorder="1"/>
    <xf numFmtId="164" fontId="42" fillId="0" borderId="45" xfId="1" applyNumberFormat="1" applyBorder="1"/>
    <xf numFmtId="0" fontId="65" fillId="0" borderId="0" xfId="833" quotePrefix="1" applyFont="1" applyAlignment="1">
      <alignment horizontal="left"/>
    </xf>
    <xf numFmtId="165" fontId="69" fillId="0" borderId="0" xfId="837" quotePrefix="1" applyNumberFormat="1" applyFont="1"/>
    <xf numFmtId="41" fontId="48" fillId="0" borderId="0" xfId="17915" applyNumberFormat="1" applyFont="1" applyFill="1" applyAlignment="1">
      <alignment horizontal="right"/>
    </xf>
    <xf numFmtId="174" fontId="42"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2" fillId="0" borderId="0" xfId="14" applyNumberFormat="1" applyAlignment="1">
      <alignment horizontal="right"/>
    </xf>
    <xf numFmtId="181" fontId="42" fillId="0" borderId="0" xfId="737" applyNumberFormat="1" applyFont="1"/>
    <xf numFmtId="165" fontId="42" fillId="0" borderId="0" xfId="837" applyNumberFormat="1" applyFont="1" applyProtection="1">
      <protection locked="0"/>
    </xf>
    <xf numFmtId="165" fontId="49" fillId="0" borderId="0" xfId="837" applyNumberFormat="1" applyFont="1" applyAlignment="1">
      <alignment horizontal="right"/>
    </xf>
    <xf numFmtId="165" fontId="49" fillId="0" borderId="0" xfId="837" applyNumberFormat="1" applyFont="1"/>
    <xf numFmtId="170" fontId="53" fillId="0" borderId="0" xfId="1" applyNumberFormat="1" applyFont="1"/>
    <xf numFmtId="170" fontId="53" fillId="0" borderId="17" xfId="1" applyNumberFormat="1" applyFont="1" applyBorder="1"/>
    <xf numFmtId="170" fontId="0" fillId="0" borderId="0" xfId="0" applyNumberFormat="1"/>
    <xf numFmtId="170" fontId="42" fillId="0" borderId="45" xfId="1" applyNumberFormat="1" applyBorder="1" applyAlignment="1">
      <alignment horizontal="center"/>
    </xf>
    <xf numFmtId="169" fontId="0" fillId="0" borderId="0" xfId="1" applyNumberFormat="1" applyFont="1"/>
    <xf numFmtId="174" fontId="42" fillId="0" borderId="27" xfId="1" applyNumberFormat="1" applyBorder="1"/>
    <xf numFmtId="170" fontId="0" fillId="0" borderId="27" xfId="1" applyNumberFormat="1" applyFont="1" applyBorder="1"/>
    <xf numFmtId="165" fontId="133" fillId="0" borderId="0" xfId="1" applyNumberFormat="1" applyFont="1"/>
    <xf numFmtId="170" fontId="49" fillId="0" borderId="61" xfId="1"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58"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1" applyNumberFormat="1" applyFont="1" applyBorder="1"/>
    <xf numFmtId="164" fontId="42" fillId="0" borderId="26" xfId="1" applyNumberFormat="1" applyBorder="1"/>
    <xf numFmtId="165" fontId="82" fillId="0" borderId="0" xfId="0" applyNumberFormat="1" applyFont="1" applyProtection="1">
      <protection locked="0"/>
    </xf>
    <xf numFmtId="166" fontId="42" fillId="0" borderId="0" xfId="3" applyNumberFormat="1" applyFont="1"/>
    <xf numFmtId="0" fontId="42" fillId="0" borderId="0" xfId="3" applyFont="1" applyAlignment="1">
      <alignment horizontal="center"/>
    </xf>
    <xf numFmtId="166" fontId="42" fillId="0" borderId="14" xfId="3"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15"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63" applyFont="1" applyFill="1" applyBorder="1"/>
    <xf numFmtId="43" fontId="49" fillId="0" borderId="0" xfId="25860"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49" fillId="0" borderId="54" xfId="25864" applyFont="1" applyFill="1" applyBorder="1"/>
    <xf numFmtId="44" fontId="109" fillId="0" borderId="0" xfId="0" applyNumberFormat="1" applyFont="1"/>
    <xf numFmtId="0" fontId="146" fillId="0" borderId="0" xfId="1025" quotePrefix="1" applyFont="1" applyAlignment="1">
      <alignment horizontal="right"/>
    </xf>
    <xf numFmtId="170" fontId="49" fillId="0" borderId="0" xfId="49849" applyNumberFormat="1" applyFont="1" applyFill="1" applyBorder="1" applyAlignment="1" applyProtection="1"/>
    <xf numFmtId="165" fontId="0" fillId="0" borderId="0" xfId="1" quotePrefix="1" applyNumberFormat="1" applyFont="1" applyAlignment="1">
      <alignment horizontal="left"/>
    </xf>
    <xf numFmtId="164" fontId="42" fillId="0" borderId="0" xfId="1933" applyNumberFormat="1" applyFont="1" applyBorder="1" applyAlignment="1"/>
    <xf numFmtId="164" fontId="49" fillId="0" borderId="69" xfId="1" applyNumberFormat="1" applyFont="1" applyBorder="1"/>
    <xf numFmtId="165" fontId="156" fillId="0" borderId="0" xfId="1" applyNumberFormat="1" applyFont="1"/>
    <xf numFmtId="165" fontId="42" fillId="0" borderId="0" xfId="1" quotePrefix="1" applyNumberFormat="1" applyAlignment="1">
      <alignment horizontal="left"/>
    </xf>
    <xf numFmtId="44" fontId="42" fillId="0" borderId="0" xfId="25864" applyFont="1" applyFill="1" applyBorder="1"/>
    <xf numFmtId="44" fontId="49" fillId="0" borderId="0" xfId="25864"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55" applyFont="1" applyFill="1"/>
    <xf numFmtId="44" fontId="49" fillId="0" borderId="0" xfId="25858" applyFont="1" applyFill="1" applyBorder="1"/>
    <xf numFmtId="0" fontId="49" fillId="0" borderId="0" xfId="25861" applyFill="1"/>
    <xf numFmtId="44" fontId="49" fillId="0" borderId="0" xfId="25858" applyFont="1" applyFill="1" applyBorder="1" applyAlignment="1">
      <alignment horizontal="right"/>
    </xf>
    <xf numFmtId="44" fontId="49" fillId="0" borderId="54" xfId="25858" applyFont="1" applyFill="1" applyBorder="1"/>
    <xf numFmtId="0" fontId="0" fillId="0" borderId="0" xfId="0" applyNumberFormat="1" applyAlignment="1">
      <alignment horizontal="left"/>
    </xf>
    <xf numFmtId="170" fontId="42" fillId="0" borderId="14" xfId="3" applyNumberFormat="1" applyFont="1" applyBorder="1"/>
    <xf numFmtId="170" fontId="42" fillId="0" borderId="0" xfId="3"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37" applyNumberFormat="1" applyFont="1"/>
    <xf numFmtId="0" fontId="42" fillId="0" borderId="0" xfId="1025" applyAlignment="1">
      <alignment horizontal="left"/>
    </xf>
    <xf numFmtId="164" fontId="54" fillId="0" borderId="0" xfId="0" applyFont="1"/>
    <xf numFmtId="42" fontId="53" fillId="0" borderId="0" xfId="837" applyNumberFormat="1" applyFont="1"/>
    <xf numFmtId="42" fontId="146" fillId="0" borderId="0" xfId="837" applyNumberFormat="1" applyFont="1"/>
    <xf numFmtId="37" fontId="146" fillId="0" borderId="0" xfId="837" applyNumberFormat="1" applyFont="1"/>
    <xf numFmtId="41" fontId="53" fillId="0" borderId="0" xfId="8" applyNumberFormat="1" applyFont="1" applyFill="1" applyAlignment="1"/>
    <xf numFmtId="166" fontId="54" fillId="0" borderId="0" xfId="5" applyNumberFormat="1" applyFont="1" applyAlignment="1">
      <alignment horizontal="right"/>
    </xf>
    <xf numFmtId="169" fontId="96" fillId="0" borderId="0" xfId="5" applyNumberFormat="1"/>
    <xf numFmtId="166" fontId="68" fillId="0" borderId="0" xfId="1" quotePrefix="1" applyNumberFormat="1" applyFont="1" applyAlignment="1">
      <alignment horizontal="left"/>
    </xf>
    <xf numFmtId="4" fontId="42" fillId="0" borderId="0" xfId="1025" applyNumberFormat="1" applyAlignment="1">
      <alignment horizontal="centerContinuous"/>
    </xf>
    <xf numFmtId="43" fontId="42" fillId="0" borderId="0" xfId="25863" applyFont="1" applyFill="1" applyBorder="1" applyAlignment="1">
      <alignment horizontal="left"/>
    </xf>
    <xf numFmtId="44" fontId="42" fillId="0" borderId="0" xfId="25863" applyNumberFormat="1" applyFont="1" applyFill="1" applyBorder="1" applyAlignment="1">
      <alignment horizontal="left"/>
    </xf>
    <xf numFmtId="43" fontId="42" fillId="0" borderId="0" xfId="25863" applyFont="1" applyFill="1" applyBorder="1"/>
    <xf numFmtId="0" fontId="70" fillId="33" borderId="0" xfId="1" applyFont="1" applyFill="1" applyAlignment="1">
      <alignment horizontal="left" vertical="center"/>
    </xf>
    <xf numFmtId="37" fontId="47" fillId="33" borderId="0" xfId="1" applyNumberFormat="1" applyFont="1" applyFill="1" applyAlignment="1">
      <alignment vertical="center"/>
    </xf>
    <xf numFmtId="37" fontId="47" fillId="0" borderId="0" xfId="1" applyNumberFormat="1" applyFont="1" applyAlignment="1">
      <alignment vertical="center"/>
    </xf>
    <xf numFmtId="0" fontId="70" fillId="0" borderId="0" xfId="1" applyFont="1" applyAlignment="1">
      <alignment horizontal="left" vertical="center"/>
    </xf>
    <xf numFmtId="190" fontId="54" fillId="0" borderId="0" xfId="5"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1" applyNumberFormat="1" applyFont="1" applyBorder="1" applyAlignment="1">
      <alignment horizontal="right"/>
    </xf>
    <xf numFmtId="170" fontId="49" fillId="0" borderId="53" xfId="1" applyNumberFormat="1" applyFont="1" applyBorder="1"/>
    <xf numFmtId="4" fontId="0" fillId="0" borderId="0" xfId="0" applyNumberFormat="1" applyAlignment="1">
      <alignment horizontal="right"/>
    </xf>
    <xf numFmtId="43" fontId="128" fillId="0" borderId="0" xfId="1" applyNumberFormat="1" applyFont="1"/>
    <xf numFmtId="43" fontId="0" fillId="0" borderId="0" xfId="1" applyNumberFormat="1" applyFont="1" applyAlignment="1">
      <alignment horizontal="center" vertical="top"/>
    </xf>
    <xf numFmtId="43" fontId="49" fillId="0" borderId="65" xfId="25864" applyNumberFormat="1" applyFont="1" applyFill="1" applyBorder="1" applyAlignment="1">
      <alignment horizontal="right"/>
    </xf>
    <xf numFmtId="43" fontId="49" fillId="0" borderId="0" xfId="25864" applyNumberFormat="1" applyFont="1" applyFill="1" applyBorder="1" applyAlignment="1">
      <alignment horizontal="right"/>
    </xf>
    <xf numFmtId="43" fontId="49" fillId="0" borderId="65" xfId="25858" applyNumberFormat="1" applyFont="1" applyFill="1" applyBorder="1" applyAlignment="1">
      <alignment horizontal="right"/>
    </xf>
    <xf numFmtId="174" fontId="0" fillId="0" borderId="0" xfId="1"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5" applyNumberFormat="1" applyFont="1"/>
    <xf numFmtId="169" fontId="54" fillId="0" borderId="0" xfId="5" applyNumberFormat="1" applyFont="1"/>
    <xf numFmtId="166" fontId="96" fillId="0" borderId="0" xfId="5" applyNumberFormat="1"/>
    <xf numFmtId="169" fontId="138" fillId="0" borderId="0" xfId="5" applyNumberFormat="1" applyFont="1"/>
    <xf numFmtId="166" fontId="54" fillId="0" borderId="0" xfId="5" quotePrefix="1" applyNumberFormat="1" applyFont="1"/>
    <xf numFmtId="0" fontId="47" fillId="0" borderId="66" xfId="857" applyFont="1" applyBorder="1"/>
    <xf numFmtId="0" fontId="47" fillId="0" borderId="64" xfId="857" applyFont="1" applyBorder="1"/>
    <xf numFmtId="164" fontId="49" fillId="0" borderId="69" xfId="0" applyFont="1" applyBorder="1"/>
    <xf numFmtId="170" fontId="49" fillId="0" borderId="45" xfId="0" applyNumberFormat="1" applyFont="1" applyBorder="1"/>
    <xf numFmtId="170" fontId="49" fillId="0" borderId="45" xfId="1" applyNumberFormat="1" applyFont="1" applyBorder="1" applyAlignment="1">
      <alignment horizontal="right"/>
    </xf>
    <xf numFmtId="170" fontId="42" fillId="0" borderId="45" xfId="0" applyNumberFormat="1" applyFont="1" applyBorder="1" applyAlignment="1">
      <alignment horizontal="right"/>
    </xf>
    <xf numFmtId="165" fontId="42" fillId="0" borderId="0" xfId="1" applyNumberFormat="1" applyAlignment="1">
      <alignment horizontal="center"/>
    </xf>
    <xf numFmtId="0" fontId="42" fillId="0" borderId="64" xfId="1" applyBorder="1"/>
    <xf numFmtId="165" fontId="42" fillId="0" borderId="64" xfId="1" applyNumberFormat="1" applyBorder="1"/>
    <xf numFmtId="166" fontId="49" fillId="0" borderId="45" xfId="1" quotePrefix="1" applyNumberFormat="1" applyFont="1" applyBorder="1" applyAlignment="1">
      <alignment horizontal="center"/>
    </xf>
    <xf numFmtId="170" fontId="42" fillId="0" borderId="49" xfId="1" applyNumberFormat="1" applyBorder="1"/>
    <xf numFmtId="0" fontId="42" fillId="0" borderId="0" xfId="1" quotePrefix="1"/>
    <xf numFmtId="0" fontId="42" fillId="0" borderId="0" xfId="1" quotePrefix="1" applyAlignment="1">
      <alignment horizontal="center"/>
    </xf>
    <xf numFmtId="164" fontId="49" fillId="0" borderId="61" xfId="1" applyNumberFormat="1" applyFont="1" applyBorder="1"/>
    <xf numFmtId="174" fontId="49" fillId="0" borderId="64" xfId="1" applyNumberFormat="1" applyFont="1" applyBorder="1"/>
    <xf numFmtId="172" fontId="49" fillId="0" borderId="54" xfId="1" applyNumberFormat="1" applyFont="1" applyBorder="1"/>
    <xf numFmtId="174" fontId="42" fillId="0" borderId="45" xfId="1" applyNumberFormat="1" applyBorder="1"/>
    <xf numFmtId="170" fontId="49" fillId="0" borderId="61" xfId="1" applyNumberFormat="1" applyFont="1" applyBorder="1" applyAlignment="1">
      <alignment horizontal="right"/>
    </xf>
    <xf numFmtId="170" fontId="49" fillId="0" borderId="61" xfId="1" applyNumberFormat="1" applyFont="1" applyBorder="1" applyProtection="1">
      <protection locked="0"/>
    </xf>
    <xf numFmtId="164" fontId="49" fillId="0" borderId="61" xfId="1" applyNumberFormat="1" applyFont="1" applyBorder="1" applyProtection="1">
      <protection locked="0"/>
    </xf>
    <xf numFmtId="170" fontId="49" fillId="0" borderId="61" xfId="1" applyNumberFormat="1" applyFont="1" applyBorder="1" applyAlignment="1">
      <alignment horizontal="center"/>
    </xf>
    <xf numFmtId="174" fontId="49" fillId="0" borderId="64" xfId="1" applyNumberFormat="1" applyFont="1" applyBorder="1" applyAlignment="1">
      <alignment horizontal="right"/>
    </xf>
    <xf numFmtId="174" fontId="49" fillId="0" borderId="71" xfId="1" applyNumberFormat="1" applyFont="1" applyBorder="1" applyAlignment="1">
      <alignment horizontal="right"/>
    </xf>
    <xf numFmtId="174" fontId="49" fillId="0" borderId="54" xfId="1" quotePrefix="1" applyNumberFormat="1" applyFont="1" applyBorder="1"/>
    <xf numFmtId="0" fontId="42" fillId="33" borderId="45" xfId="1" applyFill="1" applyBorder="1" applyAlignment="1">
      <alignment horizontal="center"/>
    </xf>
    <xf numFmtId="37" fontId="47" fillId="0" borderId="64" xfId="1" applyNumberFormat="1" applyFont="1" applyBorder="1"/>
    <xf numFmtId="37" fontId="42" fillId="0" borderId="45" xfId="1" applyNumberFormat="1" applyBorder="1"/>
    <xf numFmtId="37" fontId="49" fillId="0" borderId="45" xfId="1" applyNumberFormat="1" applyFont="1" applyBorder="1" applyAlignment="1" applyProtection="1">
      <alignment horizontal="centerContinuous"/>
      <protection locked="0"/>
    </xf>
    <xf numFmtId="37" fontId="128" fillId="0" borderId="45" xfId="1"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1" applyNumberFormat="1" applyFont="1" applyBorder="1"/>
    <xf numFmtId="170" fontId="49" fillId="0" borderId="66" xfId="0" applyNumberFormat="1" applyFont="1" applyBorder="1"/>
    <xf numFmtId="170" fontId="62" fillId="0" borderId="69" xfId="1" applyNumberFormat="1" applyFont="1" applyBorder="1"/>
    <xf numFmtId="164" fontId="49" fillId="0" borderId="69" xfId="0" applyFont="1" applyBorder="1" applyProtection="1">
      <protection locked="0"/>
    </xf>
    <xf numFmtId="170" fontId="49" fillId="0" borderId="45" xfId="4" applyNumberFormat="1" applyFont="1" applyFill="1" applyBorder="1"/>
    <xf numFmtId="166" fontId="63" fillId="0" borderId="65" xfId="1" applyNumberFormat="1" applyFont="1" applyBorder="1"/>
    <xf numFmtId="166" fontId="42" fillId="0" borderId="0" xfId="1" quotePrefix="1" applyNumberFormat="1" applyAlignment="1">
      <alignment horizontal="left"/>
    </xf>
    <xf numFmtId="170" fontId="49" fillId="0" borderId="45" xfId="4" applyNumberFormat="1" applyFont="1" applyFill="1" applyBorder="1" applyProtection="1"/>
    <xf numFmtId="166" fontId="63" fillId="0" borderId="26" xfId="1" applyNumberFormat="1" applyFont="1" applyBorder="1"/>
    <xf numFmtId="170" fontId="62" fillId="0" borderId="25" xfId="1" applyNumberFormat="1" applyFont="1" applyBorder="1"/>
    <xf numFmtId="170" fontId="63" fillId="0" borderId="64" xfId="1" applyNumberFormat="1" applyFont="1" applyBorder="1"/>
    <xf numFmtId="1" fontId="49" fillId="0" borderId="45" xfId="1" quotePrefix="1" applyNumberFormat="1" applyFont="1" applyBorder="1" applyAlignment="1">
      <alignment horizontal="center"/>
    </xf>
    <xf numFmtId="0" fontId="42" fillId="0" borderId="16" xfId="1" applyBorder="1"/>
    <xf numFmtId="172" fontId="42" fillId="0" borderId="45" xfId="1" applyNumberFormat="1" applyBorder="1"/>
    <xf numFmtId="172" fontId="42" fillId="0" borderId="45" xfId="0" applyNumberFormat="1" applyFont="1" applyBorder="1"/>
    <xf numFmtId="170" fontId="42" fillId="0" borderId="26" xfId="1" applyNumberFormat="1" applyBorder="1"/>
    <xf numFmtId="3" fontId="42" fillId="0" borderId="0" xfId="1" applyNumberFormat="1" applyAlignment="1">
      <alignment horizontal="left"/>
    </xf>
    <xf numFmtId="164" fontId="49" fillId="0" borderId="45" xfId="1" quotePrefix="1" applyNumberFormat="1" applyFont="1" applyBorder="1" applyAlignment="1">
      <alignment horizontal="right"/>
    </xf>
    <xf numFmtId="166" fontId="42" fillId="0" borderId="64" xfId="1" applyNumberFormat="1" applyBorder="1"/>
    <xf numFmtId="164" fontId="42" fillId="0" borderId="64" xfId="1" applyNumberFormat="1" applyBorder="1"/>
    <xf numFmtId="165" fontId="42" fillId="0" borderId="14" xfId="1" applyNumberFormat="1" applyBorder="1"/>
    <xf numFmtId="165" fontId="42" fillId="0" borderId="17" xfId="1" applyNumberFormat="1" applyBorder="1"/>
    <xf numFmtId="165" fontId="42" fillId="0" borderId="27" xfId="1" applyNumberFormat="1" applyBorder="1"/>
    <xf numFmtId="170" fontId="42" fillId="0" borderId="27" xfId="1" applyNumberFormat="1" applyBorder="1" applyAlignment="1">
      <alignment horizontal="center"/>
    </xf>
    <xf numFmtId="165" fontId="42" fillId="0" borderId="0" xfId="1" applyNumberFormat="1" applyAlignment="1">
      <alignment horizontal="left"/>
    </xf>
    <xf numFmtId="170" fontId="42" fillId="0" borderId="65" xfId="1" applyNumberFormat="1" applyBorder="1"/>
    <xf numFmtId="164" fontId="42" fillId="0" borderId="65" xfId="1" applyNumberFormat="1" applyBorder="1"/>
    <xf numFmtId="170" fontId="42" fillId="0" borderId="0" xfId="4" applyNumberFormat="1" applyFont="1" applyFill="1" applyProtection="1"/>
    <xf numFmtId="170" fontId="42" fillId="0" borderId="0" xfId="4" applyNumberFormat="1" applyFont="1" applyFill="1" applyBorder="1" applyProtection="1"/>
    <xf numFmtId="168" fontId="42" fillId="0" borderId="20" xfId="1" applyNumberFormat="1" applyBorder="1"/>
    <xf numFmtId="165" fontId="42" fillId="0" borderId="19" xfId="1" applyNumberFormat="1" applyBorder="1"/>
    <xf numFmtId="170" fontId="49" fillId="0" borderId="45" xfId="1043" applyNumberFormat="1" applyFont="1" applyFill="1" applyBorder="1"/>
    <xf numFmtId="164" fontId="49" fillId="0" borderId="45" xfId="1043" applyNumberFormat="1" applyFont="1" applyFill="1" applyBorder="1"/>
    <xf numFmtId="166" fontId="42" fillId="0" borderId="19" xfId="1" applyNumberFormat="1" applyBorder="1"/>
    <xf numFmtId="164" fontId="49" fillId="0" borderId="45" xfId="1" applyNumberFormat="1" applyFont="1" applyBorder="1" applyAlignment="1">
      <alignment horizontal="center"/>
    </xf>
    <xf numFmtId="165" fontId="42" fillId="0" borderId="16" xfId="1" applyNumberFormat="1" applyBorder="1"/>
    <xf numFmtId="166" fontId="42" fillId="0" borderId="16" xfId="1" applyNumberFormat="1" applyBorder="1"/>
    <xf numFmtId="164" fontId="49" fillId="0" borderId="25" xfId="1" applyNumberFormat="1" applyFont="1" applyBorder="1" applyAlignment="1">
      <alignment horizontal="right"/>
    </xf>
    <xf numFmtId="170" fontId="42" fillId="0" borderId="65" xfId="1" applyNumberFormat="1" applyBorder="1" applyAlignment="1">
      <alignment horizontal="right"/>
    </xf>
    <xf numFmtId="172" fontId="49" fillId="0" borderId="45" xfId="1" applyNumberFormat="1" applyFont="1" applyBorder="1" applyAlignment="1">
      <alignment horizontal="right"/>
    </xf>
    <xf numFmtId="164" fontId="42" fillId="0" borderId="65" xfId="1" applyNumberFormat="1" applyBorder="1" applyAlignment="1">
      <alignment horizontal="right"/>
    </xf>
    <xf numFmtId="172" fontId="49" fillId="0" borderId="15" xfId="1" applyNumberFormat="1" applyFont="1" applyBorder="1"/>
    <xf numFmtId="0" fontId="49" fillId="0" borderId="45" xfId="3" applyFont="1" applyBorder="1" applyAlignment="1">
      <alignment horizontal="center"/>
    </xf>
    <xf numFmtId="166" fontId="49" fillId="0" borderId="45" xfId="3" applyNumberFormat="1" applyFont="1" applyBorder="1" applyAlignment="1">
      <alignment horizontal="center"/>
    </xf>
    <xf numFmtId="166" fontId="42" fillId="0" borderId="0" xfId="3" applyNumberFormat="1" applyFont="1" applyAlignment="1">
      <alignment horizontal="center"/>
    </xf>
    <xf numFmtId="0" fontId="42" fillId="0" borderId="0" xfId="3" quotePrefix="1" applyFont="1" applyAlignment="1">
      <alignment horizontal="center"/>
    </xf>
    <xf numFmtId="169" fontId="42" fillId="0" borderId="0" xfId="3" applyNumberFormat="1" applyFont="1" applyAlignment="1">
      <alignment horizontal="center"/>
    </xf>
    <xf numFmtId="170" fontId="42" fillId="0" borderId="0" xfId="3" applyNumberFormat="1" applyFont="1" applyAlignment="1">
      <alignment horizontal="center"/>
    </xf>
    <xf numFmtId="164" fontId="42" fillId="0" borderId="0" xfId="3" applyNumberFormat="1" applyFont="1"/>
    <xf numFmtId="170" fontId="42" fillId="0" borderId="45" xfId="3" quotePrefix="1" applyNumberFormat="1" applyFont="1" applyBorder="1"/>
    <xf numFmtId="170" fontId="49" fillId="0" borderId="45" xfId="3" applyNumberFormat="1" applyFont="1" applyBorder="1"/>
    <xf numFmtId="170" fontId="42" fillId="0" borderId="45" xfId="3" applyNumberFormat="1" applyFont="1" applyBorder="1"/>
    <xf numFmtId="170" fontId="42"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2" fillId="0" borderId="0" xfId="1" applyNumberFormat="1" applyAlignment="1">
      <alignment horizontal="right" vertical="center"/>
    </xf>
    <xf numFmtId="170" fontId="42" fillId="0" borderId="17" xfId="1" applyNumberFormat="1" applyBorder="1" applyAlignment="1">
      <alignment horizontal="right" vertical="center"/>
    </xf>
    <xf numFmtId="170" fontId="42" fillId="0" borderId="0" xfId="4" applyNumberFormat="1" applyFont="1" applyFill="1"/>
    <xf numFmtId="170" fontId="49" fillId="0" borderId="45" xfId="17915" applyNumberFormat="1" applyFont="1" applyBorder="1" applyAlignment="1"/>
    <xf numFmtId="170" fontId="49" fillId="0" borderId="45" xfId="17915" applyNumberFormat="1" applyFont="1" applyFill="1" applyBorder="1" applyAlignment="1"/>
    <xf numFmtId="169" fontId="42" fillId="0" borderId="17" xfId="1" applyNumberFormat="1" applyBorder="1"/>
    <xf numFmtId="172" fontId="42" fillId="0" borderId="0" xfId="1933" applyNumberFormat="1" applyFont="1" applyFill="1" applyBorder="1" applyAlignment="1" applyProtection="1"/>
    <xf numFmtId="169" fontId="42" fillId="0" borderId="0" xfId="49849" applyNumberFormat="1" applyFont="1" applyFill="1" applyBorder="1" applyAlignment="1" applyProtection="1"/>
    <xf numFmtId="164" fontId="49" fillId="0" borderId="25" xfId="0" applyFont="1" applyBorder="1" applyProtection="1">
      <protection locked="0"/>
    </xf>
    <xf numFmtId="170" fontId="42" fillId="0" borderId="0" xfId="1" quotePrefix="1" applyNumberFormat="1" applyAlignment="1">
      <alignment horizontal="left"/>
    </xf>
    <xf numFmtId="170" fontId="42" fillId="0" borderId="45" xfId="17915" applyNumberFormat="1" applyFont="1" applyFill="1" applyBorder="1" applyAlignment="1">
      <alignment horizontal="center"/>
    </xf>
    <xf numFmtId="170" fontId="42" fillId="0" borderId="0" xfId="17915" applyNumberFormat="1" applyFont="1" applyFill="1" applyBorder="1" applyAlignment="1">
      <alignment horizontal="center"/>
    </xf>
    <xf numFmtId="0" fontId="65" fillId="0" borderId="64" xfId="833" applyFont="1" applyBorder="1"/>
    <xf numFmtId="177" fontId="70" fillId="0" borderId="61" xfId="833" applyNumberFormat="1" applyFont="1" applyBorder="1" applyAlignment="1">
      <alignment horizontal="right"/>
    </xf>
    <xf numFmtId="177" fontId="65" fillId="0" borderId="64" xfId="833" applyNumberFormat="1" applyFont="1" applyBorder="1"/>
    <xf numFmtId="184" fontId="65" fillId="0" borderId="64" xfId="833" applyNumberFormat="1" applyFont="1" applyBorder="1"/>
    <xf numFmtId="0" fontId="70" fillId="0" borderId="64" xfId="833" applyFont="1" applyBorder="1"/>
    <xf numFmtId="0" fontId="48" fillId="0" borderId="10" xfId="0" applyNumberFormat="1" applyFont="1" applyBorder="1" applyAlignment="1">
      <alignment horizontal="center"/>
    </xf>
    <xf numFmtId="43" fontId="48" fillId="0" borderId="10" xfId="9958" quotePrefix="1" applyNumberFormat="1" applyFont="1" applyBorder="1" applyAlignment="1">
      <alignment horizontal="center"/>
    </xf>
    <xf numFmtId="189" fontId="42" fillId="0" borderId="64" xfId="8" applyNumberFormat="1" applyFont="1" applyFill="1" applyBorder="1" applyAlignment="1"/>
    <xf numFmtId="41" fontId="42" fillId="0" borderId="65" xfId="8" applyNumberFormat="1" applyFont="1" applyFill="1" applyBorder="1" applyAlignment="1"/>
    <xf numFmtId="41" fontId="49" fillId="0" borderId="10" xfId="837" applyNumberFormat="1" applyFont="1" applyBorder="1"/>
    <xf numFmtId="43" fontId="49" fillId="0" borderId="10" xfId="1769" applyNumberFormat="1" applyFont="1" applyBorder="1" applyAlignment="1">
      <alignment horizontal="right"/>
    </xf>
    <xf numFmtId="44" fontId="49" fillId="0" borderId="15" xfId="1769" applyNumberFormat="1" applyFont="1" applyBorder="1" applyAlignment="1">
      <alignment horizontal="right"/>
    </xf>
    <xf numFmtId="164" fontId="70" fillId="0" borderId="10" xfId="0" applyFont="1" applyBorder="1" applyAlignment="1">
      <alignment horizontal="center"/>
    </xf>
    <xf numFmtId="41" fontId="49" fillId="0" borderId="61" xfId="736" applyNumberFormat="1" applyFont="1" applyBorder="1"/>
    <xf numFmtId="42" fontId="95" fillId="0" borderId="15" xfId="736" applyNumberFormat="1" applyFont="1" applyBorder="1"/>
    <xf numFmtId="0" fontId="3" fillId="0" borderId="0" xfId="838" applyFont="1"/>
    <xf numFmtId="41" fontId="42" fillId="0" borderId="65" xfId="8" applyNumberFormat="1" applyFont="1" applyBorder="1" applyAlignment="1"/>
    <xf numFmtId="42" fontId="146" fillId="0" borderId="15" xfId="837" applyNumberFormat="1" applyFont="1" applyBorder="1"/>
    <xf numFmtId="0" fontId="47" fillId="0" borderId="61" xfId="857" applyFont="1" applyBorder="1"/>
    <xf numFmtId="0" fontId="139" fillId="0" borderId="61" xfId="857" applyFont="1" applyBorder="1"/>
    <xf numFmtId="0" fontId="47" fillId="0" borderId="61" xfId="857" applyFont="1" applyBorder="1" applyAlignment="1">
      <alignment horizontal="left"/>
    </xf>
    <xf numFmtId="170" fontId="49" fillId="0" borderId="25" xfId="3" applyNumberFormat="1" applyFont="1" applyBorder="1"/>
    <xf numFmtId="170" fontId="49" fillId="0" borderId="26" xfId="1" applyNumberFormat="1" applyFont="1" applyBorder="1"/>
    <xf numFmtId="172" fontId="49" fillId="0" borderId="25" xfId="0" applyNumberFormat="1" applyFont="1" applyBorder="1"/>
    <xf numFmtId="170" fontId="42" fillId="0" borderId="26" xfId="5509" applyNumberFormat="1" applyFont="1" applyBorder="1"/>
    <xf numFmtId="170" fontId="42" fillId="0" borderId="26" xfId="3" applyNumberFormat="1" applyFont="1" applyBorder="1"/>
    <xf numFmtId="170" fontId="42" fillId="0" borderId="26" xfId="3" applyNumberFormat="1" applyFont="1" applyBorder="1" applyAlignment="1">
      <alignment horizontal="center"/>
    </xf>
    <xf numFmtId="166" fontId="42" fillId="0" borderId="26" xfId="3" applyNumberFormat="1" applyFont="1" applyBorder="1"/>
    <xf numFmtId="166" fontId="42" fillId="0" borderId="26" xfId="3" applyNumberFormat="1" applyFont="1" applyBorder="1" applyAlignment="1">
      <alignment horizontal="right"/>
    </xf>
    <xf numFmtId="170" fontId="62" fillId="0" borderId="19" xfId="1" applyNumberFormat="1" applyFont="1" applyBorder="1"/>
    <xf numFmtId="170" fontId="203" fillId="0" borderId="0" xfId="0" quotePrefix="1" applyNumberFormat="1" applyFont="1" applyAlignment="1">
      <alignment horizontal="right"/>
    </xf>
    <xf numFmtId="174" fontId="42" fillId="0" borderId="16" xfId="1" applyNumberFormat="1" applyBorder="1"/>
    <xf numFmtId="174" fontId="49" fillId="0" borderId="16" xfId="1" applyNumberFormat="1" applyFont="1" applyBorder="1"/>
    <xf numFmtId="170" fontId="0" fillId="0" borderId="0" xfId="0" applyNumberFormat="1" applyAlignment="1" applyProtection="1">
      <alignment horizontal="right"/>
      <protection locked="0"/>
    </xf>
    <xf numFmtId="0" fontId="204" fillId="0" borderId="0" xfId="1" quotePrefix="1" applyFont="1" applyAlignment="1">
      <alignment horizontal="center"/>
    </xf>
    <xf numFmtId="3" fontId="49" fillId="0" borderId="0" xfId="1" applyNumberFormat="1" applyFont="1" applyAlignment="1">
      <alignment horizontal="center"/>
    </xf>
    <xf numFmtId="3" fontId="42" fillId="0" borderId="64" xfId="1" applyNumberFormat="1" applyBorder="1"/>
    <xf numFmtId="170" fontId="82" fillId="0" borderId="0" xfId="1" applyNumberFormat="1" applyFont="1"/>
    <xf numFmtId="165" fontId="45" fillId="0" borderId="0" xfId="1" applyNumberFormat="1" applyFont="1"/>
    <xf numFmtId="0" fontId="206" fillId="0" borderId="0" xfId="1" applyFont="1"/>
    <xf numFmtId="170" fontId="158" fillId="0" borderId="0" xfId="5509" applyNumberFormat="1" applyFont="1"/>
    <xf numFmtId="165" fontId="158" fillId="0" borderId="0" xfId="1" applyNumberFormat="1" applyFont="1"/>
    <xf numFmtId="165" fontId="207" fillId="0" borderId="0" xfId="1" applyNumberFormat="1" applyFont="1"/>
    <xf numFmtId="164" fontId="158" fillId="0" borderId="0" xfId="0" applyFont="1"/>
    <xf numFmtId="170" fontId="158" fillId="0" borderId="0" xfId="4" applyNumberFormat="1" applyFont="1" applyFill="1" applyProtection="1"/>
    <xf numFmtId="170" fontId="158" fillId="0" borderId="0" xfId="4" applyNumberFormat="1" applyFont="1" applyFill="1" applyBorder="1" applyProtection="1"/>
    <xf numFmtId="170" fontId="158" fillId="0" borderId="0" xfId="1" quotePrefix="1" applyNumberFormat="1" applyFont="1" applyAlignment="1">
      <alignment horizontal="right"/>
    </xf>
    <xf numFmtId="170" fontId="158" fillId="0" borderId="17" xfId="1" applyNumberFormat="1" applyFont="1" applyBorder="1"/>
    <xf numFmtId="170" fontId="158" fillId="0" borderId="0" xfId="1" applyNumberFormat="1" applyFont="1" applyAlignment="1">
      <alignment horizontal="right"/>
    </xf>
    <xf numFmtId="170" fontId="158" fillId="0" borderId="27" xfId="1" applyNumberFormat="1" applyFont="1" applyBorder="1"/>
    <xf numFmtId="170" fontId="208" fillId="0" borderId="0" xfId="1" applyNumberFormat="1" applyFont="1"/>
    <xf numFmtId="165" fontId="84" fillId="0" borderId="0" xfId="1" applyNumberFormat="1" applyFont="1"/>
    <xf numFmtId="170" fontId="203" fillId="0" borderId="0" xfId="1" applyNumberFormat="1" applyFont="1" applyAlignment="1">
      <alignment horizontal="center"/>
    </xf>
    <xf numFmtId="166" fontId="49" fillId="0" borderId="0" xfId="3" applyNumberFormat="1" applyFont="1"/>
    <xf numFmtId="170" fontId="42" fillId="0" borderId="0" xfId="5509" quotePrefix="1" applyNumberFormat="1" applyFont="1" applyAlignment="1">
      <alignment horizontal="right"/>
    </xf>
    <xf numFmtId="166" fontId="158" fillId="0" borderId="0" xfId="1" applyNumberFormat="1" applyFont="1"/>
    <xf numFmtId="165" fontId="87" fillId="0" borderId="0" xfId="1" applyNumberFormat="1" applyFont="1"/>
    <xf numFmtId="169" fontId="42" fillId="0" borderId="0" xfId="1" quotePrefix="1" applyNumberFormat="1" applyAlignment="1">
      <alignment horizontal="right"/>
    </xf>
    <xf numFmtId="170" fontId="87" fillId="0" borderId="0" xfId="1" applyNumberFormat="1" applyFont="1"/>
    <xf numFmtId="170" fontId="49" fillId="0" borderId="23" xfId="1" applyNumberFormat="1" applyFont="1" applyBorder="1"/>
    <xf numFmtId="165" fontId="89" fillId="0" borderId="0" xfId="1" applyNumberFormat="1" applyFont="1" applyAlignment="1">
      <alignment horizontal="left"/>
    </xf>
    <xf numFmtId="177" fontId="49" fillId="0" borderId="23" xfId="737" applyNumberFormat="1" applyFont="1" applyBorder="1" applyAlignment="1">
      <alignment horizontal="center"/>
    </xf>
    <xf numFmtId="177" fontId="49" fillId="0" borderId="10" xfId="737" applyNumberFormat="1" applyFont="1" applyBorder="1" applyAlignment="1">
      <alignment horizontal="center"/>
    </xf>
    <xf numFmtId="180" fontId="42" fillId="0" borderId="0" xfId="737" applyNumberFormat="1" applyFont="1"/>
    <xf numFmtId="177" fontId="42" fillId="0" borderId="0" xfId="737" quotePrefix="1" applyNumberFormat="1" applyFont="1"/>
    <xf numFmtId="180" fontId="96" fillId="0" borderId="0" xfId="737" applyNumberFormat="1" applyFont="1"/>
    <xf numFmtId="0" fontId="57" fillId="0" borderId="0" xfId="833" applyFont="1"/>
    <xf numFmtId="183" fontId="70" fillId="0" borderId="0" xfId="833" quotePrefix="1" applyNumberFormat="1" applyFont="1" applyAlignment="1">
      <alignment horizontal="center"/>
    </xf>
    <xf numFmtId="0" fontId="66" fillId="0" borderId="64" xfId="833" applyFont="1" applyBorder="1"/>
    <xf numFmtId="184" fontId="65" fillId="0" borderId="0" xfId="833" applyNumberFormat="1" applyFont="1" applyAlignment="1">
      <alignment horizontal="right"/>
    </xf>
    <xf numFmtId="39" fontId="79" fillId="0" borderId="0" xfId="833" applyNumberFormat="1" applyFont="1"/>
    <xf numFmtId="180" fontId="79" fillId="0" borderId="0" xfId="833" applyNumberFormat="1" applyFont="1"/>
    <xf numFmtId="180" fontId="79" fillId="0" borderId="0" xfId="833" applyNumberFormat="1" applyFont="1" applyAlignment="1">
      <alignment horizontal="left"/>
    </xf>
    <xf numFmtId="184" fontId="65" fillId="0" borderId="0" xfId="833" quotePrefix="1" applyNumberFormat="1" applyFont="1" applyAlignment="1">
      <alignment horizontal="center"/>
    </xf>
    <xf numFmtId="176" fontId="79" fillId="0" borderId="0" xfId="833" applyNumberFormat="1" applyFont="1"/>
    <xf numFmtId="173" fontId="65" fillId="0" borderId="0" xfId="833" applyNumberFormat="1" applyFont="1" applyProtection="1">
      <protection locked="0"/>
    </xf>
    <xf numFmtId="176" fontId="65" fillId="0" borderId="0" xfId="833" applyNumberFormat="1" applyFont="1" applyProtection="1">
      <protection locked="0"/>
    </xf>
    <xf numFmtId="176" fontId="65" fillId="0" borderId="0" xfId="833" applyNumberFormat="1" applyFont="1" applyAlignment="1" applyProtection="1">
      <alignment horizontal="right"/>
      <protection locked="0"/>
    </xf>
    <xf numFmtId="176" fontId="65" fillId="0" borderId="0" xfId="833" applyNumberFormat="1" applyFont="1" applyAlignment="1">
      <alignment horizontal="center"/>
    </xf>
    <xf numFmtId="0" fontId="47" fillId="0" borderId="0" xfId="9958" applyFont="1" applyAlignment="1">
      <alignment horizontal="center"/>
    </xf>
    <xf numFmtId="0" fontId="48" fillId="0" borderId="10" xfId="9958" applyFont="1" applyBorder="1" applyAlignment="1">
      <alignment horizontal="centerContinuous"/>
    </xf>
    <xf numFmtId="0" fontId="172" fillId="0" borderId="0" xfId="9958"/>
    <xf numFmtId="0" fontId="47" fillId="0" borderId="59" xfId="9958" applyFont="1" applyBorder="1"/>
    <xf numFmtId="0" fontId="48" fillId="0" borderId="0" xfId="9958" applyFont="1" applyAlignment="1">
      <alignment horizontal="centerContinuous" vertical="top"/>
    </xf>
    <xf numFmtId="0" fontId="48" fillId="0" borderId="0" xfId="9958" applyFont="1" applyAlignment="1">
      <alignment horizontal="centerContinuous"/>
    </xf>
    <xf numFmtId="0" fontId="47" fillId="0" borderId="13" xfId="9958" applyFont="1" applyBorder="1"/>
    <xf numFmtId="0" fontId="47" fillId="0" borderId="0" xfId="9958" applyFont="1"/>
    <xf numFmtId="185" fontId="48" fillId="0" borderId="10" xfId="9958"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37" quotePrefix="1" applyNumberFormat="1" applyFont="1" applyBorder="1" applyAlignment="1">
      <alignment horizontal="right"/>
    </xf>
    <xf numFmtId="39" fontId="49" fillId="0" borderId="0" xfId="0" applyNumberFormat="1" applyFont="1" applyAlignment="1">
      <alignment horizontal="center"/>
    </xf>
    <xf numFmtId="43" fontId="49" fillId="0" borderId="54" xfId="17915" applyFont="1" applyFill="1" applyBorder="1" applyAlignment="1" applyProtection="1">
      <alignment horizontal="right"/>
    </xf>
    <xf numFmtId="164" fontId="42" fillId="0" borderId="0" xfId="737" applyNumberFormat="1" applyFont="1"/>
    <xf numFmtId="164" fontId="97" fillId="0" borderId="0" xfId="737" applyNumberFormat="1"/>
    <xf numFmtId="7" fontId="49" fillId="0" borderId="0" xfId="737" applyNumberFormat="1" applyFont="1" applyAlignment="1">
      <alignment horizontal="right"/>
    </xf>
    <xf numFmtId="4" fontId="100" fillId="0" borderId="0" xfId="0" applyNumberFormat="1" applyFont="1" applyAlignment="1">
      <alignment horizontal="left"/>
    </xf>
    <xf numFmtId="0" fontId="6" fillId="0" borderId="0" xfId="838" applyFont="1"/>
    <xf numFmtId="4" fontId="113" fillId="0" borderId="0" xfId="1025" applyNumberFormat="1" applyFont="1" applyAlignment="1">
      <alignment horizontal="right"/>
    </xf>
    <xf numFmtId="39" fontId="48" fillId="0" borderId="0" xfId="1025" applyNumberFormat="1" applyFont="1"/>
    <xf numFmtId="4" fontId="113" fillId="0" borderId="0" xfId="1025" applyNumberFormat="1" applyFont="1"/>
    <xf numFmtId="39" fontId="113" fillId="0" borderId="0" xfId="1025" applyNumberFormat="1" applyFont="1" applyAlignment="1">
      <alignment horizontal="right"/>
    </xf>
    <xf numFmtId="4" fontId="86" fillId="0" borderId="0" xfId="1025" applyNumberFormat="1" applyFont="1"/>
    <xf numFmtId="39" fontId="113" fillId="0" borderId="0" xfId="1025" applyNumberFormat="1" applyFont="1"/>
    <xf numFmtId="4" fontId="113" fillId="0" borderId="0" xfId="1025" quotePrefix="1" applyNumberFormat="1" applyFont="1" applyAlignment="1">
      <alignment horizontal="left"/>
    </xf>
    <xf numFmtId="39" fontId="113" fillId="0" borderId="0" xfId="1025" quotePrefix="1" applyNumberFormat="1" applyFont="1" applyAlignment="1">
      <alignment horizontal="left"/>
    </xf>
    <xf numFmtId="4" fontId="47" fillId="0" borderId="0" xfId="1025" applyNumberFormat="1" applyFont="1" applyAlignment="1">
      <alignment horizontal="right"/>
    </xf>
    <xf numFmtId="1" fontId="49" fillId="0" borderId="0" xfId="1025" applyNumberFormat="1" applyFont="1"/>
    <xf numFmtId="44" fontId="114" fillId="0" borderId="0" xfId="838" applyNumberFormat="1" applyFont="1"/>
    <xf numFmtId="164" fontId="203" fillId="0" borderId="0" xfId="0" applyFont="1"/>
    <xf numFmtId="170" fontId="203" fillId="0" borderId="0" xfId="0" applyNumberFormat="1" applyFont="1" applyAlignment="1">
      <alignment horizontal="right"/>
    </xf>
    <xf numFmtId="170" fontId="203" fillId="0" borderId="0" xfId="1" applyNumberFormat="1" applyFont="1"/>
    <xf numFmtId="164" fontId="49" fillId="0" borderId="69" xfId="1" quotePrefix="1" applyNumberFormat="1" applyFont="1" applyBorder="1"/>
    <xf numFmtId="170" fontId="203" fillId="0" borderId="0" xfId="1" applyNumberFormat="1" applyFont="1" applyAlignment="1">
      <alignment horizontal="right"/>
    </xf>
    <xf numFmtId="165" fontId="152" fillId="0" borderId="0" xfId="1" applyNumberFormat="1" applyFont="1"/>
    <xf numFmtId="170" fontId="42" fillId="0" borderId="0" xfId="17915" applyNumberFormat="1" applyFont="1" applyFill="1" applyAlignment="1"/>
    <xf numFmtId="41" fontId="204" fillId="0" borderId="61" xfId="837" applyNumberFormat="1" applyFont="1" applyBorder="1"/>
    <xf numFmtId="0" fontId="209" fillId="0" borderId="0" xfId="1" applyFont="1"/>
    <xf numFmtId="165" fontId="203" fillId="0" borderId="0" xfId="0" applyNumberFormat="1" applyFont="1" applyAlignment="1">
      <alignment horizontal="left"/>
    </xf>
    <xf numFmtId="0" fontId="203" fillId="0" borderId="0" xfId="1" applyFont="1"/>
    <xf numFmtId="170" fontId="203" fillId="0" borderId="0" xfId="5509" applyNumberFormat="1" applyFont="1"/>
    <xf numFmtId="170" fontId="203" fillId="0" borderId="0" xfId="1" quotePrefix="1" applyNumberFormat="1" applyFont="1"/>
    <xf numFmtId="170" fontId="203" fillId="0" borderId="16" xfId="1" applyNumberFormat="1" applyFont="1" applyBorder="1"/>
    <xf numFmtId="165" fontId="203" fillId="0" borderId="0" xfId="1" applyNumberFormat="1" applyFont="1"/>
    <xf numFmtId="165" fontId="219" fillId="0" borderId="14" xfId="1" applyNumberFormat="1" applyFont="1" applyBorder="1"/>
    <xf numFmtId="165" fontId="205" fillId="0" borderId="0" xfId="1" applyNumberFormat="1" applyFont="1"/>
    <xf numFmtId="165" fontId="219" fillId="0" borderId="0" xfId="1" applyNumberFormat="1" applyFont="1"/>
    <xf numFmtId="170" fontId="203" fillId="0" borderId="0" xfId="4" applyNumberFormat="1" applyFont="1" applyFill="1" applyProtection="1"/>
    <xf numFmtId="170" fontId="203" fillId="0" borderId="0" xfId="0" applyNumberFormat="1" applyFont="1" applyAlignment="1" applyProtection="1">
      <alignment horizontal="right"/>
      <protection locked="0"/>
    </xf>
    <xf numFmtId="170" fontId="203" fillId="0" borderId="27" xfId="1" applyNumberFormat="1" applyFont="1" applyBorder="1"/>
    <xf numFmtId="166" fontId="49" fillId="0" borderId="74" xfId="1" applyNumberFormat="1" applyFont="1" applyBorder="1"/>
    <xf numFmtId="170" fontId="63" fillId="0" borderId="74" xfId="1" applyNumberFormat="1" applyFont="1" applyBorder="1"/>
    <xf numFmtId="164" fontId="42" fillId="0" borderId="0" xfId="0" applyFont="1" applyAlignment="1">
      <alignment horizontal="center"/>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0" borderId="45" xfId="1" applyFont="1" applyBorder="1" applyAlignment="1" applyProtection="1">
      <alignment horizontal="center"/>
      <protection locked="0"/>
    </xf>
    <xf numFmtId="166" fontId="49" fillId="0" borderId="45" xfId="1" applyNumberFormat="1" applyFont="1" applyBorder="1" applyAlignment="1">
      <alignment horizontal="center"/>
    </xf>
    <xf numFmtId="0" fontId="49" fillId="0" borderId="45" xfId="1" quotePrefix="1" applyFont="1" applyBorder="1" applyAlignment="1">
      <alignment horizontal="center"/>
    </xf>
    <xf numFmtId="0" fontId="85" fillId="0" borderId="0" xfId="3"/>
    <xf numFmtId="0" fontId="49" fillId="0" borderId="45" xfId="3" quotePrefix="1" applyFont="1" applyBorder="1" applyAlignment="1">
      <alignment horizontal="center"/>
    </xf>
    <xf numFmtId="0" fontId="0" fillId="0" borderId="45" xfId="1" applyFont="1" applyBorder="1"/>
    <xf numFmtId="180" fontId="47" fillId="0" borderId="0" xfId="1769" applyNumberFormat="1" applyFont="1" applyAlignment="1">
      <alignment horizontal="left" vertical="top" wrapText="1"/>
    </xf>
    <xf numFmtId="3" fontId="203" fillId="0" borderId="0" xfId="1" applyNumberFormat="1" applyFont="1"/>
    <xf numFmtId="166" fontId="203" fillId="0" borderId="0" xfId="1" applyNumberFormat="1" applyFont="1"/>
    <xf numFmtId="166" fontId="42" fillId="0" borderId="27" xfId="1" applyNumberFormat="1" applyBorder="1" applyAlignment="1">
      <alignment horizontal="center"/>
    </xf>
    <xf numFmtId="166" fontId="42" fillId="0" borderId="27" xfId="1" applyNumberFormat="1" applyBorder="1"/>
    <xf numFmtId="170" fontId="63" fillId="0" borderId="75" xfId="1" applyNumberFormat="1" applyFont="1" applyBorder="1"/>
    <xf numFmtId="170" fontId="62" fillId="0" borderId="75" xfId="1" applyNumberFormat="1" applyFont="1" applyBorder="1"/>
    <xf numFmtId="170" fontId="42" fillId="0" borderId="76" xfId="1" quotePrefix="1" applyNumberFormat="1" applyBorder="1"/>
    <xf numFmtId="170" fontId="42" fillId="0" borderId="76" xfId="1" applyNumberFormat="1" applyBorder="1"/>
    <xf numFmtId="170" fontId="42" fillId="0" borderId="76" xfId="1" applyNumberFormat="1" applyBorder="1" applyAlignment="1">
      <alignment horizontal="right"/>
    </xf>
    <xf numFmtId="170" fontId="49" fillId="0" borderId="76" xfId="1" applyNumberFormat="1" applyFont="1" applyBorder="1"/>
    <xf numFmtId="165" fontId="42" fillId="0" borderId="76" xfId="1" applyNumberFormat="1" applyBorder="1"/>
    <xf numFmtId="174" fontId="49" fillId="0" borderId="76" xfId="3" applyNumberFormat="1" applyFont="1" applyBorder="1"/>
    <xf numFmtId="0" fontId="42" fillId="0" borderId="76" xfId="3" applyFont="1" applyBorder="1"/>
    <xf numFmtId="166" fontId="42" fillId="0" borderId="76" xfId="3" applyNumberFormat="1" applyFont="1" applyBorder="1"/>
    <xf numFmtId="170" fontId="42" fillId="0" borderId="76" xfId="3" applyNumberFormat="1" applyFont="1" applyBorder="1"/>
    <xf numFmtId="170" fontId="49" fillId="0" borderId="76" xfId="3" applyNumberFormat="1" applyFont="1" applyBorder="1"/>
    <xf numFmtId="174" fontId="49" fillId="0" borderId="76" xfId="1" applyNumberFormat="1" applyFont="1" applyBorder="1"/>
    <xf numFmtId="166" fontId="42" fillId="0" borderId="76" xfId="1" applyNumberFormat="1" applyBorder="1"/>
    <xf numFmtId="170" fontId="42" fillId="0" borderId="76" xfId="1" applyNumberFormat="1" applyBorder="1" applyAlignment="1">
      <alignment horizontal="center"/>
    </xf>
    <xf numFmtId="170" fontId="49" fillId="0" borderId="76" xfId="49849" applyNumberFormat="1" applyFont="1" applyFill="1" applyBorder="1" applyAlignment="1" applyProtection="1"/>
    <xf numFmtId="49" fontId="49" fillId="0" borderId="29" xfId="73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69" applyNumberFormat="1" applyFont="1" applyBorder="1" applyAlignment="1">
      <alignment horizontal="center"/>
    </xf>
    <xf numFmtId="43" fontId="42" fillId="0" borderId="45" xfId="1769" applyNumberFormat="1" applyBorder="1" applyAlignment="1">
      <alignment horizontal="right"/>
    </xf>
    <xf numFmtId="43" fontId="49" fillId="0" borderId="45" xfId="1769" applyNumberFormat="1" applyFont="1" applyBorder="1"/>
    <xf numFmtId="44" fontId="49" fillId="0" borderId="51" xfId="1769" applyNumberFormat="1" applyFont="1" applyBorder="1"/>
    <xf numFmtId="43" fontId="42" fillId="0" borderId="45" xfId="1769" applyNumberFormat="1" applyBorder="1"/>
    <xf numFmtId="43" fontId="49" fillId="0" borderId="45" xfId="1769" applyNumberFormat="1" applyFont="1" applyBorder="1" applyAlignment="1">
      <alignment horizontal="right"/>
    </xf>
    <xf numFmtId="44" fontId="49" fillId="0" borderId="51" xfId="1769" applyNumberFormat="1" applyFont="1" applyBorder="1" applyAlignment="1">
      <alignment horizontal="right"/>
    </xf>
    <xf numFmtId="41" fontId="42" fillId="0" borderId="45" xfId="837" applyNumberFormat="1" applyFont="1" applyBorder="1"/>
    <xf numFmtId="41" fontId="42" fillId="0" borderId="61" xfId="837" applyNumberFormat="1" applyFont="1" applyBorder="1"/>
    <xf numFmtId="0" fontId="42" fillId="0" borderId="45" xfId="14" applyNumberFormat="1" applyBorder="1" applyAlignment="1">
      <alignment horizontal="center"/>
    </xf>
    <xf numFmtId="44" fontId="42" fillId="0" borderId="0" xfId="25858" applyFont="1" applyFill="1" applyBorder="1"/>
    <xf numFmtId="43" fontId="42" fillId="0" borderId="0" xfId="25859" applyFont="1" applyFill="1" applyBorder="1"/>
    <xf numFmtId="43" fontId="158" fillId="0" borderId="0" xfId="737" applyNumberFormat="1" applyFont="1"/>
    <xf numFmtId="43" fontId="159" fillId="0" borderId="0" xfId="737" applyNumberFormat="1" applyFont="1" applyAlignment="1">
      <alignment horizontal="center"/>
    </xf>
    <xf numFmtId="43" fontId="159" fillId="0" borderId="0" xfId="737" quotePrefix="1" applyNumberFormat="1" applyFont="1" applyAlignment="1">
      <alignment horizontal="center"/>
    </xf>
    <xf numFmtId="43" fontId="158" fillId="0" borderId="0" xfId="737" applyNumberFormat="1" applyFont="1" applyAlignment="1">
      <alignment horizontal="left"/>
    </xf>
    <xf numFmtId="43" fontId="158" fillId="0" borderId="0" xfId="737" quotePrefix="1" applyNumberFormat="1" applyFont="1" applyAlignment="1">
      <alignment horizontal="center"/>
    </xf>
    <xf numFmtId="43" fontId="158" fillId="0" borderId="0" xfId="737" applyNumberFormat="1" applyFont="1" applyAlignment="1">
      <alignment horizontal="center"/>
    </xf>
    <xf numFmtId="43" fontId="159" fillId="0" borderId="0" xfId="737" applyNumberFormat="1" applyFont="1" applyAlignment="1">
      <alignment horizontal="right"/>
    </xf>
    <xf numFmtId="43" fontId="158" fillId="0" borderId="0" xfId="737" applyNumberFormat="1" applyFont="1" applyAlignment="1">
      <alignment horizontal="right"/>
    </xf>
    <xf numFmtId="181" fontId="207" fillId="0" borderId="0" xfId="0" applyNumberFormat="1" applyFont="1"/>
    <xf numFmtId="200" fontId="48" fillId="0" borderId="0" xfId="1" applyNumberFormat="1" applyFont="1"/>
    <xf numFmtId="200" fontId="221" fillId="0" borderId="0" xfId="1" applyNumberFormat="1" applyFont="1"/>
    <xf numFmtId="168" fontId="42" fillId="0" borderId="0" xfId="1" quotePrefix="1" applyNumberFormat="1"/>
    <xf numFmtId="44" fontId="109" fillId="0" borderId="54" xfId="49849" applyFont="1" applyBorder="1"/>
    <xf numFmtId="164" fontId="109" fillId="0" borderId="45" xfId="0" applyFont="1" applyBorder="1" applyAlignment="1">
      <alignment horizontal="center" wrapText="1"/>
    </xf>
    <xf numFmtId="43" fontId="48" fillId="0" borderId="0" xfId="9958" quotePrefix="1" applyNumberFormat="1" applyFont="1" applyAlignment="1">
      <alignment horizontal="center"/>
    </xf>
    <xf numFmtId="42" fontId="48" fillId="0" borderId="0" xfId="0" applyNumberFormat="1" applyFont="1" applyAlignment="1">
      <alignment horizontal="right"/>
    </xf>
    <xf numFmtId="165" fontId="47" fillId="0" borderId="0" xfId="1" applyNumberFormat="1" applyFont="1" applyAlignment="1">
      <alignment horizontal="centerContinuous"/>
    </xf>
    <xf numFmtId="170" fontId="67" fillId="0" borderId="0" xfId="1" applyNumberFormat="1" applyFont="1" applyAlignment="1">
      <alignment horizontal="right"/>
    </xf>
    <xf numFmtId="43" fontId="42" fillId="0" borderId="0" xfId="17915" applyFont="1" applyFill="1" applyAlignment="1" applyProtection="1">
      <alignment horizontal="center"/>
    </xf>
    <xf numFmtId="189" fontId="2" fillId="0" borderId="64" xfId="8" applyNumberFormat="1" applyFont="1" applyFill="1" applyBorder="1" applyAlignment="1"/>
    <xf numFmtId="0" fontId="175" fillId="0" borderId="0" xfId="25853"/>
    <xf numFmtId="0" fontId="40" fillId="0" borderId="0" xfId="25853" applyFont="1" applyAlignment="1">
      <alignment horizontal="left"/>
    </xf>
    <xf numFmtId="43" fontId="175" fillId="0" borderId="0" xfId="25853" applyNumberFormat="1"/>
    <xf numFmtId="0" fontId="176" fillId="0" borderId="0" xfId="25853" applyFont="1" applyAlignment="1">
      <alignment horizontal="left"/>
    </xf>
    <xf numFmtId="0" fontId="70" fillId="0" borderId="0" xfId="25853" quotePrefix="1" applyFont="1" applyAlignment="1">
      <alignment horizontal="left"/>
    </xf>
    <xf numFmtId="0" fontId="43" fillId="0" borderId="0" xfId="25853" quotePrefix="1" applyFont="1" applyAlignment="1">
      <alignment horizontal="left"/>
    </xf>
    <xf numFmtId="0" fontId="146" fillId="0" borderId="0" xfId="25853" applyFont="1" applyAlignment="1">
      <alignment horizontal="left"/>
    </xf>
    <xf numFmtId="0" fontId="42" fillId="0" borderId="0" xfId="25853" applyFont="1"/>
    <xf numFmtId="0" fontId="181" fillId="0" borderId="0" xfId="25853" applyFont="1" applyAlignment="1">
      <alignment horizontal="center"/>
    </xf>
    <xf numFmtId="0" fontId="47" fillId="0" borderId="0" xfId="25853" applyFont="1"/>
    <xf numFmtId="0" fontId="42" fillId="0" borderId="0" xfId="25854" applyFont="1" applyBorder="1">
      <alignment horizontal="right"/>
    </xf>
    <xf numFmtId="0" fontId="0" fillId="0" borderId="0" xfId="25854" applyFont="1" applyBorder="1">
      <alignment horizontal="right"/>
    </xf>
    <xf numFmtId="0" fontId="53" fillId="0" borderId="0" xfId="25856" applyFont="1" applyBorder="1" applyAlignment="1">
      <alignment horizontal="left"/>
    </xf>
    <xf numFmtId="0" fontId="42" fillId="0" borderId="0" xfId="25856" applyFont="1"/>
    <xf numFmtId="0" fontId="0" fillId="0" borderId="0" xfId="25856" applyFont="1"/>
    <xf numFmtId="0" fontId="42" fillId="0" borderId="0" xfId="25856" applyFont="1" applyBorder="1" applyAlignment="1">
      <alignment horizontal="left"/>
    </xf>
    <xf numFmtId="0" fontId="158" fillId="0" borderId="0" xfId="25856" applyFont="1"/>
    <xf numFmtId="0" fontId="160" fillId="0" borderId="0" xfId="25862" applyFont="1" applyAlignment="1">
      <alignment horizontal="left" wrapText="1"/>
    </xf>
    <xf numFmtId="0" fontId="146" fillId="0" borderId="0" xfId="25862" applyFont="1"/>
    <xf numFmtId="0" fontId="109" fillId="0" borderId="0" xfId="25853" applyFont="1" applyAlignment="1">
      <alignment horizontal="left"/>
    </xf>
    <xf numFmtId="0" fontId="187" fillId="0" borderId="0" xfId="25853" applyFont="1" applyAlignment="1">
      <alignment horizontal="left" vertical="top"/>
    </xf>
    <xf numFmtId="0" fontId="160" fillId="0" borderId="0" xfId="25853" applyFont="1" applyAlignment="1">
      <alignment horizontal="left" vertical="top"/>
    </xf>
    <xf numFmtId="0" fontId="178" fillId="0" borderId="0" xfId="25853" quotePrefix="1" applyFont="1" applyAlignment="1">
      <alignment horizontal="left"/>
    </xf>
    <xf numFmtId="0" fontId="53" fillId="0" borderId="0" xfId="25853" applyFont="1" applyAlignment="1">
      <alignment horizontal="left"/>
    </xf>
    <xf numFmtId="0" fontId="184" fillId="0" borderId="0" xfId="25853" applyFont="1" applyAlignment="1">
      <alignment horizontal="center"/>
    </xf>
    <xf numFmtId="0" fontId="183" fillId="0" borderId="0" xfId="25853" applyFont="1"/>
    <xf numFmtId="0" fontId="160" fillId="0" borderId="0" xfId="25853" applyFont="1" applyAlignment="1">
      <alignment horizontal="left"/>
    </xf>
    <xf numFmtId="0" fontId="160" fillId="0" borderId="0" xfId="25853"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69"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1" quotePrefix="1" applyNumberFormat="1" applyFont="1"/>
    <xf numFmtId="170" fontId="42" fillId="0" borderId="19" xfId="0" applyNumberFormat="1" applyFont="1" applyBorder="1" applyAlignment="1">
      <alignment horizontal="right"/>
    </xf>
    <xf numFmtId="169" fontId="42" fillId="0" borderId="0" xfId="5" applyNumberFormat="1" applyFont="1"/>
    <xf numFmtId="43" fontId="203" fillId="0" borderId="0" xfId="0" applyNumberFormat="1" applyFont="1"/>
    <xf numFmtId="44" fontId="49" fillId="0" borderId="0" xfId="1769" applyNumberFormat="1"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69" applyNumberFormat="1" applyBorder="1"/>
    <xf numFmtId="0" fontId="69" fillId="0" borderId="0" xfId="1" applyFont="1" applyAlignment="1">
      <alignment horizontal="left"/>
    </xf>
    <xf numFmtId="0" fontId="47" fillId="0" borderId="0" xfId="1"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57" applyFont="1"/>
    <xf numFmtId="0" fontId="158" fillId="0" borderId="0" xfId="5" applyFont="1" applyAlignment="1">
      <alignment horizontal="right"/>
    </xf>
    <xf numFmtId="192" fontId="208" fillId="0" borderId="0" xfId="17915" applyNumberFormat="1" applyFont="1"/>
    <xf numFmtId="192" fontId="224" fillId="0" borderId="0" xfId="17915" applyNumberFormat="1" applyFont="1"/>
    <xf numFmtId="165" fontId="158" fillId="0" borderId="0" xfId="1" applyNumberFormat="1" applyFont="1" applyProtection="1">
      <protection locked="0"/>
    </xf>
    <xf numFmtId="192" fontId="158" fillId="0" borderId="0" xfId="17915" applyNumberFormat="1" applyFont="1" applyProtection="1">
      <protection locked="0"/>
    </xf>
    <xf numFmtId="168" fontId="158" fillId="0" borderId="0" xfId="1" applyNumberFormat="1" applyFont="1" applyProtection="1">
      <protection locked="0"/>
    </xf>
    <xf numFmtId="165" fontId="159" fillId="0" borderId="0" xfId="1" applyNumberFormat="1" applyFont="1" applyProtection="1">
      <protection locked="0"/>
    </xf>
    <xf numFmtId="192" fontId="158" fillId="0" borderId="0" xfId="17915" applyNumberFormat="1" applyFont="1"/>
    <xf numFmtId="192" fontId="159" fillId="0" borderId="0" xfId="17915" applyNumberFormat="1" applyFont="1" applyProtection="1">
      <protection locked="0"/>
    </xf>
    <xf numFmtId="166" fontId="63" fillId="0" borderId="49" xfId="0" applyNumberFormat="1" applyFont="1" applyBorder="1"/>
    <xf numFmtId="165" fontId="42" fillId="0" borderId="49" xfId="1" applyNumberFormat="1" applyBorder="1"/>
    <xf numFmtId="0" fontId="42" fillId="0" borderId="49" xfId="1" applyBorder="1"/>
    <xf numFmtId="174" fontId="42" fillId="0" borderId="49" xfId="1" applyNumberFormat="1" applyBorder="1"/>
    <xf numFmtId="170" fontId="42" fillId="0" borderId="49" xfId="1" quotePrefix="1" applyNumberFormat="1" applyBorder="1" applyAlignment="1">
      <alignment horizontal="center"/>
    </xf>
    <xf numFmtId="170" fontId="49" fillId="0" borderId="49" xfId="1" applyNumberFormat="1" applyFont="1" applyBorder="1"/>
    <xf numFmtId="170" fontId="42" fillId="0" borderId="49" xfId="1" quotePrefix="1" applyNumberFormat="1" applyBorder="1" applyAlignment="1">
      <alignment horizontal="right"/>
    </xf>
    <xf numFmtId="170" fontId="49" fillId="0" borderId="49" xfId="1" quotePrefix="1" applyNumberFormat="1" applyFont="1" applyBorder="1" applyAlignment="1">
      <alignment horizontal="right"/>
    </xf>
    <xf numFmtId="170" fontId="49" fillId="0" borderId="49" xfId="1" applyNumberFormat="1" applyFont="1" applyBorder="1" applyAlignment="1">
      <alignment vertical="center"/>
    </xf>
    <xf numFmtId="170" fontId="42" fillId="0" borderId="45" xfId="1" quotePrefix="1" applyNumberFormat="1" applyBorder="1"/>
    <xf numFmtId="174" fontId="42" fillId="0" borderId="49" xfId="1" applyNumberFormat="1" applyBorder="1" applyAlignment="1">
      <alignment horizontal="right"/>
    </xf>
    <xf numFmtId="170" fontId="49" fillId="0" borderId="49" xfId="1" applyNumberFormat="1" applyFont="1" applyBorder="1" applyAlignment="1">
      <alignment horizontal="right"/>
    </xf>
    <xf numFmtId="170" fontId="42" fillId="0" borderId="49" xfId="1" quotePrefix="1" applyNumberFormat="1" applyBorder="1"/>
    <xf numFmtId="170" fontId="49" fillId="0" borderId="49" xfId="1" applyNumberFormat="1" applyFont="1" applyBorder="1" applyAlignment="1">
      <alignment horizontal="center"/>
    </xf>
    <xf numFmtId="174" fontId="49" fillId="0" borderId="49" xfId="1" applyNumberFormat="1" applyFont="1" applyBorder="1" applyAlignment="1">
      <alignment horizontal="right"/>
    </xf>
    <xf numFmtId="170" fontId="42" fillId="0" borderId="49" xfId="1" applyNumberFormat="1" applyBorder="1" applyAlignment="1">
      <alignment horizontal="right"/>
    </xf>
    <xf numFmtId="43" fontId="158" fillId="0" borderId="0" xfId="17915" applyFont="1"/>
    <xf numFmtId="43" fontId="158" fillId="0" borderId="0" xfId="17915" quotePrefix="1" applyFont="1" applyAlignment="1">
      <alignment horizontal="right"/>
    </xf>
    <xf numFmtId="43" fontId="159" fillId="0" borderId="0" xfId="17915" applyFont="1"/>
    <xf numFmtId="192" fontId="158" fillId="0" borderId="0" xfId="17915" applyNumberFormat="1" applyFont="1" applyAlignment="1">
      <alignment horizontal="right"/>
    </xf>
    <xf numFmtId="192" fontId="158" fillId="0" borderId="0" xfId="17915" applyNumberFormat="1" applyFont="1" applyBorder="1" applyAlignment="1"/>
    <xf numFmtId="192" fontId="158" fillId="0" borderId="0" xfId="17915" quotePrefix="1" applyNumberFormat="1" applyFont="1" applyBorder="1" applyAlignment="1">
      <alignment horizontal="right"/>
    </xf>
    <xf numFmtId="192" fontId="158" fillId="0" borderId="0" xfId="17915" quotePrefix="1" applyNumberFormat="1" applyFont="1" applyAlignment="1">
      <alignment horizontal="center"/>
    </xf>
    <xf numFmtId="192" fontId="158" fillId="0" borderId="0" xfId="17915" quotePrefix="1" applyNumberFormat="1" applyFont="1" applyAlignment="1">
      <alignment horizontal="right"/>
    </xf>
    <xf numFmtId="192" fontId="159" fillId="0" borderId="0" xfId="17915" applyNumberFormat="1" applyFont="1"/>
    <xf numFmtId="192" fontId="159" fillId="0" borderId="0" xfId="17915" applyNumberFormat="1" applyFont="1" applyAlignment="1">
      <alignment horizontal="right"/>
    </xf>
    <xf numFmtId="189" fontId="158" fillId="0" borderId="0" xfId="17915" applyNumberFormat="1" applyFont="1"/>
    <xf numFmtId="189" fontId="158" fillId="0" borderId="0" xfId="17915" quotePrefix="1" applyNumberFormat="1" applyFont="1" applyAlignment="1">
      <alignment horizontal="center"/>
    </xf>
    <xf numFmtId="189" fontId="159" fillId="0" borderId="0" xfId="17915" applyNumberFormat="1" applyFont="1"/>
    <xf numFmtId="189" fontId="158" fillId="0" borderId="0" xfId="17915" applyNumberFormat="1" applyFont="1" applyAlignment="1">
      <alignment horizontal="right"/>
    </xf>
    <xf numFmtId="189" fontId="159" fillId="0" borderId="0" xfId="17915" applyNumberFormat="1" applyFont="1" applyAlignment="1">
      <alignment horizontal="right"/>
    </xf>
    <xf numFmtId="0" fontId="49" fillId="0" borderId="49" xfId="1" applyFont="1" applyBorder="1" applyAlignment="1">
      <alignment horizontal="center"/>
    </xf>
    <xf numFmtId="37" fontId="49" fillId="0" borderId="49" xfId="1" applyNumberFormat="1" applyFont="1" applyBorder="1" applyAlignment="1">
      <alignment horizontal="center"/>
    </xf>
    <xf numFmtId="37" fontId="47" fillId="0" borderId="49" xfId="1" applyNumberFormat="1" applyFont="1" applyBorder="1"/>
    <xf numFmtId="37" fontId="42" fillId="0" borderId="49" xfId="1" applyNumberFormat="1" applyBorder="1"/>
    <xf numFmtId="170" fontId="42" fillId="0" borderId="0" xfId="17915" applyNumberFormat="1" applyFont="1" applyFill="1" applyBorder="1" applyAlignment="1"/>
    <xf numFmtId="37" fontId="49" fillId="0" borderId="49" xfId="1" quotePrefix="1" applyNumberFormat="1" applyFont="1" applyBorder="1" applyAlignment="1">
      <alignment horizontal="center"/>
    </xf>
    <xf numFmtId="192" fontId="207" fillId="0" borderId="0" xfId="17915" applyNumberFormat="1" applyFont="1"/>
    <xf numFmtId="165" fontId="225" fillId="0" borderId="0" xfId="1" applyNumberFormat="1" applyFont="1"/>
    <xf numFmtId="192" fontId="47" fillId="0" borderId="0" xfId="17915" applyNumberFormat="1" applyFont="1"/>
    <xf numFmtId="192" fontId="48" fillId="0" borderId="0" xfId="17915" applyNumberFormat="1" applyFont="1"/>
    <xf numFmtId="165" fontId="207" fillId="0" borderId="0" xfId="1" applyNumberFormat="1" applyFont="1" applyAlignment="1">
      <alignment horizontal="right"/>
    </xf>
    <xf numFmtId="174" fontId="49" fillId="0" borderId="51" xfId="1" applyNumberFormat="1" applyFont="1" applyBorder="1"/>
    <xf numFmtId="170" fontId="42" fillId="0" borderId="75" xfId="1" applyNumberFormat="1" applyBorder="1"/>
    <xf numFmtId="170" fontId="49" fillId="0" borderId="75" xfId="1" applyNumberFormat="1" applyFont="1" applyBorder="1"/>
    <xf numFmtId="165" fontId="42" fillId="0" borderId="75" xfId="1" applyNumberFormat="1" applyBorder="1"/>
    <xf numFmtId="174" fontId="49" fillId="0" borderId="75" xfId="1" applyNumberFormat="1" applyFont="1" applyBorder="1"/>
    <xf numFmtId="166" fontId="63" fillId="0" borderId="14" xfId="1" applyNumberFormat="1" applyFont="1" applyBorder="1"/>
    <xf numFmtId="174" fontId="62" fillId="0" borderId="14" xfId="1" applyNumberFormat="1" applyFont="1" applyBorder="1"/>
    <xf numFmtId="170" fontId="63" fillId="0" borderId="14" xfId="1" applyNumberFormat="1" applyFont="1" applyBorder="1"/>
    <xf numFmtId="170" fontId="62" fillId="0" borderId="14" xfId="1" applyNumberFormat="1" applyFont="1" applyBorder="1"/>
    <xf numFmtId="170" fontId="67" fillId="0" borderId="14" xfId="1" applyNumberFormat="1" applyFont="1" applyBorder="1"/>
    <xf numFmtId="166" fontId="67" fillId="0" borderId="14" xfId="1" applyNumberFormat="1" applyFont="1" applyBorder="1"/>
    <xf numFmtId="174" fontId="68" fillId="0" borderId="14" xfId="1" applyNumberFormat="1" applyFont="1" applyBorder="1"/>
    <xf numFmtId="166" fontId="63" fillId="0" borderId="27" xfId="1" applyNumberFormat="1" applyFont="1" applyBorder="1"/>
    <xf numFmtId="174" fontId="62" fillId="0" borderId="27" xfId="1" applyNumberFormat="1" applyFont="1" applyBorder="1"/>
    <xf numFmtId="170" fontId="63" fillId="0" borderId="27" xfId="1" applyNumberFormat="1" applyFont="1" applyBorder="1"/>
    <xf numFmtId="170" fontId="62" fillId="0" borderId="27" xfId="1" applyNumberFormat="1" applyFont="1" applyBorder="1"/>
    <xf numFmtId="170" fontId="67" fillId="0" borderId="27" xfId="1" applyNumberFormat="1" applyFont="1" applyBorder="1"/>
    <xf numFmtId="170" fontId="68" fillId="0" borderId="27" xfId="1" applyNumberFormat="1" applyFont="1" applyBorder="1"/>
    <xf numFmtId="0" fontId="207" fillId="0" borderId="0" xfId="3" applyFont="1"/>
    <xf numFmtId="192" fontId="207" fillId="0" borderId="0" xfId="17915" applyNumberFormat="1" applyFont="1" applyFill="1" applyBorder="1" applyAlignment="1" applyProtection="1">
      <alignment horizontal="right"/>
    </xf>
    <xf numFmtId="192" fontId="207" fillId="0" borderId="0" xfId="17915" applyNumberFormat="1" applyFont="1" applyAlignment="1">
      <alignment horizontal="right"/>
    </xf>
    <xf numFmtId="174" fontId="49" fillId="0" borderId="0" xfId="1" quotePrefix="1" applyNumberFormat="1" applyFont="1" applyAlignment="1">
      <alignment horizontal="right"/>
    </xf>
    <xf numFmtId="169" fontId="49" fillId="0" borderId="0" xfId="1" applyNumberFormat="1" applyFont="1" applyAlignment="1" applyProtection="1">
      <alignment horizontal="right"/>
      <protection locked="0"/>
    </xf>
    <xf numFmtId="0" fontId="42" fillId="0" borderId="0" xfId="1" applyProtection="1">
      <protection locked="0"/>
    </xf>
    <xf numFmtId="174" fontId="62" fillId="0" borderId="0" xfId="1" applyNumberFormat="1" applyFont="1" applyAlignment="1">
      <alignment horizontal="right"/>
    </xf>
    <xf numFmtId="172" fontId="49" fillId="0" borderId="0" xfId="1933" applyNumberFormat="1" applyFont="1" applyAlignment="1"/>
    <xf numFmtId="170" fontId="63" fillId="0" borderId="64" xfId="1" applyNumberFormat="1" applyFont="1" applyBorder="1" applyAlignment="1">
      <alignment horizontal="right"/>
    </xf>
    <xf numFmtId="170" fontId="63" fillId="0" borderId="65" xfId="1" applyNumberFormat="1" applyFont="1" applyBorder="1" applyAlignment="1">
      <alignment horizontal="right"/>
    </xf>
    <xf numFmtId="0" fontId="42" fillId="0" borderId="0" xfId="1" applyAlignment="1">
      <alignment horizontal="center"/>
    </xf>
    <xf numFmtId="170" fontId="63" fillId="0" borderId="0" xfId="1" quotePrefix="1" applyNumberFormat="1" applyFont="1" applyAlignment="1">
      <alignment horizontal="right"/>
    </xf>
    <xf numFmtId="10" fontId="42" fillId="0" borderId="0" xfId="1933" applyNumberFormat="1" applyFont="1" applyFill="1" applyBorder="1" applyAlignment="1"/>
    <xf numFmtId="164" fontId="42" fillId="0" borderId="0" xfId="1933" applyNumberFormat="1" applyFont="1" applyFill="1" applyBorder="1" applyAlignment="1"/>
    <xf numFmtId="164" fontId="42" fillId="0" borderId="45" xfId="1933" applyNumberFormat="1" applyFont="1" applyBorder="1" applyAlignment="1"/>
    <xf numFmtId="170" fontId="62" fillId="0" borderId="0" xfId="1" applyNumberFormat="1" applyFont="1" applyAlignment="1">
      <alignment horizontal="center"/>
    </xf>
    <xf numFmtId="164" fontId="49" fillId="0" borderId="45" xfId="1933" applyNumberFormat="1" applyFont="1" applyFill="1" applyBorder="1" applyAlignment="1"/>
    <xf numFmtId="166" fontId="62" fillId="0" borderId="64" xfId="1" applyNumberFormat="1" applyFont="1" applyBorder="1"/>
    <xf numFmtId="166" fontId="62" fillId="0" borderId="64" xfId="1" applyNumberFormat="1" applyFont="1" applyBorder="1" applyAlignment="1">
      <alignment horizontal="right"/>
    </xf>
    <xf numFmtId="166" fontId="62" fillId="0" borderId="0" xfId="1" applyNumberFormat="1" applyFont="1" applyAlignment="1">
      <alignment horizontal="right"/>
    </xf>
    <xf numFmtId="166" fontId="68" fillId="0" borderId="0" xfId="1" applyNumberFormat="1" applyFont="1" applyAlignment="1">
      <alignment horizontal="right"/>
    </xf>
    <xf numFmtId="166" fontId="62" fillId="0" borderId="17" xfId="1" applyNumberFormat="1" applyFont="1" applyBorder="1"/>
    <xf numFmtId="174" fontId="62" fillId="0" borderId="73" xfId="1" applyNumberFormat="1" applyFont="1" applyBorder="1"/>
    <xf numFmtId="164" fontId="49" fillId="0" borderId="15" xfId="1933" applyNumberFormat="1" applyFont="1" applyBorder="1" applyAlignment="1"/>
    <xf numFmtId="166" fontId="67" fillId="0" borderId="20" xfId="1" applyNumberFormat="1" applyFont="1" applyBorder="1"/>
    <xf numFmtId="0" fontId="62" fillId="0" borderId="0" xfId="1" applyFont="1"/>
    <xf numFmtId="0" fontId="68" fillId="0" borderId="0" xfId="1" applyFont="1"/>
    <xf numFmtId="0" fontId="62" fillId="0" borderId="0" xfId="1" quotePrefix="1" applyFont="1" applyAlignment="1">
      <alignment horizontal="left"/>
    </xf>
    <xf numFmtId="165" fontId="226" fillId="0" borderId="0" xfId="1" applyNumberFormat="1" applyFont="1"/>
    <xf numFmtId="164" fontId="42" fillId="0" borderId="45" xfId="1933" applyNumberFormat="1" applyFont="1" applyFill="1" applyBorder="1" applyAlignment="1"/>
    <xf numFmtId="165" fontId="42" fillId="0" borderId="0" xfId="1" quotePrefix="1" applyNumberFormat="1"/>
    <xf numFmtId="164" fontId="42" fillId="0" borderId="0" xfId="1933" applyNumberFormat="1" applyFont="1" applyFill="1" applyAlignment="1"/>
    <xf numFmtId="0" fontId="49" fillId="0" borderId="10" xfId="1" applyFont="1" applyBorder="1" applyAlignment="1">
      <alignment horizontal="center"/>
    </xf>
    <xf numFmtId="0" fontId="49" fillId="0" borderId="10" xfId="1" quotePrefix="1" applyFont="1" applyBorder="1" applyAlignment="1">
      <alignment horizontal="center"/>
    </xf>
    <xf numFmtId="165" fontId="49" fillId="0" borderId="10" xfId="1" applyNumberFormat="1" applyFont="1" applyBorder="1" applyAlignment="1">
      <alignment horizontal="center"/>
    </xf>
    <xf numFmtId="164" fontId="49" fillId="0" borderId="0" xfId="1933" applyNumberFormat="1" applyFont="1" applyFill="1" applyAlignment="1"/>
    <xf numFmtId="172" fontId="42" fillId="0" borderId="0" xfId="1933" applyNumberFormat="1" applyFont="1" applyFill="1" applyAlignment="1"/>
    <xf numFmtId="189" fontId="42" fillId="0" borderId="0" xfId="5450" applyNumberFormat="1"/>
    <xf numFmtId="0" fontId="42" fillId="0" borderId="0" xfId="5450" applyNumberFormat="1"/>
    <xf numFmtId="0" fontId="49" fillId="0" borderId="0" xfId="5450" applyNumberFormat="1" applyFont="1"/>
    <xf numFmtId="0" fontId="49" fillId="0" borderId="0" xfId="5450" applyNumberFormat="1" applyFont="1" applyAlignment="1">
      <alignment horizontal="right" vertical="top"/>
    </xf>
    <xf numFmtId="0" fontId="49" fillId="0" borderId="0" xfId="5450" applyNumberFormat="1" applyFont="1" applyAlignment="1">
      <alignment horizontal="right"/>
    </xf>
    <xf numFmtId="0" fontId="49" fillId="0" borderId="0" xfId="5450" applyNumberFormat="1" applyFont="1" applyAlignment="1">
      <alignment horizontal="left" vertical="top"/>
    </xf>
    <xf numFmtId="0" fontId="49" fillId="0" borderId="0" xfId="5450" applyNumberFormat="1" applyFont="1" applyAlignment="1">
      <alignment horizontal="left"/>
    </xf>
    <xf numFmtId="0" fontId="42" fillId="0" borderId="0" xfId="5450" quotePrefix="1" applyNumberFormat="1"/>
    <xf numFmtId="0" fontId="49" fillId="0" borderId="0" xfId="5450" applyNumberFormat="1" applyFont="1" applyAlignment="1">
      <alignment horizontal="center" vertical="top"/>
    </xf>
    <xf numFmtId="0" fontId="49" fillId="0" borderId="0" xfId="5450" applyNumberFormat="1" applyFont="1" applyAlignment="1">
      <alignment horizontal="center"/>
    </xf>
    <xf numFmtId="0" fontId="49" fillId="0" borderId="0" xfId="5450" quotePrefix="1" applyNumberFormat="1" applyFont="1" applyAlignment="1">
      <alignment horizontal="center"/>
    </xf>
    <xf numFmtId="0" fontId="49" fillId="0" borderId="0" xfId="5450" applyNumberFormat="1" applyFont="1" applyAlignment="1">
      <alignment horizontal="centerContinuous"/>
    </xf>
    <xf numFmtId="0" fontId="49" fillId="0" borderId="10" xfId="5450" applyNumberFormat="1" applyFont="1" applyBorder="1" applyAlignment="1">
      <alignment horizontal="centerContinuous"/>
    </xf>
    <xf numFmtId="0" fontId="49" fillId="0" borderId="10" xfId="5450" applyNumberFormat="1" applyFont="1" applyBorder="1"/>
    <xf numFmtId="0" fontId="49" fillId="0" borderId="10" xfId="5450" quotePrefix="1" applyNumberFormat="1" applyFont="1" applyBorder="1" applyAlignment="1">
      <alignment horizontal="center"/>
    </xf>
    <xf numFmtId="49" fontId="49" fillId="0" borderId="10" xfId="5450" applyNumberFormat="1" applyFont="1" applyBorder="1" applyAlignment="1">
      <alignment horizontal="center"/>
    </xf>
    <xf numFmtId="49" fontId="49" fillId="0" borderId="10" xfId="5450" quotePrefix="1" applyNumberFormat="1" applyFont="1" applyBorder="1" applyAlignment="1">
      <alignment horizontal="center"/>
    </xf>
    <xf numFmtId="0" fontId="49" fillId="0" borderId="61" xfId="5450" applyNumberFormat="1" applyFont="1" applyBorder="1" applyAlignment="1">
      <alignment horizontal="center"/>
    </xf>
    <xf numFmtId="0" fontId="49" fillId="0" borderId="10" xfId="5450" applyNumberFormat="1" applyFont="1" applyBorder="1" applyAlignment="1">
      <alignment horizontal="center"/>
    </xf>
    <xf numFmtId="39" fontId="42" fillId="0" borderId="0" xfId="5450" quotePrefix="1" applyNumberFormat="1"/>
    <xf numFmtId="39" fontId="63" fillId="0" borderId="0" xfId="5450" quotePrefix="1" applyNumberFormat="1" applyFont="1"/>
    <xf numFmtId="39" fontId="42" fillId="0" borderId="0" xfId="5450" applyNumberFormat="1"/>
    <xf numFmtId="0" fontId="63" fillId="0" borderId="0" xfId="5450" applyNumberFormat="1" applyFont="1"/>
    <xf numFmtId="0" fontId="42" fillId="0" borderId="0" xfId="5500" applyFont="1" applyAlignment="1">
      <alignment horizontal="center"/>
    </xf>
    <xf numFmtId="42" fontId="63" fillId="0" borderId="0" xfId="5450" applyNumberFormat="1" applyFont="1" applyAlignment="1">
      <alignment horizontal="right"/>
    </xf>
    <xf numFmtId="42" fontId="63" fillId="0" borderId="0" xfId="5450" applyNumberFormat="1" applyFont="1" applyAlignment="1">
      <alignment horizontal="right" vertical="top"/>
    </xf>
    <xf numFmtId="41" fontId="63" fillId="0" borderId="0" xfId="5450" applyNumberFormat="1" applyFont="1" applyAlignment="1">
      <alignment horizontal="right"/>
    </xf>
    <xf numFmtId="0" fontId="63" fillId="0" borderId="0" xfId="5450" applyNumberFormat="1" applyFont="1" applyAlignment="1">
      <alignment horizontal="right"/>
    </xf>
    <xf numFmtId="41" fontId="42" fillId="0" borderId="0" xfId="5450" applyNumberFormat="1" applyAlignment="1">
      <alignment horizontal="right"/>
    </xf>
    <xf numFmtId="0" fontId="42" fillId="0" borderId="0" xfId="5450" quotePrefix="1" applyNumberFormat="1" applyAlignment="1">
      <alignment horizontal="left" vertical="top"/>
    </xf>
    <xf numFmtId="0" fontId="42" fillId="0" borderId="0" xfId="5450" applyNumberFormat="1" applyAlignment="1">
      <alignment horizontal="left" vertical="top"/>
    </xf>
    <xf numFmtId="37" fontId="42" fillId="0" borderId="0" xfId="5500" applyNumberFormat="1" applyFont="1"/>
    <xf numFmtId="0" fontId="49" fillId="0" borderId="0" xfId="5450" quotePrefix="1" applyNumberFormat="1" applyFont="1" applyAlignment="1">
      <alignment horizontal="left" vertical="top"/>
    </xf>
    <xf numFmtId="42" fontId="49" fillId="0" borderId="54" xfId="5450" applyNumberFormat="1" applyFont="1" applyBorder="1" applyAlignment="1">
      <alignment horizontal="right" vertical="top"/>
    </xf>
    <xf numFmtId="42" fontId="49" fillId="0" borderId="0" xfId="5450" applyNumberFormat="1" applyFont="1" applyAlignment="1">
      <alignment horizontal="right" vertical="top"/>
    </xf>
    <xf numFmtId="37" fontId="42" fillId="0" borderId="0" xfId="5450" applyNumberFormat="1"/>
    <xf numFmtId="42" fontId="42" fillId="0" borderId="0" xfId="5450" applyNumberFormat="1"/>
    <xf numFmtId="44" fontId="42" fillId="0" borderId="0" xfId="5450" applyNumberFormat="1"/>
    <xf numFmtId="44" fontId="42" fillId="0" borderId="0" xfId="5500" applyNumberFormat="1" applyFont="1"/>
    <xf numFmtId="165" fontId="208" fillId="0" borderId="0" xfId="1" applyNumberFormat="1" applyFont="1"/>
    <xf numFmtId="172" fontId="42" fillId="0" borderId="65" xfId="1933" applyNumberFormat="1" applyFont="1" applyFill="1" applyBorder="1" applyAlignment="1"/>
    <xf numFmtId="192" fontId="158" fillId="0" borderId="0" xfId="17915" applyNumberFormat="1" applyFont="1" applyFill="1"/>
    <xf numFmtId="192" fontId="208" fillId="0" borderId="0" xfId="17915" applyNumberFormat="1" applyFont="1" applyFill="1"/>
    <xf numFmtId="192" fontId="158" fillId="0" borderId="0" xfId="17915" applyNumberFormat="1" applyFont="1" applyBorder="1"/>
    <xf numFmtId="185" fontId="49" fillId="0" borderId="10" xfId="737" quotePrefix="1" applyNumberFormat="1" applyFont="1" applyBorder="1" applyAlignment="1">
      <alignment horizontal="center"/>
    </xf>
    <xf numFmtId="43" fontId="159" fillId="0" borderId="0" xfId="737" quotePrefix="1" applyNumberFormat="1" applyFont="1" applyAlignment="1">
      <alignment horizontal="left"/>
    </xf>
    <xf numFmtId="177" fontId="70" fillId="0" borderId="0" xfId="737" applyNumberFormat="1" applyFont="1" applyAlignment="1">
      <alignment vertical="center"/>
    </xf>
    <xf numFmtId="177" fontId="47" fillId="0" borderId="0" xfId="737" applyNumberFormat="1" applyFont="1" applyAlignment="1">
      <alignment vertical="center"/>
    </xf>
    <xf numFmtId="177" fontId="70" fillId="0" borderId="0" xfId="737" quotePrefix="1" applyNumberFormat="1" applyFont="1" applyAlignment="1">
      <alignment horizontal="right" vertical="center"/>
    </xf>
    <xf numFmtId="43" fontId="207" fillId="0" borderId="0" xfId="737" applyNumberFormat="1" applyFont="1" applyAlignment="1">
      <alignment vertical="center"/>
    </xf>
    <xf numFmtId="0" fontId="96" fillId="0" borderId="0" xfId="737" applyFont="1" applyAlignment="1">
      <alignment vertical="center"/>
    </xf>
    <xf numFmtId="43" fontId="159" fillId="0" borderId="0" xfId="737" quotePrefix="1" applyNumberFormat="1" applyFont="1" applyAlignment="1">
      <alignment horizontal="right" vertical="center"/>
    </xf>
    <xf numFmtId="0" fontId="84" fillId="0" borderId="0" xfId="737" applyFont="1" applyAlignment="1">
      <alignment horizontal="right" vertical="center"/>
    </xf>
    <xf numFmtId="43" fontId="220" fillId="0" borderId="0" xfId="737" applyNumberFormat="1" applyFont="1" applyAlignment="1">
      <alignment horizontal="right" vertical="center"/>
    </xf>
    <xf numFmtId="177" fontId="70" fillId="0" borderId="0" xfId="737" quotePrefix="1" applyNumberFormat="1" applyFont="1" applyAlignment="1">
      <alignment horizontal="left" vertical="center"/>
    </xf>
    <xf numFmtId="177" fontId="200" fillId="0" borderId="0" xfId="737" applyNumberFormat="1" applyFont="1" applyAlignment="1">
      <alignment vertical="center"/>
    </xf>
    <xf numFmtId="165" fontId="98" fillId="0" borderId="0" xfId="737" applyNumberFormat="1" applyFont="1" applyAlignment="1">
      <alignment vertical="center"/>
    </xf>
    <xf numFmtId="177" fontId="42" fillId="0" borderId="0" xfId="737" applyNumberFormat="1" applyFont="1" applyAlignment="1">
      <alignment horizontal="fill" vertical="center"/>
    </xf>
    <xf numFmtId="177" fontId="42" fillId="0" borderId="0" xfId="737" applyNumberFormat="1" applyFont="1" applyAlignment="1">
      <alignment vertical="center"/>
    </xf>
    <xf numFmtId="43" fontId="158" fillId="0" borderId="0" xfId="737" applyNumberFormat="1" applyFont="1" applyAlignment="1">
      <alignment vertical="center"/>
    </xf>
    <xf numFmtId="179" fontId="65" fillId="0" borderId="0" xfId="737" applyNumberFormat="1" applyFont="1" applyAlignment="1">
      <alignment horizontal="right"/>
    </xf>
    <xf numFmtId="0" fontId="48" fillId="0" borderId="10" xfId="9958" applyFont="1" applyBorder="1" applyAlignment="1">
      <alignment horizontal="center"/>
    </xf>
    <xf numFmtId="49" fontId="0" fillId="0" borderId="0" xfId="14" applyNumberFormat="1" applyFont="1"/>
    <xf numFmtId="189" fontId="207" fillId="0" borderId="0" xfId="17915" applyNumberFormat="1" applyFont="1"/>
    <xf numFmtId="189" fontId="207" fillId="0" borderId="0" xfId="17915" applyNumberFormat="1" applyFont="1" applyFill="1" applyAlignment="1"/>
    <xf numFmtId="164" fontId="96" fillId="0" borderId="0" xfId="1025" applyNumberFormat="1" applyFont="1"/>
    <xf numFmtId="165" fontId="225" fillId="0" borderId="0" xfId="837" applyNumberFormat="1" applyFont="1"/>
    <xf numFmtId="164" fontId="109" fillId="0" borderId="45" xfId="0" applyFont="1" applyBorder="1" applyAlignment="1">
      <alignment horizontal="center"/>
    </xf>
    <xf numFmtId="44" fontId="42" fillId="0" borderId="0" xfId="737" applyNumberFormat="1" applyFont="1" applyAlignment="1">
      <alignment horizontal="right"/>
    </xf>
    <xf numFmtId="43" fontId="49" fillId="0" borderId="54" xfId="1025" applyNumberFormat="1" applyFont="1" applyBorder="1" applyAlignment="1">
      <alignment horizontal="right"/>
    </xf>
    <xf numFmtId="43" fontId="49" fillId="0" borderId="0" xfId="1025" applyNumberFormat="1" applyFont="1" applyAlignment="1">
      <alignment horizontal="right"/>
    </xf>
    <xf numFmtId="164" fontId="49" fillId="0" borderId="0" xfId="0" applyFont="1" applyAlignment="1">
      <alignment horizontal="right"/>
    </xf>
    <xf numFmtId="43" fontId="49" fillId="0" borderId="54" xfId="737" applyNumberFormat="1" applyFont="1" applyBorder="1" applyAlignment="1">
      <alignment horizontal="right"/>
    </xf>
    <xf numFmtId="43" fontId="49" fillId="0" borderId="0" xfId="0" applyNumberFormat="1" applyFont="1" applyAlignment="1">
      <alignment horizontal="right"/>
    </xf>
    <xf numFmtId="43" fontId="42" fillId="0" borderId="0" xfId="1025" applyNumberFormat="1" applyAlignment="1">
      <alignment horizontal="right"/>
    </xf>
    <xf numFmtId="43" fontId="0" fillId="0" borderId="0" xfId="0" applyNumberFormat="1" applyAlignment="1">
      <alignment horizontal="right"/>
    </xf>
    <xf numFmtId="43" fontId="49" fillId="0" borderId="0" xfId="737" applyNumberFormat="1" applyFont="1" applyAlignment="1">
      <alignment horizontal="right"/>
    </xf>
    <xf numFmtId="43" fontId="42" fillId="0" borderId="0" xfId="73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737" applyNumberFormat="1" applyFont="1" applyBorder="1" applyAlignment="1">
      <alignment horizontal="right"/>
    </xf>
    <xf numFmtId="40" fontId="158" fillId="0" borderId="0" xfId="837" quotePrefix="1" applyNumberFormat="1" applyFont="1" applyAlignment="1">
      <alignment horizontal="left"/>
    </xf>
    <xf numFmtId="41" fontId="203" fillId="0" borderId="0" xfId="837" applyNumberFormat="1" applyFont="1"/>
    <xf numFmtId="41" fontId="63" fillId="0" borderId="0" xfId="5450"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737" applyNumberFormat="1" applyFont="1" applyAlignment="1">
      <alignment horizontal="left"/>
    </xf>
    <xf numFmtId="177" fontId="65" fillId="0" borderId="10" xfId="737" applyNumberFormat="1" applyFont="1" applyBorder="1" applyAlignment="1">
      <alignment horizontal="left"/>
    </xf>
    <xf numFmtId="177" fontId="65" fillId="0" borderId="10" xfId="737" applyNumberFormat="1" applyFont="1" applyBorder="1" applyAlignment="1">
      <alignment horizontal="center"/>
    </xf>
    <xf numFmtId="177" fontId="70" fillId="0" borderId="10" xfId="833" applyNumberFormat="1" applyFont="1" applyBorder="1" applyAlignment="1">
      <alignment horizontal="right"/>
    </xf>
    <xf numFmtId="177" fontId="70" fillId="0" borderId="10" xfId="833" applyNumberFormat="1" applyFont="1" applyBorder="1"/>
    <xf numFmtId="177" fontId="70" fillId="0" borderId="53" xfId="833" applyNumberFormat="1" applyFont="1" applyBorder="1" applyAlignment="1">
      <alignment horizontal="right"/>
    </xf>
    <xf numFmtId="179" fontId="70" fillId="0" borderId="15" xfId="833" applyNumberFormat="1" applyFont="1" applyBorder="1"/>
    <xf numFmtId="179" fontId="70" fillId="0" borderId="0" xfId="833" applyNumberFormat="1" applyFont="1"/>
    <xf numFmtId="180" fontId="65" fillId="0" borderId="20" xfId="833" applyNumberFormat="1" applyFont="1" applyBorder="1"/>
    <xf numFmtId="181" fontId="225" fillId="0" borderId="0" xfId="833" applyNumberFormat="1" applyFont="1"/>
    <xf numFmtId="177" fontId="65" fillId="0" borderId="0" xfId="833" applyNumberFormat="1" applyFont="1" applyAlignment="1">
      <alignment horizontal="fill"/>
    </xf>
    <xf numFmtId="179" fontId="42" fillId="0" borderId="0" xfId="737" applyNumberFormat="1" applyFont="1" applyAlignment="1">
      <alignment horizontal="left"/>
    </xf>
    <xf numFmtId="179" fontId="42" fillId="0" borderId="0" xfId="737" applyNumberFormat="1" applyFont="1" applyAlignment="1">
      <alignment horizontal="center"/>
    </xf>
    <xf numFmtId="177" fontId="42" fillId="0" borderId="0" xfId="737" applyNumberFormat="1" applyFont="1" applyAlignment="1">
      <alignment horizontal="left"/>
    </xf>
    <xf numFmtId="177" fontId="42" fillId="0" borderId="0" xfId="737" applyNumberFormat="1" applyFont="1" applyAlignment="1">
      <alignment horizontal="center"/>
    </xf>
    <xf numFmtId="177" fontId="49" fillId="0" borderId="61" xfId="737" applyNumberFormat="1" applyFont="1" applyBorder="1" applyAlignment="1">
      <alignment horizontal="right"/>
    </xf>
    <xf numFmtId="177" fontId="99" fillId="0" borderId="0" xfId="737" applyNumberFormat="1" applyFont="1"/>
    <xf numFmtId="177" fontId="171" fillId="0" borderId="0" xfId="737" applyNumberFormat="1" applyFont="1"/>
    <xf numFmtId="177" fontId="42" fillId="0" borderId="0" xfId="737" quotePrefix="1" applyNumberFormat="1" applyFont="1" applyAlignment="1">
      <alignment horizontal="center"/>
    </xf>
    <xf numFmtId="177" fontId="49" fillId="0" borderId="61" xfId="737" applyNumberFormat="1" applyFont="1" applyBorder="1"/>
    <xf numFmtId="177" fontId="49" fillId="0" borderId="10" xfId="737" applyNumberFormat="1" applyFont="1" applyBorder="1"/>
    <xf numFmtId="177" fontId="53" fillId="0" borderId="0" xfId="737" applyNumberFormat="1" applyFont="1" applyAlignment="1">
      <alignment horizontal="center"/>
    </xf>
    <xf numFmtId="179" fontId="49" fillId="0" borderId="15" xfId="737" applyNumberFormat="1" applyFont="1" applyBorder="1"/>
    <xf numFmtId="180" fontId="49" fillId="0" borderId="0" xfId="737" applyNumberFormat="1" applyFont="1" applyAlignment="1">
      <alignment horizontal="right"/>
    </xf>
    <xf numFmtId="192" fontId="158" fillId="0" borderId="0" xfId="17915" applyNumberFormat="1" applyFont="1" applyFill="1" applyBorder="1"/>
    <xf numFmtId="192" fontId="159" fillId="0" borderId="0" xfId="17915" applyNumberFormat="1" applyFont="1" applyFill="1"/>
    <xf numFmtId="174" fontId="49" fillId="0" borderId="0" xfId="1" applyNumberFormat="1" applyFont="1" applyProtection="1">
      <protection locked="0"/>
    </xf>
    <xf numFmtId="174" fontId="49" fillId="0" borderId="75" xfId="1" applyNumberFormat="1" applyFont="1" applyBorder="1" applyProtection="1">
      <protection locked="0"/>
    </xf>
    <xf numFmtId="174" fontId="49" fillId="0" borderId="17" xfId="1" applyNumberFormat="1" applyFont="1" applyBorder="1" applyProtection="1">
      <protection locked="0"/>
    </xf>
    <xf numFmtId="169" fontId="49" fillId="0" borderId="14" xfId="1" applyNumberFormat="1" applyFont="1" applyBorder="1" applyAlignment="1" applyProtection="1">
      <alignment horizontal="right"/>
      <protection locked="0"/>
    </xf>
    <xf numFmtId="0" fontId="42" fillId="0" borderId="75" xfId="1" applyBorder="1" applyProtection="1">
      <protection locked="0"/>
    </xf>
    <xf numFmtId="0" fontId="42" fillId="0" borderId="17" xfId="1" applyBorder="1" applyProtection="1">
      <protection locked="0"/>
    </xf>
    <xf numFmtId="0" fontId="42" fillId="0" borderId="14" xfId="1" applyBorder="1" applyProtection="1">
      <protection locked="0"/>
    </xf>
    <xf numFmtId="170" fontId="42" fillId="0" borderId="10" xfId="1" applyNumberFormat="1" applyBorder="1" applyAlignment="1">
      <alignment horizontal="right"/>
    </xf>
    <xf numFmtId="170" fontId="42" fillId="0" borderId="10" xfId="1" quotePrefix="1" applyNumberFormat="1" applyBorder="1" applyAlignment="1">
      <alignment horizontal="right"/>
    </xf>
    <xf numFmtId="170" fontId="42" fillId="0" borderId="75" xfId="1" applyNumberFormat="1" applyBorder="1" applyProtection="1">
      <protection locked="0"/>
    </xf>
    <xf numFmtId="170" fontId="42" fillId="0" borderId="17" xfId="1" applyNumberFormat="1" applyBorder="1" applyProtection="1">
      <protection locked="0"/>
    </xf>
    <xf numFmtId="166" fontId="42" fillId="0" borderId="14" xfId="1" applyNumberFormat="1" applyBorder="1" applyProtection="1">
      <protection locked="0"/>
    </xf>
    <xf numFmtId="170" fontId="49" fillId="0" borderId="23" xfId="1" quotePrefix="1" applyNumberFormat="1" applyFont="1" applyBorder="1" applyAlignment="1">
      <alignment horizontal="right"/>
    </xf>
    <xf numFmtId="170" fontId="49" fillId="0" borderId="0" xfId="1" applyNumberFormat="1" applyFont="1" applyProtection="1">
      <protection locked="0"/>
    </xf>
    <xf numFmtId="170" fontId="49" fillId="0" borderId="75" xfId="1" applyNumberFormat="1" applyFont="1" applyBorder="1" applyProtection="1">
      <protection locked="0"/>
    </xf>
    <xf numFmtId="170" fontId="49" fillId="0" borderId="17" xfId="1" applyNumberFormat="1" applyFont="1" applyBorder="1" applyProtection="1">
      <protection locked="0"/>
    </xf>
    <xf numFmtId="172" fontId="49" fillId="0" borderId="45" xfId="1933" applyNumberFormat="1" applyFont="1" applyFill="1" applyBorder="1" applyAlignment="1"/>
    <xf numFmtId="170" fontId="42" fillId="0" borderId="64" xfId="1" applyNumberFormat="1" applyBorder="1" applyProtection="1">
      <protection locked="0"/>
    </xf>
    <xf numFmtId="170" fontId="42" fillId="0" borderId="75" xfId="1" applyNumberFormat="1" applyBorder="1" applyAlignment="1" applyProtection="1">
      <alignment horizontal="center"/>
      <protection locked="0"/>
    </xf>
    <xf numFmtId="170" fontId="42" fillId="0" borderId="0" xfId="1" applyNumberFormat="1" applyAlignment="1" applyProtection="1">
      <alignment horizontal="center"/>
      <protection locked="0"/>
    </xf>
    <xf numFmtId="166" fontId="42" fillId="0" borderId="14" xfId="1" applyNumberFormat="1" applyBorder="1" applyAlignment="1" applyProtection="1">
      <alignment horizontal="center"/>
      <protection locked="0"/>
    </xf>
    <xf numFmtId="170" fontId="49" fillId="0" borderId="10" xfId="1" quotePrefix="1" applyNumberFormat="1" applyFont="1" applyBorder="1" applyAlignment="1">
      <alignment horizontal="right"/>
    </xf>
    <xf numFmtId="170" fontId="49" fillId="0" borderId="0" xfId="1" applyNumberFormat="1" applyFont="1" applyAlignment="1" applyProtection="1">
      <alignment horizontal="center"/>
      <protection locked="0"/>
    </xf>
    <xf numFmtId="170" fontId="49" fillId="0" borderId="10" xfId="1" applyNumberFormat="1" applyFont="1" applyBorder="1"/>
    <xf numFmtId="172" fontId="49" fillId="0" borderId="10" xfId="1" applyNumberFormat="1" applyFont="1" applyBorder="1"/>
    <xf numFmtId="166" fontId="42" fillId="0" borderId="14" xfId="1" quotePrefix="1" applyNumberFormat="1" applyBorder="1" applyAlignment="1" applyProtection="1">
      <alignment horizontal="right"/>
      <protection locked="0"/>
    </xf>
    <xf numFmtId="170" fontId="42" fillId="0" borderId="10" xfId="1" applyNumberFormat="1" applyBorder="1"/>
    <xf numFmtId="170" fontId="42" fillId="0" borderId="64" xfId="1" applyNumberFormat="1" applyBorder="1" applyAlignment="1">
      <alignment horizontal="center"/>
    </xf>
    <xf numFmtId="170" fontId="49" fillId="0" borderId="0" xfId="1" applyNumberFormat="1" applyFont="1" applyAlignment="1" applyProtection="1">
      <alignment horizontal="right"/>
      <protection locked="0"/>
    </xf>
    <xf numFmtId="172" fontId="49" fillId="0" borderId="10" xfId="0" applyNumberFormat="1" applyFont="1" applyBorder="1"/>
    <xf numFmtId="174" fontId="49" fillId="0" borderId="51" xfId="3" applyNumberFormat="1" applyFont="1" applyBorder="1"/>
    <xf numFmtId="172" fontId="49" fillId="0" borderId="51" xfId="1933" applyNumberFormat="1" applyFont="1" applyFill="1" applyBorder="1" applyAlignment="1"/>
    <xf numFmtId="166" fontId="42" fillId="0" borderId="20" xfId="1" applyNumberFormat="1" applyBorder="1"/>
    <xf numFmtId="170" fontId="42" fillId="0" borderId="20" xfId="1" applyNumberFormat="1" applyBorder="1"/>
    <xf numFmtId="170" fontId="49" fillId="0" borderId="10" xfId="1" quotePrefix="1" applyNumberFormat="1" applyFont="1" applyBorder="1"/>
    <xf numFmtId="0" fontId="42" fillId="0" borderId="76" xfId="1" applyBorder="1"/>
    <xf numFmtId="192" fontId="42" fillId="0" borderId="45" xfId="1" applyNumberFormat="1" applyBorder="1"/>
    <xf numFmtId="0" fontId="42" fillId="0" borderId="20" xfId="1" applyBorder="1"/>
    <xf numFmtId="172" fontId="49" fillId="0" borderId="0" xfId="1933" applyNumberFormat="1" applyFont="1" applyFill="1" applyAlignment="1"/>
    <xf numFmtId="10" fontId="42" fillId="0" borderId="0" xfId="1" applyNumberFormat="1"/>
    <xf numFmtId="170" fontId="62" fillId="0" borderId="76" xfId="1" applyNumberFormat="1" applyFont="1" applyBorder="1"/>
    <xf numFmtId="164" fontId="49" fillId="0" borderId="15" xfId="1933" applyNumberFormat="1" applyFont="1" applyFill="1" applyBorder="1" applyAlignment="1"/>
    <xf numFmtId="167" fontId="49" fillId="0" borderId="0" xfId="1" applyNumberFormat="1" applyFont="1"/>
    <xf numFmtId="170" fontId="42" fillId="0" borderId="14" xfId="1" applyNumberFormat="1" applyBorder="1" applyAlignment="1">
      <alignment horizontal="right"/>
    </xf>
    <xf numFmtId="172" fontId="42" fillId="0" borderId="45" xfId="0" applyNumberFormat="1" applyFont="1" applyBorder="1" applyProtection="1">
      <protection locked="0"/>
    </xf>
    <xf numFmtId="164" fontId="0" fillId="0" borderId="45" xfId="1" applyNumberFormat="1" applyFont="1" applyBorder="1"/>
    <xf numFmtId="170" fontId="42"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8" fillId="0" borderId="76" xfId="1" applyNumberFormat="1" applyFont="1" applyBorder="1"/>
    <xf numFmtId="170" fontId="159" fillId="0" borderId="14" xfId="1" applyNumberFormat="1" applyFont="1" applyBorder="1"/>
    <xf numFmtId="174" fontId="158" fillId="0" borderId="0" xfId="1" applyNumberFormat="1" applyFont="1"/>
    <xf numFmtId="174" fontId="158" fillId="0" borderId="16" xfId="1" applyNumberFormat="1" applyFont="1" applyBorder="1"/>
    <xf numFmtId="174" fontId="159" fillId="0" borderId="14" xfId="1" applyNumberFormat="1" applyFont="1" applyBorder="1"/>
    <xf numFmtId="164" fontId="0" fillId="0" borderId="22" xfId="1" applyNumberFormat="1" applyFont="1" applyBorder="1"/>
    <xf numFmtId="164" fontId="42" fillId="0" borderId="26" xfId="0" applyFont="1" applyBorder="1"/>
    <xf numFmtId="170" fontId="49" fillId="0" borderId="76" xfId="1" applyNumberFormat="1" applyFont="1" applyBorder="1" applyAlignment="1">
      <alignment horizontal="center"/>
    </xf>
    <xf numFmtId="0" fontId="0" fillId="0" borderId="19" xfId="1" applyFont="1" applyBorder="1"/>
    <xf numFmtId="0" fontId="0" fillId="0" borderId="14" xfId="1" applyFont="1" applyBorder="1"/>
    <xf numFmtId="174" fontId="42" fillId="0" borderId="16" xfId="1" applyNumberFormat="1" applyBorder="1" applyAlignment="1">
      <alignment horizontal="right"/>
    </xf>
    <xf numFmtId="166" fontId="42" fillId="0" borderId="0" xfId="1" applyNumberFormat="1" applyAlignment="1">
      <alignment horizontal="center"/>
    </xf>
    <xf numFmtId="170" fontId="0" fillId="0" borderId="16" xfId="1" applyNumberFormat="1" applyFont="1" applyBorder="1"/>
    <xf numFmtId="170" fontId="42" fillId="0" borderId="11" xfId="1" applyNumberFormat="1" applyBorder="1"/>
    <xf numFmtId="174" fontId="42" fillId="0" borderId="27" xfId="1" applyNumberFormat="1" applyBorder="1" applyAlignment="1">
      <alignment horizontal="center"/>
    </xf>
    <xf numFmtId="164" fontId="49" fillId="0" borderId="0" xfId="1" applyNumberFormat="1" applyFont="1" applyProtection="1">
      <protection locked="0"/>
    </xf>
    <xf numFmtId="164" fontId="49" fillId="0" borderId="69" xfId="1" applyNumberFormat="1" applyFont="1" applyBorder="1" applyProtection="1">
      <protection locked="0"/>
    </xf>
    <xf numFmtId="164" fontId="42" fillId="0" borderId="0" xfId="1" applyNumberFormat="1" applyProtection="1">
      <protection locked="0"/>
    </xf>
    <xf numFmtId="172" fontId="203" fillId="0" borderId="0" xfId="1" applyNumberFormat="1" applyFont="1"/>
    <xf numFmtId="194" fontId="47" fillId="0" borderId="0" xfId="1"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1" applyNumberFormat="1" applyFont="1"/>
    <xf numFmtId="170" fontId="42" fillId="0" borderId="0" xfId="1" applyNumberFormat="1" applyAlignment="1">
      <alignment horizontal="center" vertical="top"/>
    </xf>
    <xf numFmtId="164" fontId="0" fillId="0" borderId="0" xfId="0" applyAlignment="1">
      <alignment horizontal="center"/>
    </xf>
    <xf numFmtId="192" fontId="42" fillId="0" borderId="0" xfId="17915" applyNumberFormat="1" applyFont="1" applyFill="1"/>
    <xf numFmtId="39" fontId="42" fillId="0" borderId="0" xfId="1" applyNumberFormat="1"/>
    <xf numFmtId="192" fontId="158" fillId="0" borderId="0" xfId="17915" applyNumberFormat="1" applyFont="1" applyFill="1" applyAlignment="1">
      <alignment horizontal="right"/>
    </xf>
    <xf numFmtId="192" fontId="158" fillId="0" borderId="0" xfId="17915" quotePrefix="1" applyNumberFormat="1" applyFont="1" applyFill="1" applyAlignment="1">
      <alignment horizontal="right"/>
    </xf>
    <xf numFmtId="192" fontId="158" fillId="0" borderId="0" xfId="17915" quotePrefix="1" applyNumberFormat="1" applyFont="1" applyFill="1" applyAlignment="1">
      <alignment horizontal="center"/>
    </xf>
    <xf numFmtId="192" fontId="159" fillId="0" borderId="0" xfId="17915" applyNumberFormat="1" applyFont="1" applyFill="1" applyAlignment="1">
      <alignment horizontal="right"/>
    </xf>
    <xf numFmtId="170" fontId="49" fillId="0" borderId="49" xfId="1" quotePrefix="1" applyNumberFormat="1" applyFont="1" applyBorder="1" applyAlignment="1">
      <alignment horizontal="center"/>
    </xf>
    <xf numFmtId="170" fontId="63" fillId="0" borderId="0" xfId="1" quotePrefix="1" applyNumberFormat="1" applyFont="1"/>
    <xf numFmtId="17" fontId="49" fillId="0" borderId="0" xfId="1" quotePrefix="1" applyNumberFormat="1" applyFont="1" applyAlignment="1">
      <alignment horizontal="center"/>
    </xf>
    <xf numFmtId="170" fontId="49" fillId="0" borderId="61" xfId="1" applyNumberFormat="1" applyFont="1" applyBorder="1"/>
    <xf numFmtId="170" fontId="49" fillId="0" borderId="45" xfId="1" quotePrefix="1" applyNumberFormat="1" applyFont="1" applyBorder="1" applyAlignment="1">
      <alignment horizontal="center"/>
    </xf>
    <xf numFmtId="15" fontId="49" fillId="0" borderId="0" xfId="1" quotePrefix="1" applyNumberFormat="1" applyFont="1" applyAlignment="1">
      <alignment horizontal="center"/>
    </xf>
    <xf numFmtId="170" fontId="49" fillId="0" borderId="61" xfId="1" quotePrefix="1" applyNumberFormat="1" applyFont="1" applyBorder="1" applyAlignment="1">
      <alignment horizontal="right"/>
    </xf>
    <xf numFmtId="174" fontId="49" fillId="0" borderId="71" xfId="1" applyNumberFormat="1" applyFont="1" applyBorder="1"/>
    <xf numFmtId="174" fontId="67" fillId="0" borderId="0" xfId="1" applyNumberFormat="1" applyFont="1"/>
    <xf numFmtId="0" fontId="68" fillId="0" borderId="45" xfId="1" applyFont="1" applyBorder="1" applyAlignment="1">
      <alignment horizontal="centerContinuous"/>
    </xf>
    <xf numFmtId="192" fontId="42" fillId="0" borderId="45" xfId="0" applyNumberFormat="1" applyFont="1" applyBorder="1"/>
    <xf numFmtId="172" fontId="49" fillId="0" borderId="61" xfId="1" applyNumberFormat="1" applyFont="1" applyBorder="1"/>
    <xf numFmtId="172" fontId="49" fillId="0" borderId="45" xfId="1933" applyNumberFormat="1" applyFont="1" applyFill="1" applyBorder="1" applyAlignment="1" applyProtection="1"/>
    <xf numFmtId="172" fontId="49" fillId="0" borderId="0" xfId="1" applyNumberFormat="1" applyFont="1"/>
    <xf numFmtId="172" fontId="49" fillId="0" borderId="0" xfId="1933"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37" applyNumberFormat="1" applyFont="1" applyBorder="1"/>
    <xf numFmtId="42" fontId="49" fillId="0" borderId="51" xfId="837" applyNumberFormat="1" applyFont="1" applyBorder="1"/>
    <xf numFmtId="201" fontId="204" fillId="0" borderId="45" xfId="0" quotePrefix="1" applyNumberFormat="1" applyFont="1" applyBorder="1" applyAlignment="1">
      <alignment horizontal="center"/>
    </xf>
    <xf numFmtId="172" fontId="42" fillId="0" borderId="45" xfId="1933" applyNumberFormat="1" applyFont="1" applyFill="1" applyBorder="1" applyAlignment="1"/>
    <xf numFmtId="14" fontId="47" fillId="0" borderId="0" xfId="737" applyNumberFormat="1" applyFont="1" applyAlignment="1">
      <alignment vertical="center"/>
    </xf>
    <xf numFmtId="192" fontId="42" fillId="0" borderId="0" xfId="1" applyNumberFormat="1" applyAlignment="1">
      <alignment horizontal="right"/>
    </xf>
    <xf numFmtId="44" fontId="175" fillId="0" borderId="0" xfId="25853" applyNumberFormat="1"/>
    <xf numFmtId="174" fontId="49" fillId="0" borderId="0" xfId="3" applyNumberFormat="1" applyFont="1" applyAlignment="1">
      <alignment horizontal="center"/>
    </xf>
    <xf numFmtId="170" fontId="49" fillId="0" borderId="0" xfId="3" applyNumberFormat="1" applyFont="1" applyAlignment="1">
      <alignment horizontal="center"/>
    </xf>
    <xf numFmtId="174" fontId="49"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15"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15"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53" applyNumberFormat="1"/>
    <xf numFmtId="0" fontId="177" fillId="0" borderId="0" xfId="25853" applyFont="1" applyAlignment="1">
      <alignment horizontal="left"/>
    </xf>
    <xf numFmtId="0" fontId="70" fillId="0" borderId="0" xfId="25853" applyFont="1"/>
    <xf numFmtId="0" fontId="70" fillId="0" borderId="0" xfId="25853" applyFont="1" applyAlignment="1">
      <alignment horizontal="right"/>
    </xf>
    <xf numFmtId="7" fontId="49" fillId="0" borderId="0" xfId="25853" applyNumberFormat="1" applyFont="1" applyAlignment="1">
      <alignment horizontal="center"/>
    </xf>
    <xf numFmtId="7" fontId="42" fillId="0" borderId="0" xfId="25853" applyNumberFormat="1" applyFont="1"/>
    <xf numFmtId="0" fontId="181" fillId="0" borderId="0" xfId="25853" applyFont="1" applyAlignment="1">
      <alignment horizontal="center" wrapText="1"/>
    </xf>
    <xf numFmtId="37" fontId="146" fillId="0" borderId="0" xfId="25854" applyNumberFormat="1" applyFont="1" applyBorder="1">
      <alignment horizontal="right"/>
    </xf>
    <xf numFmtId="37" fontId="42" fillId="0" borderId="0" xfId="25854" applyNumberFormat="1" applyFont="1" applyBorder="1">
      <alignment horizontal="right"/>
    </xf>
    <xf numFmtId="43" fontId="42" fillId="0" borderId="0" xfId="0" applyNumberFormat="1" applyFont="1" applyAlignment="1">
      <alignment horizontal="right" wrapText="1"/>
    </xf>
    <xf numFmtId="43" fontId="42" fillId="0" borderId="0" xfId="25862" applyNumberFormat="1" applyFont="1"/>
    <xf numFmtId="44" fontId="53" fillId="0" borderId="0" xfId="25862" applyNumberFormat="1" applyFont="1" applyAlignment="1">
      <alignment horizontal="left"/>
    </xf>
    <xf numFmtId="44" fontId="42" fillId="0" borderId="0" xfId="25862" applyNumberFormat="1" applyFont="1"/>
    <xf numFmtId="171" fontId="109" fillId="0" borderId="0" xfId="25853" applyNumberFormat="1" applyFont="1" applyAlignment="1">
      <alignment horizontal="left"/>
    </xf>
    <xf numFmtId="171" fontId="47" fillId="0" borderId="0" xfId="25853" applyNumberFormat="1" applyFont="1"/>
    <xf numFmtId="43" fontId="42" fillId="0" borderId="0" xfId="25853" applyNumberFormat="1" applyFont="1" applyAlignment="1">
      <alignment horizontal="right" wrapText="1"/>
    </xf>
    <xf numFmtId="43" fontId="42" fillId="0" borderId="0" xfId="25853" applyNumberFormat="1" applyFont="1"/>
    <xf numFmtId="43" fontId="42" fillId="0" borderId="0" xfId="25853" applyNumberFormat="1" applyFont="1" applyAlignment="1">
      <alignment horizontal="left"/>
    </xf>
    <xf numFmtId="44" fontId="42" fillId="0" borderId="0" xfId="0" applyNumberFormat="1" applyFont="1"/>
    <xf numFmtId="44" fontId="42" fillId="0" borderId="0" xfId="25853" applyNumberFormat="1" applyFont="1" applyAlignment="1">
      <alignment horizontal="left"/>
    </xf>
    <xf numFmtId="43" fontId="40" fillId="0" borderId="0" xfId="25853" applyNumberFormat="1" applyFont="1" applyAlignment="1">
      <alignment horizontal="left"/>
    </xf>
    <xf numFmtId="43" fontId="47" fillId="0" borderId="0" xfId="25853" applyNumberFormat="1" applyFont="1"/>
    <xf numFmtId="44" fontId="47" fillId="0" borderId="0" xfId="25853" applyNumberFormat="1" applyFont="1"/>
    <xf numFmtId="0" fontId="183" fillId="0" borderId="0" xfId="25853" applyFont="1" applyAlignment="1">
      <alignment horizontal="left"/>
    </xf>
    <xf numFmtId="0" fontId="146" fillId="0" borderId="0" xfId="25854" applyFont="1" applyBorder="1">
      <alignment horizontal="right"/>
    </xf>
    <xf numFmtId="7" fontId="42" fillId="0" borderId="0" xfId="25854" applyNumberFormat="1" applyFont="1" applyBorder="1">
      <alignment horizontal="right"/>
    </xf>
    <xf numFmtId="43" fontId="53" fillId="0" borderId="0" xfId="0" applyNumberFormat="1" applyFont="1" applyAlignment="1">
      <alignment horizontal="right" wrapText="1"/>
    </xf>
    <xf numFmtId="43" fontId="53" fillId="0" borderId="0" xfId="25862" applyNumberFormat="1" applyFont="1" applyAlignment="1">
      <alignment horizontal="left"/>
    </xf>
    <xf numFmtId="43" fontId="53" fillId="0" borderId="0" xfId="25866" applyNumberFormat="1" applyFont="1"/>
    <xf numFmtId="43" fontId="53" fillId="0" borderId="0" xfId="25862" applyNumberFormat="1" applyFont="1"/>
    <xf numFmtId="43" fontId="53" fillId="0" borderId="0" xfId="4571" applyNumberFormat="1" applyFont="1" applyAlignment="1">
      <alignment wrapText="1"/>
    </xf>
    <xf numFmtId="37" fontId="42" fillId="0" borderId="0" xfId="25862" applyNumberFormat="1" applyFont="1" applyAlignment="1">
      <alignment horizontal="left"/>
    </xf>
    <xf numFmtId="37" fontId="42" fillId="0" borderId="0" xfId="25862" applyNumberFormat="1" applyFont="1"/>
    <xf numFmtId="0" fontId="202" fillId="0" borderId="0" xfId="25853" applyFont="1" applyAlignment="1">
      <alignment horizontal="left"/>
    </xf>
    <xf numFmtId="7" fontId="47" fillId="0" borderId="0" xfId="25853" applyNumberFormat="1" applyFont="1"/>
    <xf numFmtId="43" fontId="202" fillId="0" borderId="0" xfId="25853" applyNumberFormat="1" applyFont="1" applyAlignment="1">
      <alignment horizontal="left"/>
    </xf>
    <xf numFmtId="44" fontId="202" fillId="0" borderId="0" xfId="25853" applyNumberFormat="1" applyFont="1" applyAlignment="1">
      <alignment horizontal="left"/>
    </xf>
    <xf numFmtId="43" fontId="42" fillId="0" borderId="0" xfId="25862" applyNumberFormat="1" applyFont="1" applyAlignment="1">
      <alignment horizontal="left"/>
    </xf>
    <xf numFmtId="43" fontId="42" fillId="0" borderId="0" xfId="25866" applyNumberFormat="1" applyFont="1" applyAlignment="1">
      <alignment horizontal="right"/>
    </xf>
    <xf numFmtId="43" fontId="42" fillId="0" borderId="0" xfId="25866" applyNumberFormat="1" applyFont="1"/>
    <xf numFmtId="43" fontId="42" fillId="0" borderId="0" xfId="4571" applyNumberFormat="1" applyAlignment="1">
      <alignment wrapText="1"/>
    </xf>
    <xf numFmtId="43" fontId="42" fillId="0" borderId="0" xfId="25853" applyNumberFormat="1" applyFont="1" applyAlignment="1">
      <alignment horizontal="right"/>
    </xf>
    <xf numFmtId="43" fontId="42" fillId="0" borderId="0" xfId="25853" applyNumberFormat="1" applyFont="1" applyAlignment="1">
      <alignment wrapText="1"/>
    </xf>
    <xf numFmtId="43" fontId="53" fillId="0" borderId="0" xfId="25866"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7915" applyNumberFormat="1" applyFont="1" applyFill="1" applyAlignment="1" applyProtection="1"/>
    <xf numFmtId="44" fontId="42" fillId="0" borderId="0" xfId="25856" applyNumberFormat="1" applyFont="1"/>
    <xf numFmtId="43" fontId="96" fillId="0" borderId="0" xfId="737" applyNumberFormat="1" applyFont="1"/>
    <xf numFmtId="170" fontId="53" fillId="0" borderId="0" xfId="1" applyNumberFormat="1" applyFont="1" applyAlignment="1">
      <alignment horizontal="right"/>
    </xf>
    <xf numFmtId="170" fontId="146" fillId="0" borderId="0" xfId="1" applyNumberFormat="1" applyFont="1"/>
    <xf numFmtId="177" fontId="42" fillId="0" borderId="0" xfId="0" applyNumberFormat="1" applyFont="1" applyAlignment="1">
      <alignment horizontal="center"/>
    </xf>
    <xf numFmtId="177" fontId="0" fillId="0" borderId="0" xfId="0" applyNumberFormat="1"/>
    <xf numFmtId="184" fontId="65" fillId="0" borderId="64" xfId="833" applyNumberFormat="1" applyFont="1" applyBorder="1" applyAlignment="1">
      <alignment horizontal="right"/>
    </xf>
    <xf numFmtId="177" fontId="65" fillId="0" borderId="10" xfId="737" applyNumberFormat="1" applyFont="1" applyBorder="1" applyAlignment="1">
      <alignment horizontal="right"/>
    </xf>
    <xf numFmtId="42" fontId="42" fillId="0" borderId="0" xfId="5450" applyNumberFormat="1" applyAlignment="1">
      <alignment horizontal="right"/>
    </xf>
    <xf numFmtId="41" fontId="63" fillId="0" borderId="0" xfId="5480" applyNumberFormat="1" applyFont="1" applyAlignment="1">
      <alignment horizontal="right"/>
    </xf>
    <xf numFmtId="170" fontId="204" fillId="0" borderId="45" xfId="1" applyNumberFormat="1" applyFont="1" applyBorder="1" applyAlignment="1">
      <alignment horizontal="right"/>
    </xf>
    <xf numFmtId="174" fontId="203" fillId="0" borderId="0" xfId="1" applyNumberFormat="1" applyFont="1"/>
    <xf numFmtId="192" fontId="49" fillId="0" borderId="0" xfId="1" applyNumberFormat="1" applyFont="1"/>
    <xf numFmtId="170" fontId="42" fillId="0" borderId="45" xfId="1" quotePrefix="1" applyNumberFormat="1" applyBorder="1" applyAlignment="1">
      <alignment horizontal="right"/>
    </xf>
    <xf numFmtId="170" fontId="49" fillId="0" borderId="45" xfId="1" quotePrefix="1" applyNumberFormat="1" applyFont="1" applyBorder="1" applyAlignment="1">
      <alignment horizontal="right"/>
    </xf>
    <xf numFmtId="192" fontId="42" fillId="0" borderId="0" xfId="17915" applyNumberFormat="1" applyFont="1" applyFill="1" applyAlignment="1">
      <alignment horizontal="right"/>
    </xf>
    <xf numFmtId="192" fontId="49" fillId="0" borderId="61" xfId="17915" applyNumberFormat="1" applyFont="1" applyFill="1" applyBorder="1" applyAlignment="1">
      <alignment horizontal="right"/>
    </xf>
    <xf numFmtId="192" fontId="49" fillId="0" borderId="45" xfId="17915"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15" quotePrefix="1" applyNumberFormat="1" applyFont="1" applyFill="1" applyAlignment="1">
      <alignment horizontal="right"/>
    </xf>
    <xf numFmtId="174" fontId="146" fillId="0" borderId="0" xfId="5509" applyNumberFormat="1" applyFont="1"/>
    <xf numFmtId="174" fontId="49" fillId="0" borderId="0" xfId="1" quotePrefix="1" applyNumberFormat="1" applyFont="1" applyAlignment="1">
      <alignment horizontal="center"/>
    </xf>
    <xf numFmtId="0" fontId="49" fillId="0" borderId="16" xfId="1" applyFont="1" applyBorder="1" applyAlignment="1">
      <alignment horizontal="center"/>
    </xf>
    <xf numFmtId="170" fontId="203" fillId="0" borderId="16" xfId="1" applyNumberFormat="1" applyFont="1" applyBorder="1" applyAlignment="1">
      <alignment horizontal="right"/>
    </xf>
    <xf numFmtId="166" fontId="42" fillId="0" borderId="0" xfId="5509" applyNumberFormat="1" applyFont="1"/>
    <xf numFmtId="174" fontId="49" fillId="0" borderId="0" xfId="5509" applyNumberFormat="1" applyFont="1"/>
    <xf numFmtId="170" fontId="42" fillId="0" borderId="0" xfId="17915" quotePrefix="1" applyNumberFormat="1" applyFont="1" applyFill="1" applyAlignment="1"/>
    <xf numFmtId="170" fontId="42" fillId="0" borderId="72" xfId="1" applyNumberFormat="1" applyBorder="1"/>
    <xf numFmtId="0" fontId="227" fillId="0" borderId="0" xfId="25853" applyFont="1" applyAlignment="1">
      <alignment horizontal="left"/>
    </xf>
    <xf numFmtId="0" fontId="228" fillId="0" borderId="0" xfId="25853" applyFont="1" applyAlignment="1">
      <alignment horizontal="left"/>
    </xf>
    <xf numFmtId="43" fontId="49" fillId="0" borderId="0" xfId="0" applyNumberFormat="1" applyFont="1" applyAlignment="1">
      <alignment vertical="top" wrapText="1"/>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53" fillId="0" borderId="0" xfId="73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1" applyNumberFormat="1" applyFont="1" applyAlignment="1">
      <alignment horizontal="center"/>
    </xf>
    <xf numFmtId="170" fontId="224" fillId="0" borderId="0" xfId="1" applyNumberFormat="1" applyFont="1"/>
    <xf numFmtId="177" fontId="53" fillId="0" borderId="0" xfId="737" applyNumberFormat="1" applyFont="1" applyAlignment="1">
      <alignment horizontal="right"/>
    </xf>
    <xf numFmtId="165" fontId="49" fillId="0" borderId="17" xfId="0" applyNumberFormat="1" applyFont="1" applyBorder="1"/>
    <xf numFmtId="174" fontId="49" fillId="0" borderId="18" xfId="0" applyNumberFormat="1" applyFont="1" applyBorder="1"/>
    <xf numFmtId="0" fontId="70" fillId="0" borderId="0" xfId="1" applyFont="1" applyAlignment="1" applyProtection="1">
      <alignment horizontal="left" vertical="center"/>
      <protection locked="0"/>
    </xf>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4" fillId="0" borderId="45" xfId="0" applyNumberFormat="1" applyFont="1" applyBorder="1" applyAlignment="1">
      <alignment horizontal="right"/>
    </xf>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4" fontId="146" fillId="0" borderId="0" xfId="25853" applyNumberFormat="1" applyFont="1" applyAlignment="1">
      <alignment horizontal="left"/>
    </xf>
    <xf numFmtId="44" fontId="42" fillId="0" borderId="0" xfId="25853" applyNumberFormat="1" applyFont="1"/>
    <xf numFmtId="0" fontId="84" fillId="0" borderId="0" xfId="838" applyFont="1" applyAlignment="1">
      <alignment horizontal="right"/>
    </xf>
    <xf numFmtId="0" fontId="82" fillId="0" borderId="0" xfId="1025" applyFont="1" applyAlignment="1">
      <alignment horizontal="right"/>
    </xf>
    <xf numFmtId="172" fontId="229" fillId="0" borderId="0" xfId="0" applyNumberFormat="1" applyFont="1"/>
    <xf numFmtId="170" fontId="49" fillId="0" borderId="64" xfId="0" quotePrefix="1" applyNumberFormat="1" applyFont="1" applyBorder="1" applyAlignment="1">
      <alignment horizontal="center"/>
    </xf>
    <xf numFmtId="43" fontId="42" fillId="0" borderId="0" xfId="49836" applyNumberFormat="1" applyFont="1" applyFill="1" applyBorder="1"/>
    <xf numFmtId="43" fontId="49" fillId="0" borderId="0" xfId="49836" applyNumberFormat="1" applyFont="1" applyFill="1" applyBorder="1"/>
    <xf numFmtId="43" fontId="48" fillId="0" borderId="45" xfId="9958" quotePrefix="1" applyNumberFormat="1" applyFont="1" applyBorder="1" applyAlignment="1">
      <alignment horizontal="center"/>
    </xf>
    <xf numFmtId="43" fontId="42" fillId="0" borderId="0" xfId="5500" applyNumberFormat="1" applyFont="1"/>
    <xf numFmtId="172" fontId="49" fillId="0" borderId="25" xfId="0" applyNumberFormat="1" applyFont="1" applyBorder="1" applyProtection="1">
      <protection locked="0"/>
    </xf>
    <xf numFmtId="0" fontId="70" fillId="0" borderId="0" xfId="1" applyFont="1" applyAlignment="1" applyProtection="1">
      <alignment vertical="center"/>
      <protection locked="0"/>
    </xf>
    <xf numFmtId="0" fontId="0" fillId="0" borderId="0" xfId="1" applyFont="1" applyAlignment="1">
      <alignment vertical="center"/>
    </xf>
    <xf numFmtId="181" fontId="47" fillId="0" borderId="0" xfId="0" applyNumberFormat="1" applyFont="1"/>
    <xf numFmtId="44" fontId="42" fillId="0" borderId="0" xfId="25862" applyNumberFormat="1" applyFont="1" applyAlignment="1">
      <alignment horizontal="left"/>
    </xf>
    <xf numFmtId="43" fontId="48" fillId="0" borderId="0" xfId="25853" applyNumberFormat="1" applyFont="1" applyAlignment="1">
      <alignment horizontal="left"/>
    </xf>
    <xf numFmtId="0" fontId="84" fillId="0" borderId="0" xfId="25853" applyFont="1" applyAlignment="1">
      <alignment horizontal="left"/>
    </xf>
    <xf numFmtId="166" fontId="211" fillId="0" borderId="0" xfId="0" applyNumberFormat="1" applyFont="1"/>
    <xf numFmtId="164" fontId="212" fillId="0" borderId="0" xfId="0" applyFont="1"/>
    <xf numFmtId="166" fontId="43" fillId="0" borderId="0" xfId="0" applyNumberFormat="1" applyFont="1"/>
    <xf numFmtId="164" fontId="46" fillId="0" borderId="0" xfId="0" applyFont="1"/>
    <xf numFmtId="0" fontId="70" fillId="0" borderId="0" xfId="1" applyFont="1" applyProtection="1">
      <protection locked="0"/>
    </xf>
    <xf numFmtId="0" fontId="49" fillId="0" borderId="45" xfId="1" quotePrefix="1" applyFont="1" applyBorder="1" applyAlignment="1">
      <alignment horizontal="centerContinuous"/>
    </xf>
    <xf numFmtId="43" fontId="146" fillId="0" borderId="0" xfId="25853" applyNumberFormat="1" applyFont="1" applyAlignment="1">
      <alignment horizontal="left"/>
    </xf>
    <xf numFmtId="43" fontId="42" fillId="0" borderId="0" xfId="25860" applyNumberFormat="1" applyFont="1" applyFill="1" applyBorder="1"/>
    <xf numFmtId="170" fontId="49" fillId="0" borderId="0" xfId="0" quotePrefix="1" applyNumberFormat="1" applyFont="1" applyAlignment="1">
      <alignment horizontal="right"/>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33" borderId="45" xfId="1" applyFont="1" applyFill="1" applyBorder="1" applyAlignment="1">
      <alignment horizontal="center"/>
    </xf>
    <xf numFmtId="166" fontId="76" fillId="0" borderId="0" xfId="1" applyNumberFormat="1" applyFont="1" applyAlignment="1">
      <alignment horizontal="right"/>
    </xf>
    <xf numFmtId="0" fontId="42" fillId="0" borderId="0" xfId="1"/>
    <xf numFmtId="0" fontId="49" fillId="0" borderId="45" xfId="1" quotePrefix="1" applyFont="1" applyBorder="1" applyAlignment="1">
      <alignment horizontal="center"/>
    </xf>
    <xf numFmtId="166" fontId="49" fillId="0" borderId="45" xfId="1" applyNumberFormat="1" applyFont="1" applyBorder="1" applyAlignment="1">
      <alignment horizontal="center"/>
    </xf>
    <xf numFmtId="49" fontId="49" fillId="0" borderId="45" xfId="1" quotePrefix="1" applyNumberFormat="1" applyFont="1" applyBorder="1" applyAlignment="1">
      <alignment horizontal="center"/>
    </xf>
    <xf numFmtId="0" fontId="48" fillId="0" borderId="0" xfId="3" quotePrefix="1" applyFont="1" applyAlignment="1">
      <alignment horizontal="right"/>
    </xf>
    <xf numFmtId="0" fontId="85" fillId="0" borderId="0" xfId="3"/>
    <xf numFmtId="0" fontId="49" fillId="0" borderId="0" xfId="1" quotePrefix="1" applyFont="1" applyAlignment="1">
      <alignment horizontal="center"/>
    </xf>
    <xf numFmtId="180" fontId="82" fillId="0" borderId="0" xfId="1769" quotePrefix="1" applyNumberFormat="1" applyFont="1" applyAlignment="1">
      <alignment horizontal="justify" vertical="top"/>
    </xf>
    <xf numFmtId="180" fontId="82" fillId="0" borderId="0" xfId="1769" quotePrefix="1" applyNumberFormat="1" applyFont="1" applyAlignment="1">
      <alignment horizontal="justify" vertical="top" wrapText="1"/>
    </xf>
    <xf numFmtId="180" fontId="49" fillId="0" borderId="0" xfId="1769" quotePrefix="1" applyNumberFormat="1" applyFont="1" applyAlignment="1">
      <alignment horizontal="left" vertical="distributed" wrapText="1"/>
    </xf>
    <xf numFmtId="0" fontId="48" fillId="0" borderId="45" xfId="9958" applyFont="1" applyBorder="1" applyAlignment="1">
      <alignment horizontal="center"/>
    </xf>
    <xf numFmtId="0" fontId="42" fillId="0" borderId="0" xfId="14" applyNumberFormat="1" applyAlignment="1">
      <alignment horizontal="left" wrapText="1"/>
    </xf>
    <xf numFmtId="0" fontId="65" fillId="0" borderId="30" xfId="736" applyFont="1" applyBorder="1" applyAlignment="1">
      <alignment horizontal="justify" vertical="center" wrapText="1"/>
    </xf>
    <xf numFmtId="0" fontId="65" fillId="0" borderId="31" xfId="736" applyFont="1" applyBorder="1" applyAlignment="1">
      <alignment horizontal="justify" vertical="center" wrapText="1"/>
    </xf>
    <xf numFmtId="0" fontId="65" fillId="0" borderId="32" xfId="736" applyFont="1" applyBorder="1" applyAlignment="1">
      <alignment horizontal="justify" vertical="center" wrapText="1"/>
    </xf>
    <xf numFmtId="0" fontId="65" fillId="0" borderId="33" xfId="736" applyFont="1" applyBorder="1" applyAlignment="1">
      <alignment horizontal="justify" vertical="center" wrapText="1"/>
    </xf>
    <xf numFmtId="0" fontId="65" fillId="0" borderId="0" xfId="736" applyFont="1" applyAlignment="1">
      <alignment horizontal="justify" vertical="center" wrapText="1"/>
    </xf>
    <xf numFmtId="0" fontId="65" fillId="0" borderId="24" xfId="736" applyFont="1" applyBorder="1" applyAlignment="1">
      <alignment horizontal="justify" vertical="center" wrapText="1"/>
    </xf>
    <xf numFmtId="0" fontId="65" fillId="0" borderId="34" xfId="736" applyFont="1" applyBorder="1" applyAlignment="1">
      <alignment horizontal="justify" vertical="center" wrapText="1"/>
    </xf>
    <xf numFmtId="0" fontId="65" fillId="0" borderId="29" xfId="736" applyFont="1" applyBorder="1" applyAlignment="1">
      <alignment horizontal="justify" vertical="center" wrapText="1"/>
    </xf>
    <xf numFmtId="0" fontId="65" fillId="0" borderId="35" xfId="736" applyFont="1" applyBorder="1" applyAlignment="1">
      <alignment horizontal="justify" vertical="center" wrapText="1"/>
    </xf>
    <xf numFmtId="17" fontId="49" fillId="0" borderId="45" xfId="25853" quotePrefix="1" applyNumberFormat="1" applyFont="1" applyBorder="1" applyAlignment="1">
      <alignment horizontal="center"/>
    </xf>
    <xf numFmtId="7" fontId="49" fillId="0" borderId="45" xfId="25853" applyNumberFormat="1" applyFont="1" applyBorder="1" applyAlignment="1">
      <alignment horizontal="center"/>
    </xf>
    <xf numFmtId="17" fontId="49" fillId="0" borderId="10" xfId="25853" quotePrefix="1" applyNumberFormat="1" applyFont="1" applyBorder="1" applyAlignment="1">
      <alignment horizontal="center"/>
    </xf>
    <xf numFmtId="7" fontId="49"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zoomScaleNormal="100" workbookViewId="0"/>
  </sheetViews>
  <sheetFormatPr defaultColWidth="8.88671875" defaultRowHeight="12.75"/>
  <cols>
    <col min="1" max="1" width="2.109375" style="241" customWidth="1"/>
    <col min="2" max="2" width="22.88671875" style="241" customWidth="1"/>
    <col min="3" max="3" width="6" style="241" customWidth="1"/>
    <col min="4" max="4" width="24.109375" style="241" customWidth="1"/>
    <col min="5" max="6" width="12.44140625" style="241" customWidth="1"/>
    <col min="7" max="7" width="4" style="241" customWidth="1"/>
    <col min="8" max="8" width="12.44140625" style="241" customWidth="1"/>
    <col min="9" max="9" width="12" style="241" customWidth="1"/>
    <col min="10" max="10" width="3.88671875" style="241" customWidth="1"/>
    <col min="11" max="11" width="28.44140625" style="241" customWidth="1"/>
    <col min="12" max="16384" width="8.88671875" style="241"/>
  </cols>
  <sheetData>
    <row r="1" spans="1:11" s="238" customFormat="1">
      <c r="A1" s="236"/>
      <c r="B1" s="236"/>
      <c r="C1" s="236"/>
      <c r="D1" s="236"/>
      <c r="E1" s="236"/>
      <c r="F1" s="236"/>
      <c r="G1" s="236"/>
      <c r="H1" s="236"/>
      <c r="I1" s="236"/>
      <c r="J1" s="237"/>
    </row>
    <row r="2" spans="1:11" s="238" customFormat="1">
      <c r="A2" s="236"/>
      <c r="B2" s="236"/>
      <c r="C2" s="236"/>
      <c r="D2" s="236"/>
      <c r="E2" s="236"/>
      <c r="F2" s="236"/>
      <c r="G2" s="236"/>
      <c r="H2" s="236"/>
      <c r="I2" s="236"/>
      <c r="J2" s="237"/>
    </row>
    <row r="3" spans="1:11" s="238" customFormat="1">
      <c r="A3" s="236"/>
      <c r="B3" s="236"/>
      <c r="C3" s="236"/>
      <c r="D3" s="236"/>
      <c r="E3" s="236"/>
      <c r="F3" s="236"/>
      <c r="G3" s="236"/>
      <c r="H3" s="236"/>
      <c r="I3" s="236"/>
      <c r="J3" s="237"/>
    </row>
    <row r="4" spans="1:11" s="238" customFormat="1">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75" thickBot="1">
      <c r="A8" s="239"/>
      <c r="B8" s="239"/>
      <c r="C8" s="239"/>
      <c r="D8" s="239"/>
      <c r="E8" s="239"/>
      <c r="F8" s="239"/>
      <c r="G8" s="239"/>
      <c r="H8" s="239"/>
      <c r="I8" s="239"/>
      <c r="J8" s="240"/>
    </row>
    <row r="9" spans="1:11" ht="18.75" thickTop="1">
      <c r="A9" s="242" t="s">
        <v>6</v>
      </c>
      <c r="B9" s="243"/>
      <c r="C9" s="243"/>
      <c r="D9" s="243"/>
      <c r="E9" s="243"/>
      <c r="F9" s="243"/>
      <c r="G9" s="243"/>
      <c r="H9" s="243"/>
      <c r="I9" s="243"/>
      <c r="J9" s="244"/>
    </row>
    <row r="10" spans="1:11" ht="18.75" thickBot="1">
      <c r="A10" s="560" t="str">
        <f>_xlfn.TEXTAFTER('Exh D Governmental  '!A6," ",4)</f>
        <v>NOVEMBER 30, 2025</v>
      </c>
      <c r="B10" s="239"/>
      <c r="C10" s="239"/>
      <c r="D10" s="239"/>
      <c r="E10" s="239"/>
      <c r="F10" s="239"/>
      <c r="G10" s="239"/>
      <c r="H10" s="239"/>
      <c r="I10" s="239"/>
      <c r="J10" s="244"/>
      <c r="K10" s="1521"/>
    </row>
    <row r="11" spans="1:11" ht="18.75" thickTop="1">
      <c r="A11" s="245"/>
      <c r="B11" s="246"/>
      <c r="C11" s="246"/>
      <c r="D11" s="246"/>
      <c r="E11" s="246"/>
      <c r="F11" s="246"/>
      <c r="G11" s="246"/>
      <c r="H11" s="246"/>
      <c r="I11" s="246"/>
      <c r="J11" s="247"/>
      <c r="K11" s="1521"/>
    </row>
    <row r="12" spans="1:11">
      <c r="A12" s="236" t="s">
        <v>7</v>
      </c>
      <c r="B12" s="239"/>
      <c r="C12" s="239"/>
      <c r="D12" s="239"/>
      <c r="E12" s="236"/>
      <c r="F12" s="236"/>
      <c r="G12" s="236"/>
      <c r="H12" s="239"/>
      <c r="I12" s="239"/>
      <c r="J12" s="248"/>
    </row>
    <row r="13" spans="1:11">
      <c r="A13" s="238"/>
      <c r="J13" s="248"/>
    </row>
    <row r="14" spans="1:11">
      <c r="A14" s="238" t="s">
        <v>8</v>
      </c>
      <c r="B14" s="251"/>
      <c r="J14" s="249"/>
    </row>
    <row r="15" spans="1:11">
      <c r="A15" s="238"/>
      <c r="B15" s="276"/>
      <c r="J15" s="249"/>
    </row>
    <row r="16" spans="1:11">
      <c r="A16" s="238"/>
      <c r="B16" s="524" t="s">
        <v>9</v>
      </c>
      <c r="D16" s="250" t="s">
        <v>10</v>
      </c>
      <c r="F16" s="251"/>
      <c r="J16" s="277">
        <v>2</v>
      </c>
    </row>
    <row r="17" spans="1:11">
      <c r="A17" s="238"/>
      <c r="B17" s="524" t="s">
        <v>11</v>
      </c>
      <c r="D17" s="241" t="s">
        <v>12</v>
      </c>
      <c r="E17" s="1112"/>
      <c r="F17" s="1113"/>
      <c r="G17" s="1112"/>
      <c r="H17" s="1112"/>
      <c r="I17" s="1112"/>
      <c r="J17" s="277">
        <v>3</v>
      </c>
    </row>
    <row r="18" spans="1:11">
      <c r="A18" s="253"/>
      <c r="B18" s="519" t="s">
        <v>13</v>
      </c>
      <c r="D18" s="996" t="s">
        <v>14</v>
      </c>
      <c r="E18" s="250"/>
      <c r="F18" s="250"/>
      <c r="G18" s="250"/>
      <c r="H18" s="250"/>
      <c r="I18" s="250"/>
      <c r="J18" s="277">
        <v>4</v>
      </c>
    </row>
    <row r="19" spans="1:11">
      <c r="A19" s="238"/>
      <c r="B19" s="519" t="s">
        <v>15</v>
      </c>
      <c r="D19" s="997" t="s">
        <v>16</v>
      </c>
      <c r="E19" s="997"/>
      <c r="F19" s="997"/>
      <c r="G19" s="997"/>
      <c r="H19" s="997"/>
      <c r="I19" s="997"/>
      <c r="J19" s="277">
        <v>5</v>
      </c>
    </row>
    <row r="20" spans="1:11">
      <c r="A20" s="238"/>
      <c r="B20" s="519" t="s">
        <v>17</v>
      </c>
      <c r="D20" s="997" t="s">
        <v>18</v>
      </c>
      <c r="E20" s="997"/>
      <c r="F20" s="997"/>
      <c r="G20" s="997"/>
      <c r="H20" s="997"/>
      <c r="I20" s="997"/>
      <c r="J20" s="277">
        <v>6</v>
      </c>
    </row>
    <row r="21" spans="1:11">
      <c r="A21" s="238"/>
      <c r="B21" s="524" t="s">
        <v>19</v>
      </c>
      <c r="D21" s="996" t="s">
        <v>20</v>
      </c>
      <c r="E21" s="997"/>
      <c r="F21" s="997"/>
      <c r="G21" s="997"/>
      <c r="H21" s="997"/>
      <c r="I21" s="997"/>
      <c r="J21" s="277">
        <v>7</v>
      </c>
    </row>
    <row r="22" spans="1:11">
      <c r="A22" s="238"/>
      <c r="B22" s="519" t="s">
        <v>21</v>
      </c>
      <c r="D22" s="996" t="s">
        <v>22</v>
      </c>
      <c r="E22" s="997"/>
      <c r="F22" s="997"/>
      <c r="G22" s="997"/>
      <c r="H22" s="997"/>
      <c r="I22" s="997"/>
      <c r="J22" s="277">
        <v>8</v>
      </c>
    </row>
    <row r="23" spans="1:11">
      <c r="A23" s="238"/>
      <c r="B23" s="524" t="s">
        <v>23</v>
      </c>
      <c r="D23" s="996" t="s">
        <v>24</v>
      </c>
      <c r="E23" s="997"/>
      <c r="F23" s="997"/>
      <c r="G23" s="997"/>
      <c r="H23" s="997"/>
      <c r="I23" s="997"/>
      <c r="J23" s="277">
        <v>9</v>
      </c>
    </row>
    <row r="24" spans="1:11">
      <c r="A24" s="238"/>
      <c r="B24" s="519" t="s">
        <v>25</v>
      </c>
      <c r="D24" s="996" t="s">
        <v>26</v>
      </c>
      <c r="E24" s="997"/>
      <c r="F24" s="997"/>
      <c r="G24" s="997"/>
      <c r="H24" s="997"/>
      <c r="I24" s="997"/>
      <c r="J24" s="277">
        <v>10</v>
      </c>
    </row>
    <row r="25" spans="1:11">
      <c r="A25" s="238"/>
      <c r="B25" s="519" t="s">
        <v>27</v>
      </c>
      <c r="D25" s="996" t="s">
        <v>28</v>
      </c>
      <c r="E25" s="997"/>
      <c r="F25" s="997"/>
      <c r="G25" s="997"/>
      <c r="H25" s="997"/>
      <c r="I25" s="997"/>
      <c r="J25" s="277">
        <v>11</v>
      </c>
    </row>
    <row r="26" spans="1:11">
      <c r="A26" s="238"/>
      <c r="B26" s="519" t="s">
        <v>29</v>
      </c>
      <c r="D26" s="996" t="s">
        <v>30</v>
      </c>
      <c r="E26" s="997"/>
      <c r="F26" s="997"/>
      <c r="G26" s="997"/>
      <c r="H26" s="997"/>
      <c r="I26" s="997"/>
      <c r="J26" s="277">
        <v>12</v>
      </c>
    </row>
    <row r="27" spans="1:11">
      <c r="A27" s="238"/>
      <c r="B27" s="519" t="s">
        <v>31</v>
      </c>
      <c r="D27" s="996" t="s">
        <v>32</v>
      </c>
      <c r="E27" s="997"/>
      <c r="F27" s="997"/>
      <c r="G27" s="997"/>
      <c r="H27" s="997"/>
      <c r="I27" s="997"/>
      <c r="J27" s="277">
        <v>13</v>
      </c>
    </row>
    <row r="28" spans="1:11">
      <c r="A28" s="238"/>
      <c r="B28" s="519" t="s">
        <v>33</v>
      </c>
      <c r="D28" s="996" t="s">
        <v>34</v>
      </c>
      <c r="E28" s="997"/>
      <c r="F28" s="997"/>
      <c r="G28" s="997"/>
      <c r="H28" s="997"/>
      <c r="I28" s="997"/>
      <c r="J28" s="277">
        <v>14</v>
      </c>
    </row>
    <row r="29" spans="1:11">
      <c r="A29" s="238"/>
      <c r="B29" s="519" t="s">
        <v>35</v>
      </c>
      <c r="D29" s="254" t="s">
        <v>36</v>
      </c>
      <c r="E29" s="997"/>
      <c r="F29" s="997"/>
      <c r="G29" s="997"/>
      <c r="H29" s="997"/>
      <c r="I29" s="997"/>
      <c r="J29" s="277">
        <v>15</v>
      </c>
    </row>
    <row r="30" spans="1:11">
      <c r="A30" s="238"/>
      <c r="B30" s="524" t="s">
        <v>37</v>
      </c>
      <c r="D30" s="996" t="s">
        <v>38</v>
      </c>
      <c r="E30" s="996"/>
      <c r="F30" s="996"/>
      <c r="G30" s="996"/>
      <c r="H30" s="996"/>
      <c r="I30" s="996"/>
      <c r="J30" s="277">
        <v>16</v>
      </c>
      <c r="K30" s="238"/>
    </row>
    <row r="31" spans="1:11">
      <c r="A31" s="238"/>
      <c r="B31" s="519" t="s">
        <v>39</v>
      </c>
      <c r="D31" s="996" t="s">
        <v>12</v>
      </c>
      <c r="E31" s="1112"/>
      <c r="F31" s="1112"/>
      <c r="G31" s="1112"/>
      <c r="H31" s="1112"/>
      <c r="I31" s="1112"/>
      <c r="J31" s="277">
        <v>18</v>
      </c>
      <c r="K31" s="238"/>
    </row>
    <row r="32" spans="1:11">
      <c r="A32" s="238"/>
      <c r="B32" s="519"/>
      <c r="J32" s="277"/>
      <c r="K32" s="238"/>
    </row>
    <row r="33" spans="1:11">
      <c r="A33" s="238"/>
      <c r="B33" s="520"/>
      <c r="J33" s="277"/>
    </row>
    <row r="34" spans="1:11">
      <c r="A34" s="238" t="s">
        <v>40</v>
      </c>
      <c r="B34" s="521"/>
      <c r="C34" s="238"/>
      <c r="D34" s="238"/>
      <c r="E34" s="238"/>
      <c r="F34" s="238"/>
      <c r="G34" s="238"/>
      <c r="H34" s="238"/>
      <c r="I34" s="238"/>
      <c r="J34" s="278"/>
    </row>
    <row r="35" spans="1:11">
      <c r="A35" s="238"/>
      <c r="B35" s="521"/>
      <c r="C35" s="238"/>
      <c r="D35" s="238"/>
      <c r="E35" s="238"/>
      <c r="F35" s="238"/>
      <c r="G35" s="238"/>
      <c r="H35" s="238"/>
      <c r="I35" s="238"/>
      <c r="J35" s="278"/>
    </row>
    <row r="36" spans="1:11">
      <c r="A36" s="238"/>
      <c r="B36" s="524" t="s">
        <v>41</v>
      </c>
      <c r="D36" s="250" t="s">
        <v>42</v>
      </c>
      <c r="E36" s="250"/>
      <c r="F36" s="250"/>
      <c r="G36" s="250"/>
      <c r="H36" s="250"/>
      <c r="I36" s="250"/>
      <c r="J36" s="277">
        <v>20</v>
      </c>
    </row>
    <row r="37" spans="1:11">
      <c r="A37" s="238"/>
      <c r="B37" s="524" t="s">
        <v>43</v>
      </c>
      <c r="D37" s="241" t="s">
        <v>44</v>
      </c>
      <c r="J37" s="277">
        <v>22</v>
      </c>
    </row>
    <row r="38" spans="1:11">
      <c r="A38" s="238"/>
      <c r="B38" s="524" t="s">
        <v>45</v>
      </c>
      <c r="D38" s="997" t="s">
        <v>46</v>
      </c>
      <c r="E38" s="997"/>
      <c r="F38" s="997"/>
      <c r="G38" s="997"/>
      <c r="H38" s="997"/>
      <c r="I38" s="997"/>
      <c r="J38" s="277">
        <v>24</v>
      </c>
    </row>
    <row r="39" spans="1:11">
      <c r="A39" s="238"/>
      <c r="B39" s="524" t="s">
        <v>47</v>
      </c>
      <c r="D39" s="997" t="s">
        <v>48</v>
      </c>
      <c r="E39" s="997"/>
      <c r="F39" s="997"/>
      <c r="G39" s="997"/>
      <c r="H39" s="997"/>
      <c r="I39" s="997"/>
      <c r="J39" s="277">
        <v>26</v>
      </c>
    </row>
    <row r="40" spans="1:11">
      <c r="A40" s="238"/>
      <c r="B40" s="519" t="s">
        <v>49</v>
      </c>
      <c r="D40" s="997" t="s">
        <v>50</v>
      </c>
      <c r="E40" s="997"/>
      <c r="F40" s="997"/>
      <c r="G40" s="997"/>
      <c r="H40" s="997"/>
      <c r="I40" s="997"/>
      <c r="J40" s="277">
        <v>28</v>
      </c>
    </row>
    <row r="41" spans="1:11">
      <c r="A41" s="238"/>
      <c r="B41" s="524" t="s">
        <v>51</v>
      </c>
      <c r="D41" s="997" t="s">
        <v>52</v>
      </c>
      <c r="E41" s="997"/>
      <c r="F41" s="997"/>
      <c r="G41" s="997"/>
      <c r="H41" s="997"/>
      <c r="I41" s="997"/>
      <c r="J41" s="277">
        <v>29</v>
      </c>
    </row>
    <row r="42" spans="1:11">
      <c r="A42" s="238"/>
      <c r="B42" s="524" t="s">
        <v>53</v>
      </c>
      <c r="D42" s="997" t="s">
        <v>54</v>
      </c>
      <c r="E42" s="997"/>
      <c r="F42" s="997"/>
      <c r="G42" s="997"/>
      <c r="H42" s="997"/>
      <c r="I42" s="997"/>
      <c r="J42" s="277">
        <v>31</v>
      </c>
    </row>
    <row r="43" spans="1:11">
      <c r="A43" s="238"/>
      <c r="B43" s="524" t="s">
        <v>55</v>
      </c>
      <c r="D43" s="997" t="s">
        <v>56</v>
      </c>
      <c r="E43" s="997"/>
      <c r="F43" s="997"/>
      <c r="G43" s="997"/>
      <c r="H43" s="997"/>
      <c r="I43" s="997"/>
      <c r="J43" s="277">
        <v>33</v>
      </c>
    </row>
    <row r="44" spans="1:11">
      <c r="A44" s="238"/>
      <c r="B44" s="519" t="s">
        <v>57</v>
      </c>
      <c r="D44" s="997" t="s">
        <v>58</v>
      </c>
      <c r="E44" s="997"/>
      <c r="F44" s="997"/>
      <c r="G44" s="997"/>
      <c r="H44" s="997"/>
      <c r="I44" s="997"/>
      <c r="J44" s="277">
        <v>34</v>
      </c>
    </row>
    <row r="45" spans="1:11">
      <c r="A45" s="238"/>
      <c r="B45" s="524" t="s">
        <v>59</v>
      </c>
      <c r="D45" s="997" t="s">
        <v>60</v>
      </c>
      <c r="E45" s="997"/>
      <c r="F45" s="997"/>
      <c r="G45" s="997"/>
      <c r="H45" s="997"/>
      <c r="I45" s="997"/>
      <c r="J45" s="277">
        <v>35</v>
      </c>
    </row>
    <row r="46" spans="1:11">
      <c r="A46" s="238"/>
      <c r="B46" s="519" t="s">
        <v>61</v>
      </c>
      <c r="D46" s="997" t="s">
        <v>62</v>
      </c>
      <c r="E46" s="997"/>
      <c r="F46" s="997"/>
      <c r="G46" s="997"/>
      <c r="H46" s="997"/>
      <c r="I46" s="997"/>
      <c r="J46" s="277">
        <v>36</v>
      </c>
    </row>
    <row r="47" spans="1:11">
      <c r="A47" s="238"/>
      <c r="B47" s="519" t="s">
        <v>63</v>
      </c>
      <c r="D47" s="996" t="s">
        <v>64</v>
      </c>
      <c r="E47" s="996"/>
      <c r="F47" s="996"/>
      <c r="G47" s="996"/>
      <c r="H47" s="996"/>
      <c r="I47" s="996"/>
      <c r="J47" s="277">
        <v>37</v>
      </c>
      <c r="K47" s="238"/>
    </row>
    <row r="48" spans="1:11">
      <c r="A48" s="238"/>
      <c r="B48" s="520"/>
      <c r="J48" s="277"/>
    </row>
    <row r="49" spans="1:11">
      <c r="A49" s="238" t="s">
        <v>65</v>
      </c>
      <c r="B49" s="520"/>
      <c r="J49" s="277"/>
    </row>
    <row r="50" spans="1:11">
      <c r="A50" s="238"/>
      <c r="B50" s="521"/>
      <c r="C50" s="238"/>
      <c r="D50" s="238"/>
      <c r="E50" s="238"/>
      <c r="F50" s="238"/>
      <c r="G50" s="238"/>
      <c r="H50" s="238"/>
      <c r="I50" s="238"/>
      <c r="J50" s="278"/>
    </row>
    <row r="51" spans="1:11">
      <c r="A51" s="238"/>
      <c r="B51" s="519" t="s">
        <v>66</v>
      </c>
      <c r="D51" s="241" t="s">
        <v>67</v>
      </c>
      <c r="J51" s="277">
        <v>38</v>
      </c>
    </row>
    <row r="52" spans="1:11">
      <c r="A52" s="238"/>
      <c r="B52" s="519" t="s">
        <v>68</v>
      </c>
      <c r="D52" s="997" t="s">
        <v>69</v>
      </c>
      <c r="E52" s="997"/>
      <c r="F52" s="997"/>
      <c r="G52" s="997"/>
      <c r="H52" s="997"/>
      <c r="I52" s="997"/>
      <c r="J52" s="277">
        <v>41</v>
      </c>
    </row>
    <row r="53" spans="1:11">
      <c r="A53" s="238"/>
      <c r="B53" s="519" t="s">
        <v>70</v>
      </c>
      <c r="D53" s="997" t="s">
        <v>71</v>
      </c>
      <c r="E53" s="997"/>
      <c r="F53" s="997"/>
      <c r="G53" s="997"/>
      <c r="H53" s="997"/>
      <c r="I53" s="997"/>
      <c r="J53" s="277">
        <v>42</v>
      </c>
    </row>
    <row r="54" spans="1:11">
      <c r="A54" s="238"/>
      <c r="B54" s="519" t="s">
        <v>72</v>
      </c>
      <c r="D54" s="997" t="s">
        <v>73</v>
      </c>
      <c r="E54" s="997"/>
      <c r="F54" s="997"/>
      <c r="G54" s="997"/>
      <c r="H54" s="997"/>
      <c r="I54" s="997"/>
      <c r="J54" s="277">
        <v>43</v>
      </c>
    </row>
    <row r="55" spans="1:11">
      <c r="A55" s="238"/>
      <c r="B55" s="519" t="s">
        <v>74</v>
      </c>
      <c r="D55" s="997" t="s">
        <v>75</v>
      </c>
      <c r="E55" s="997"/>
      <c r="F55" s="997"/>
      <c r="G55" s="997"/>
      <c r="H55" s="997"/>
      <c r="I55" s="997"/>
      <c r="J55" s="277">
        <v>44</v>
      </c>
      <c r="K55" s="255"/>
    </row>
    <row r="56" spans="1:11">
      <c r="A56" s="238"/>
      <c r="B56" s="524" t="s">
        <v>76</v>
      </c>
      <c r="D56" s="997" t="s">
        <v>1469</v>
      </c>
      <c r="E56" s="997"/>
      <c r="F56" s="997"/>
      <c r="G56" s="997"/>
      <c r="H56" s="997"/>
      <c r="I56" s="997"/>
      <c r="J56" s="277">
        <v>45</v>
      </c>
      <c r="K56" s="248"/>
    </row>
    <row r="57" spans="1:11">
      <c r="A57" s="238"/>
      <c r="B57" s="519" t="s">
        <v>77</v>
      </c>
      <c r="D57" s="996" t="s">
        <v>78</v>
      </c>
      <c r="E57" s="996"/>
      <c r="F57" s="996"/>
      <c r="G57" s="996"/>
      <c r="H57" s="996"/>
      <c r="I57" s="996"/>
      <c r="J57" s="277">
        <v>46</v>
      </c>
      <c r="K57" s="248"/>
    </row>
    <row r="58" spans="1:11">
      <c r="A58" s="238"/>
      <c r="B58" s="522" t="s">
        <v>79</v>
      </c>
      <c r="D58" s="250" t="s">
        <v>80</v>
      </c>
      <c r="E58" s="250"/>
      <c r="F58" s="250"/>
      <c r="G58" s="250"/>
      <c r="H58" s="250"/>
      <c r="I58" s="250"/>
      <c r="J58" s="277">
        <v>47</v>
      </c>
      <c r="K58" s="248"/>
    </row>
    <row r="59" spans="1:11">
      <c r="A59" s="238"/>
      <c r="B59" s="523" t="s">
        <v>81</v>
      </c>
      <c r="D59" s="1112" t="s">
        <v>82</v>
      </c>
      <c r="E59" s="1112"/>
      <c r="F59" s="1112"/>
      <c r="G59" s="1112"/>
      <c r="H59" s="1112"/>
      <c r="I59" s="1112"/>
      <c r="J59" s="277">
        <v>48</v>
      </c>
      <c r="K59" s="248"/>
    </row>
    <row r="60" spans="1:11">
      <c r="A60" s="238"/>
      <c r="B60" s="523" t="s">
        <v>83</v>
      </c>
      <c r="D60" s="1114" t="s">
        <v>84</v>
      </c>
      <c r="E60" s="1112"/>
      <c r="F60" s="1114"/>
      <c r="G60" s="1112"/>
      <c r="H60" s="1112"/>
      <c r="I60" s="1112"/>
      <c r="J60" s="277">
        <v>49</v>
      </c>
      <c r="K60" s="248"/>
    </row>
    <row r="61" spans="1:11">
      <c r="A61" s="238"/>
      <c r="B61" s="523" t="s">
        <v>85</v>
      </c>
      <c r="D61" s="1112" t="s">
        <v>86</v>
      </c>
      <c r="E61" s="1112"/>
      <c r="F61" s="1112"/>
      <c r="G61" s="1112"/>
      <c r="H61" s="1112"/>
      <c r="I61" s="1112"/>
      <c r="J61" s="277">
        <v>50</v>
      </c>
    </row>
    <row r="62" spans="1:11">
      <c r="A62" s="238"/>
      <c r="B62" s="587" t="s">
        <v>87</v>
      </c>
      <c r="D62" s="1112" t="s">
        <v>88</v>
      </c>
      <c r="E62" s="1112"/>
      <c r="F62" s="1112"/>
      <c r="G62" s="1112"/>
      <c r="H62" s="1113"/>
      <c r="I62" s="1112"/>
      <c r="J62" s="277">
        <v>51</v>
      </c>
    </row>
    <row r="63" spans="1:11">
      <c r="A63" s="238"/>
      <c r="B63" s="587" t="s">
        <v>89</v>
      </c>
      <c r="D63" s="1112" t="s">
        <v>90</v>
      </c>
      <c r="E63" s="1112"/>
      <c r="F63" s="1112"/>
      <c r="G63" s="1112"/>
      <c r="H63" s="1113"/>
      <c r="I63" s="1112"/>
      <c r="J63" s="277">
        <v>52</v>
      </c>
    </row>
    <row r="64" spans="1:11">
      <c r="A64" s="238"/>
      <c r="B64" s="524" t="s">
        <v>91</v>
      </c>
      <c r="D64" s="1112" t="s">
        <v>92</v>
      </c>
      <c r="E64" s="1112"/>
      <c r="F64" s="1112"/>
      <c r="G64" s="1112"/>
      <c r="H64" s="1113"/>
      <c r="I64" s="1112"/>
      <c r="J64" s="277">
        <v>56</v>
      </c>
    </row>
    <row r="65" spans="1:10" ht="13.35" customHeight="1">
      <c r="A65" s="238"/>
      <c r="B65" s="524" t="s">
        <v>93</v>
      </c>
      <c r="D65" s="1112" t="s">
        <v>94</v>
      </c>
      <c r="E65" s="1112"/>
      <c r="F65" s="1112"/>
      <c r="G65" s="1112"/>
      <c r="H65" s="1113"/>
      <c r="I65" s="1112"/>
      <c r="J65" s="277">
        <v>57</v>
      </c>
    </row>
    <row r="66" spans="1:10" ht="13.35" customHeight="1">
      <c r="A66" s="238"/>
      <c r="B66" s="524" t="s">
        <v>95</v>
      </c>
      <c r="D66" s="1112" t="s">
        <v>96</v>
      </c>
      <c r="E66" s="1112"/>
      <c r="F66" s="1112"/>
      <c r="G66" s="1112"/>
      <c r="H66" s="1113"/>
      <c r="I66" s="1112"/>
      <c r="J66" s="277">
        <v>58</v>
      </c>
    </row>
    <row r="67" spans="1:10" ht="13.35" customHeight="1">
      <c r="A67" s="238"/>
      <c r="B67" s="256"/>
      <c r="D67" s="251"/>
      <c r="E67" s="251"/>
      <c r="F67" s="251"/>
      <c r="G67" s="251"/>
      <c r="H67" s="251"/>
      <c r="I67" s="251"/>
      <c r="J67" s="252"/>
    </row>
    <row r="68" spans="1:10" ht="13.35" customHeight="1">
      <c r="A68" s="238"/>
      <c r="B68" s="256"/>
      <c r="D68" s="251"/>
      <c r="E68" s="251"/>
      <c r="F68" s="251"/>
      <c r="G68" s="251"/>
      <c r="H68" s="251"/>
      <c r="I68" s="251"/>
      <c r="J68" s="252"/>
    </row>
    <row r="69" spans="1:10" ht="13.35" customHeight="1">
      <c r="A69" s="238"/>
      <c r="B69" s="256"/>
      <c r="D69" s="251"/>
      <c r="E69" s="251"/>
      <c r="F69" s="251"/>
      <c r="G69" s="251"/>
      <c r="H69" s="251"/>
      <c r="I69" s="251"/>
      <c r="J69" s="252"/>
    </row>
    <row r="70" spans="1:10" ht="13.35" customHeight="1">
      <c r="A70" s="238"/>
      <c r="B70" s="256"/>
      <c r="D70" s="251"/>
      <c r="E70" s="251"/>
      <c r="F70" s="251"/>
      <c r="G70" s="251"/>
      <c r="H70" s="251"/>
      <c r="I70" s="251"/>
      <c r="J70" s="252"/>
    </row>
    <row r="71" spans="1:10" ht="13.35" customHeight="1">
      <c r="A71" s="238"/>
      <c r="B71" s="256"/>
      <c r="D71" s="251"/>
      <c r="E71" s="251"/>
      <c r="F71" s="251"/>
      <c r="G71" s="251"/>
      <c r="H71" s="251"/>
      <c r="I71" s="251"/>
      <c r="J71" s="252"/>
    </row>
    <row r="72" spans="1:10" ht="13.35" customHeight="1">
      <c r="A72" s="238"/>
      <c r="B72" s="256"/>
      <c r="D72" s="251"/>
      <c r="E72" s="251"/>
      <c r="F72" s="251"/>
      <c r="G72" s="251"/>
      <c r="H72" s="251"/>
      <c r="I72" s="251"/>
      <c r="J72" s="252"/>
    </row>
    <row r="73" spans="1:10" ht="13.35" customHeight="1">
      <c r="A73" s="238"/>
      <c r="B73" s="256"/>
      <c r="D73" s="251"/>
      <c r="E73" s="251"/>
      <c r="F73" s="251"/>
      <c r="G73" s="251"/>
      <c r="H73" s="251"/>
      <c r="I73" s="251"/>
      <c r="J73" s="252"/>
    </row>
    <row r="74" spans="1:10" ht="13.35" customHeight="1">
      <c r="A74" s="238"/>
      <c r="B74" s="256"/>
      <c r="D74" s="251"/>
      <c r="E74" s="251"/>
      <c r="F74" s="251"/>
      <c r="G74" s="251"/>
      <c r="H74" s="251"/>
      <c r="I74" s="251"/>
      <c r="J74" s="252"/>
    </row>
    <row r="75" spans="1:10" ht="13.35" customHeight="1">
      <c r="A75" s="238"/>
      <c r="B75" s="256"/>
      <c r="D75" s="251"/>
      <c r="E75" s="251"/>
      <c r="F75" s="251"/>
      <c r="G75" s="251"/>
      <c r="H75" s="251"/>
      <c r="I75" s="251"/>
      <c r="J75" s="252"/>
    </row>
    <row r="76" spans="1:10" ht="13.35" customHeight="1">
      <c r="A76" s="238"/>
      <c r="B76" s="256"/>
      <c r="D76" s="251"/>
      <c r="E76" s="251"/>
      <c r="F76" s="251"/>
      <c r="G76" s="251"/>
      <c r="H76" s="251"/>
      <c r="I76" s="251"/>
      <c r="J76" s="252"/>
    </row>
    <row r="77" spans="1:10" ht="13.35" customHeight="1">
      <c r="A77" s="238"/>
      <c r="B77" s="256"/>
      <c r="D77" s="251"/>
      <c r="E77" s="251"/>
      <c r="F77" s="251"/>
      <c r="G77" s="251"/>
      <c r="H77" s="251"/>
      <c r="I77" s="251"/>
      <c r="J77" s="252"/>
    </row>
    <row r="78" spans="1:10" ht="13.35" customHeight="1">
      <c r="A78" s="238"/>
      <c r="B78" s="256"/>
      <c r="D78" s="251"/>
      <c r="E78" s="251"/>
      <c r="F78" s="251"/>
      <c r="G78" s="251"/>
      <c r="H78" s="251"/>
      <c r="I78" s="251"/>
      <c r="J78" s="252"/>
    </row>
    <row r="79" spans="1:10" ht="13.35" customHeight="1">
      <c r="A79" s="238"/>
      <c r="B79" s="256"/>
      <c r="D79" s="251"/>
      <c r="E79" s="251"/>
      <c r="F79" s="251"/>
      <c r="G79" s="251"/>
      <c r="H79" s="251"/>
      <c r="I79" s="251"/>
      <c r="J79" s="252"/>
    </row>
    <row r="80" spans="1:10" ht="13.35" customHeight="1">
      <c r="A80" s="238"/>
      <c r="B80" s="256"/>
      <c r="D80" s="251"/>
      <c r="E80" s="251"/>
      <c r="F80" s="251"/>
      <c r="G80" s="251"/>
      <c r="H80" s="251"/>
      <c r="I80" s="251"/>
      <c r="J80" s="252"/>
    </row>
    <row r="81" spans="1:10" ht="13.35" customHeight="1">
      <c r="A81" s="238"/>
      <c r="B81" s="256"/>
      <c r="D81" s="251"/>
      <c r="E81" s="251"/>
      <c r="F81" s="251"/>
      <c r="G81" s="251"/>
      <c r="H81" s="251"/>
      <c r="I81" s="251"/>
      <c r="J81" s="252"/>
    </row>
    <row r="82" spans="1:10" ht="13.35" customHeight="1">
      <c r="A82" s="238"/>
      <c r="B82" s="256"/>
      <c r="D82" s="251"/>
      <c r="E82" s="251"/>
      <c r="F82" s="251"/>
      <c r="G82" s="251"/>
      <c r="H82" s="251"/>
      <c r="I82" s="251"/>
      <c r="J82" s="252"/>
    </row>
    <row r="83" spans="1:10" ht="13.35" customHeight="1">
      <c r="A83" s="238"/>
      <c r="B83" s="256"/>
      <c r="D83" s="251"/>
      <c r="E83" s="251"/>
      <c r="F83" s="251"/>
      <c r="G83" s="251"/>
      <c r="H83" s="251"/>
      <c r="I83" s="251"/>
      <c r="J83" s="252"/>
    </row>
    <row r="84" spans="1:10" ht="13.35" customHeight="1">
      <c r="A84" s="238"/>
      <c r="B84" s="256"/>
      <c r="D84" s="251"/>
      <c r="E84" s="251"/>
      <c r="F84" s="251"/>
      <c r="G84" s="251"/>
      <c r="H84" s="251"/>
      <c r="I84" s="251"/>
      <c r="J84" s="252"/>
    </row>
    <row r="85" spans="1:10" ht="13.35" customHeight="1">
      <c r="A85" s="238"/>
      <c r="B85" s="256"/>
      <c r="D85" s="251"/>
      <c r="E85" s="251"/>
      <c r="F85" s="251"/>
      <c r="G85" s="251"/>
      <c r="H85" s="251"/>
      <c r="I85" s="251"/>
      <c r="J85" s="252"/>
    </row>
    <row r="86" spans="1:10" ht="13.35" customHeight="1">
      <c r="A86" s="238"/>
      <c r="B86" s="256"/>
      <c r="D86" s="251"/>
      <c r="E86" s="251"/>
      <c r="F86" s="251"/>
      <c r="G86" s="251"/>
      <c r="H86" s="251"/>
      <c r="I86" s="251"/>
      <c r="J86" s="252"/>
    </row>
    <row r="87" spans="1:10" ht="13.35" customHeight="1">
      <c r="A87" s="238"/>
      <c r="B87" s="256"/>
      <c r="D87" s="251"/>
      <c r="E87" s="251"/>
      <c r="F87" s="251"/>
      <c r="G87" s="251"/>
      <c r="H87" s="251"/>
      <c r="I87" s="251"/>
      <c r="J87" s="252"/>
    </row>
    <row r="88" spans="1:10" ht="13.35" customHeight="1">
      <c r="A88" s="238"/>
      <c r="B88" s="256"/>
      <c r="D88" s="251"/>
      <c r="E88" s="251"/>
      <c r="F88" s="251"/>
      <c r="G88" s="251"/>
      <c r="H88" s="251"/>
      <c r="I88" s="251"/>
      <c r="J88" s="252"/>
    </row>
    <row r="89" spans="1:10" ht="13.35" customHeight="1">
      <c r="A89" s="238"/>
      <c r="B89" s="256"/>
      <c r="D89" s="251"/>
      <c r="E89" s="251"/>
      <c r="F89" s="251"/>
      <c r="G89" s="251"/>
      <c r="H89" s="251"/>
      <c r="I89" s="251"/>
      <c r="J89" s="252"/>
    </row>
    <row r="90" spans="1:10" ht="13.35" customHeight="1">
      <c r="A90" s="238"/>
      <c r="B90" s="256"/>
      <c r="D90" s="251"/>
      <c r="E90" s="251"/>
      <c r="F90" s="251"/>
      <c r="G90" s="251"/>
      <c r="H90" s="251"/>
      <c r="I90" s="251"/>
      <c r="J90" s="252"/>
    </row>
    <row r="91" spans="1:10" ht="13.35" customHeight="1">
      <c r="A91" s="238"/>
      <c r="B91" s="256"/>
      <c r="D91" s="251"/>
      <c r="E91" s="251"/>
      <c r="F91" s="251"/>
      <c r="G91" s="251"/>
      <c r="H91" s="251"/>
      <c r="I91" s="251"/>
      <c r="J91" s="252"/>
    </row>
    <row r="92" spans="1:10" ht="13.35" customHeight="1">
      <c r="A92" s="238"/>
      <c r="B92" s="256"/>
      <c r="D92" s="251"/>
      <c r="E92" s="251"/>
      <c r="F92" s="251"/>
      <c r="G92" s="251"/>
      <c r="H92" s="251"/>
      <c r="I92" s="251"/>
      <c r="J92" s="252"/>
    </row>
    <row r="93" spans="1:10" ht="13.35" customHeight="1">
      <c r="A93" s="238"/>
      <c r="B93" s="256"/>
      <c r="D93" s="251"/>
      <c r="E93" s="251"/>
      <c r="F93" s="251"/>
      <c r="G93" s="251"/>
      <c r="H93" s="251"/>
      <c r="I93" s="251"/>
      <c r="J93" s="252"/>
    </row>
    <row r="94" spans="1:10" ht="13.35" customHeight="1">
      <c r="A94" s="238"/>
      <c r="B94" s="256"/>
      <c r="D94" s="251"/>
      <c r="E94" s="251"/>
      <c r="F94" s="251"/>
      <c r="G94" s="251"/>
      <c r="H94" s="251"/>
      <c r="I94" s="251"/>
      <c r="J94" s="252"/>
    </row>
    <row r="95" spans="1:10" ht="13.35" customHeight="1">
      <c r="A95" s="238"/>
      <c r="B95" s="256"/>
      <c r="D95" s="251"/>
      <c r="E95" s="251"/>
      <c r="F95" s="251"/>
      <c r="G95" s="251"/>
      <c r="H95" s="251"/>
      <c r="I95" s="251"/>
      <c r="J95" s="252"/>
    </row>
    <row r="96" spans="1:10" ht="13.35" customHeight="1">
      <c r="A96" s="238"/>
      <c r="B96" s="256"/>
      <c r="D96" s="251"/>
      <c r="E96" s="251"/>
      <c r="F96" s="251"/>
      <c r="G96" s="251"/>
      <c r="H96" s="251"/>
      <c r="I96" s="251"/>
      <c r="J96" s="252"/>
    </row>
    <row r="97" spans="1:10" ht="13.35" customHeight="1">
      <c r="A97" s="238"/>
      <c r="B97" s="256"/>
      <c r="D97" s="251"/>
      <c r="E97" s="251"/>
      <c r="F97" s="251"/>
      <c r="G97" s="251"/>
      <c r="H97" s="251"/>
      <c r="I97" s="251"/>
      <c r="J97" s="252"/>
    </row>
    <row r="98" spans="1:10" ht="13.35" customHeight="1">
      <c r="A98" s="238"/>
      <c r="B98" s="256"/>
      <c r="D98" s="251"/>
      <c r="E98" s="251"/>
      <c r="F98" s="251"/>
      <c r="G98" s="251"/>
      <c r="H98" s="251"/>
      <c r="I98" s="251"/>
      <c r="J98" s="252"/>
    </row>
    <row r="99" spans="1:10" ht="13.35" customHeight="1">
      <c r="A99" s="238"/>
      <c r="B99" s="256"/>
      <c r="D99" s="251"/>
      <c r="E99" s="251"/>
      <c r="F99" s="251"/>
      <c r="G99" s="251"/>
      <c r="H99" s="251"/>
      <c r="I99" s="251"/>
      <c r="J99" s="252"/>
    </row>
    <row r="100" spans="1:10" ht="13.35"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88671875" defaultRowHeight="15"/>
  <cols>
    <col min="1" max="1" width="50.109375" style="296" customWidth="1"/>
    <col min="2" max="2" width="3.88671875" style="261" customWidth="1"/>
    <col min="3" max="3" width="16.88671875" style="261" customWidth="1"/>
    <col min="4" max="4" width="1.5546875" style="261" customWidth="1"/>
    <col min="5" max="5" width="16.44140625" style="132" customWidth="1"/>
    <col min="6" max="6" width="1.5546875" style="261" customWidth="1"/>
    <col min="7" max="7" width="14.109375" style="261" customWidth="1"/>
    <col min="8" max="8" width="1.5546875" style="261" customWidth="1"/>
    <col min="9" max="9" width="14.109375" style="261" customWidth="1"/>
    <col min="10" max="10" width="1.5546875" style="261" customWidth="1"/>
    <col min="11" max="11" width="14.109375" style="261" customWidth="1"/>
    <col min="12" max="12" width="1.5546875" style="261" customWidth="1"/>
    <col min="13" max="13" width="16.109375" style="261" customWidth="1"/>
    <col min="14" max="14" width="1.5546875" style="261" customWidth="1"/>
    <col min="15" max="15" width="12.5546875" style="261" customWidth="1"/>
    <col min="16" max="16" width="11.44140625" style="261" customWidth="1"/>
    <col min="17" max="17" width="1.88671875" style="261" customWidth="1"/>
    <col min="18" max="18" width="11.88671875" style="261" customWidth="1"/>
    <col min="19" max="19" width="2.109375" style="261" customWidth="1"/>
    <col min="20" max="20" width="11.44140625" style="261" customWidth="1"/>
    <col min="21" max="21" width="0.5546875" style="261" customWidth="1"/>
    <col min="22" max="22" width="2.109375" style="261" customWidth="1"/>
    <col min="23" max="23" width="10.5546875" style="261" customWidth="1"/>
    <col min="24" max="24" width="11.109375" style="261" customWidth="1"/>
    <col min="25" max="25" width="2.109375" style="261" customWidth="1"/>
    <col min="26" max="26" width="11.109375" style="261" customWidth="1"/>
    <col min="27" max="27" width="2.109375" style="261" customWidth="1"/>
    <col min="28" max="28" width="12.44140625" style="261" customWidth="1"/>
    <col min="29" max="34" width="8.88671875" style="261"/>
    <col min="35" max="16384" width="8.8867187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EIGHT MONTHS ENDED NOVEMBER 30,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22"/>
      <c r="D11" s="1022"/>
      <c r="E11" s="1236"/>
      <c r="F11" s="1022"/>
      <c r="G11" s="1236" t="s">
        <v>277</v>
      </c>
      <c r="H11" s="1022"/>
      <c r="I11" s="1236"/>
      <c r="J11" s="1022"/>
      <c r="K11" s="1236"/>
      <c r="L11" s="1022"/>
      <c r="M11" s="1236"/>
      <c r="N11" s="1022"/>
      <c r="O11" s="433"/>
      <c r="P11" s="52"/>
      <c r="Q11" s="52"/>
      <c r="R11" s="52"/>
      <c r="S11" s="52"/>
      <c r="T11" s="52"/>
      <c r="U11" s="52"/>
      <c r="V11" s="36"/>
      <c r="W11" s="52"/>
      <c r="X11" s="53"/>
      <c r="Y11" s="52"/>
      <c r="Z11" s="52"/>
      <c r="AA11" s="52"/>
      <c r="AB11" s="52"/>
    </row>
    <row r="12" spans="1:28" ht="15.75">
      <c r="G12" s="55"/>
      <c r="I12" s="55"/>
      <c r="K12" s="55"/>
      <c r="M12" s="54" t="s">
        <v>231</v>
      </c>
      <c r="O12" s="54" t="s">
        <v>231</v>
      </c>
      <c r="P12" s="52"/>
      <c r="Q12" s="52"/>
      <c r="R12" s="52"/>
      <c r="S12" s="52"/>
      <c r="T12" s="52"/>
      <c r="U12" s="52"/>
      <c r="V12" s="36"/>
      <c r="W12" s="52"/>
      <c r="X12" s="53"/>
      <c r="Y12" s="52"/>
      <c r="Z12" s="52"/>
      <c r="AA12" s="52"/>
      <c r="AB12" s="52"/>
    </row>
    <row r="13" spans="1:28" ht="15.75">
      <c r="G13" s="55"/>
      <c r="I13" s="55"/>
      <c r="K13" s="55"/>
      <c r="M13" s="37" t="s">
        <v>232</v>
      </c>
      <c r="O13" s="37" t="s">
        <v>232</v>
      </c>
      <c r="P13" s="52"/>
      <c r="Q13" s="52"/>
      <c r="R13" s="52"/>
      <c r="S13" s="52"/>
      <c r="T13" s="52"/>
      <c r="U13" s="52"/>
      <c r="V13" s="36"/>
      <c r="W13" s="52"/>
      <c r="X13" s="53"/>
      <c r="Y13" s="52"/>
      <c r="Z13" s="52"/>
      <c r="AA13" s="52"/>
      <c r="AB13" s="52"/>
    </row>
    <row r="14" spans="1:28" ht="15.75">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ht="15.75">
      <c r="B15" s="56"/>
      <c r="C15" s="37" t="s">
        <v>237</v>
      </c>
      <c r="D15" s="1350"/>
      <c r="E15" s="37" t="s">
        <v>237</v>
      </c>
      <c r="F15" s="1350"/>
      <c r="G15" s="36"/>
      <c r="H15" s="1350"/>
      <c r="I15" s="36"/>
      <c r="J15" s="1350"/>
      <c r="K15" s="36"/>
      <c r="L15" s="1350"/>
      <c r="M15" s="37" t="s">
        <v>234</v>
      </c>
      <c r="N15" s="1350"/>
      <c r="O15" s="37" t="s">
        <v>235</v>
      </c>
      <c r="P15" s="37"/>
      <c r="Q15" s="36"/>
      <c r="R15" s="36"/>
      <c r="S15" s="36"/>
      <c r="T15" s="38"/>
      <c r="U15" s="37"/>
      <c r="V15" s="36"/>
      <c r="W15" s="38"/>
      <c r="X15" s="37"/>
      <c r="Y15" s="36"/>
      <c r="Z15" s="36"/>
      <c r="AA15" s="36"/>
      <c r="AB15" s="38"/>
    </row>
    <row r="16" spans="1:28" ht="15.75">
      <c r="B16" s="37"/>
      <c r="C16" s="436" t="s">
        <v>238</v>
      </c>
      <c r="D16" s="36"/>
      <c r="E16" s="37" t="s">
        <v>1521</v>
      </c>
      <c r="F16" s="36"/>
      <c r="G16" s="38" t="s">
        <v>231</v>
      </c>
      <c r="H16" s="36"/>
      <c r="I16" s="590" t="s">
        <v>278</v>
      </c>
      <c r="J16" s="36"/>
      <c r="K16" s="590"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1"/>
      <c r="F17" s="30"/>
      <c r="G17" s="1021"/>
      <c r="H17" s="30"/>
      <c r="I17" s="30"/>
      <c r="J17" s="30"/>
      <c r="K17" s="30"/>
      <c r="L17" s="30"/>
      <c r="M17" s="1021"/>
      <c r="N17" s="30"/>
      <c r="O17" s="30"/>
      <c r="P17" s="30"/>
      <c r="Q17" s="30"/>
      <c r="R17" s="30"/>
      <c r="S17" s="30"/>
      <c r="T17" s="30"/>
      <c r="U17" s="30"/>
      <c r="V17" s="30"/>
      <c r="W17" s="30"/>
      <c r="X17" s="30"/>
      <c r="Y17" s="30"/>
      <c r="Z17" s="30"/>
      <c r="AA17" s="30"/>
      <c r="AB17" s="30"/>
    </row>
    <row r="18" spans="1:28" ht="15.75">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0</v>
      </c>
      <c r="D20" s="281"/>
      <c r="E20" s="282">
        <v>0</v>
      </c>
      <c r="F20" s="384"/>
      <c r="G20" s="393">
        <f>+'Exh D Special Revenue State Fed'!G20</f>
        <v>0</v>
      </c>
      <c r="H20" s="384"/>
      <c r="I20" s="393">
        <v>0</v>
      </c>
      <c r="J20" s="384"/>
      <c r="K20" s="393">
        <f t="shared" ref="K20:K25" si="0">+G20+I20</f>
        <v>0</v>
      </c>
      <c r="L20" s="384"/>
      <c r="M20" s="279">
        <v>0</v>
      </c>
      <c r="N20" s="384"/>
      <c r="O20" s="279">
        <f>K20-E20</f>
        <v>0</v>
      </c>
      <c r="P20" s="1529"/>
      <c r="Q20" s="1529"/>
      <c r="R20" s="1529"/>
    </row>
    <row r="21" spans="1:28">
      <c r="A21" s="355" t="s">
        <v>242</v>
      </c>
      <c r="C21" s="280">
        <v>1496</v>
      </c>
      <c r="D21" s="1834"/>
      <c r="E21" s="280">
        <v>1518</v>
      </c>
      <c r="G21" s="269">
        <f>+'Exh D Special Revenue State Fed'!G21</f>
        <v>1546.8</v>
      </c>
      <c r="I21" s="269">
        <v>0</v>
      </c>
      <c r="K21" s="269">
        <f t="shared" si="0"/>
        <v>1546.8</v>
      </c>
      <c r="M21" s="269">
        <f>K21-C21</f>
        <v>50.799999999999955</v>
      </c>
      <c r="O21" s="269">
        <f t="shared" ref="O21:O25" si="1">K21-E21</f>
        <v>28.799999999999955</v>
      </c>
      <c r="P21" s="1529"/>
      <c r="Q21" s="1529"/>
      <c r="R21" s="1529"/>
    </row>
    <row r="22" spans="1:28">
      <c r="A22" s="355" t="s">
        <v>243</v>
      </c>
      <c r="B22" s="384"/>
      <c r="C22" s="280">
        <v>1588</v>
      </c>
      <c r="D22" s="372"/>
      <c r="E22" s="280">
        <v>1451</v>
      </c>
      <c r="F22" s="384"/>
      <c r="G22" s="269">
        <f>+'Exh D Special Revenue State Fed'!G22</f>
        <v>1422.5</v>
      </c>
      <c r="H22" s="384"/>
      <c r="I22" s="269">
        <v>0</v>
      </c>
      <c r="J22" s="384"/>
      <c r="K22" s="269">
        <f t="shared" si="0"/>
        <v>1422.5</v>
      </c>
      <c r="L22" s="384"/>
      <c r="M22" s="269">
        <f>K22-C22</f>
        <v>-165.5</v>
      </c>
      <c r="N22" s="384"/>
      <c r="O22" s="269">
        <f t="shared" si="1"/>
        <v>-28.5</v>
      </c>
      <c r="P22" s="1529"/>
      <c r="Q22" s="1529"/>
      <c r="R22" s="1529"/>
      <c r="S22" s="384"/>
      <c r="V22" s="384"/>
      <c r="Y22" s="384"/>
      <c r="Z22" s="57"/>
      <c r="AA22" s="384"/>
    </row>
    <row r="23" spans="1:28" ht="15" customHeight="1">
      <c r="A23" s="355" t="s">
        <v>119</v>
      </c>
      <c r="C23" s="280">
        <v>17245</v>
      </c>
      <c r="D23" s="1835"/>
      <c r="E23" s="280">
        <v>18144</v>
      </c>
      <c r="G23" s="269">
        <f>+'Exh D Special Revenue State Fed'!G23+'Exh D Special Revenue State Fed'!S23</f>
        <v>18344.7</v>
      </c>
      <c r="I23" s="269">
        <v>0</v>
      </c>
      <c r="K23" s="269">
        <f t="shared" si="0"/>
        <v>18344.7</v>
      </c>
      <c r="M23" s="269">
        <f>K23-C23</f>
        <v>1099.7000000000007</v>
      </c>
      <c r="O23" s="269">
        <f t="shared" si="1"/>
        <v>200.70000000000073</v>
      </c>
      <c r="P23" s="1529"/>
      <c r="Q23" s="1550"/>
      <c r="R23" s="1529"/>
    </row>
    <row r="24" spans="1:28" ht="15" customHeight="1">
      <c r="A24" s="355" t="s">
        <v>120</v>
      </c>
      <c r="C24" s="280">
        <v>61584</v>
      </c>
      <c r="D24" s="1834"/>
      <c r="E24" s="280">
        <v>65003</v>
      </c>
      <c r="G24" s="269">
        <f>+'Exh D Special Revenue State Fed'!G24+'Exh D Special Revenue State Fed'!S24</f>
        <v>66099.899999999994</v>
      </c>
      <c r="I24" s="269">
        <v>0</v>
      </c>
      <c r="K24" s="269">
        <f t="shared" si="0"/>
        <v>66099.899999999994</v>
      </c>
      <c r="M24" s="269">
        <f>K24-C24</f>
        <v>4515.8999999999942</v>
      </c>
      <c r="O24" s="269">
        <f t="shared" si="1"/>
        <v>1096.8999999999942</v>
      </c>
      <c r="P24" s="1529"/>
      <c r="Q24" s="1529"/>
      <c r="R24" s="1529"/>
      <c r="T24" s="386"/>
      <c r="U24" s="394"/>
    </row>
    <row r="25" spans="1:28">
      <c r="A25" s="355" t="s">
        <v>1525</v>
      </c>
      <c r="B25" s="386"/>
      <c r="C25" s="849">
        <v>3236</v>
      </c>
      <c r="D25" s="1834"/>
      <c r="E25" s="849">
        <v>3221</v>
      </c>
      <c r="F25" s="386"/>
      <c r="G25" s="387">
        <f>+'Exh D Special Revenue State Fed'!G25+'Exh D Special Revenue State Fed'!S25</f>
        <v>3233.2</v>
      </c>
      <c r="H25" s="386"/>
      <c r="I25" s="387">
        <f>+'Exhibit G'!AB114</f>
        <v>-512.4</v>
      </c>
      <c r="J25" s="386"/>
      <c r="K25" s="388">
        <f t="shared" si="0"/>
        <v>2720.7999999999997</v>
      </c>
      <c r="L25" s="386"/>
      <c r="M25" s="269">
        <f>K25-C25</f>
        <v>-515.20000000000027</v>
      </c>
      <c r="N25" s="386"/>
      <c r="O25" s="269">
        <f t="shared" si="1"/>
        <v>-500.20000000000027</v>
      </c>
      <c r="P25" s="1553"/>
      <c r="Q25" s="1529"/>
      <c r="R25" s="1553"/>
      <c r="T25" s="386"/>
      <c r="U25" s="394"/>
    </row>
    <row r="26" spans="1:28" ht="18" customHeight="1">
      <c r="A26" s="1235" t="s">
        <v>264</v>
      </c>
      <c r="B26" s="36"/>
      <c r="C26" s="362">
        <f>ROUND(SUM(C20:C25),1)</f>
        <v>85149</v>
      </c>
      <c r="D26" s="36"/>
      <c r="E26" s="362">
        <f>ROUND(SUM(E20:E25),1)</f>
        <v>89337</v>
      </c>
      <c r="F26" s="36"/>
      <c r="G26" s="362">
        <f>ROUND(SUM(G20:G25),1)</f>
        <v>90647.1</v>
      </c>
      <c r="H26" s="36"/>
      <c r="I26" s="362">
        <f>ROUND(SUM(I20:I25),1)</f>
        <v>-512.4</v>
      </c>
      <c r="J26" s="36"/>
      <c r="K26" s="362">
        <f>ROUND(SUM(K20:K25),1)</f>
        <v>90134.7</v>
      </c>
      <c r="L26" s="36"/>
      <c r="M26" s="981">
        <f>ROUND(SUM(M20:M25),1)</f>
        <v>4985.7</v>
      </c>
      <c r="N26" s="36"/>
      <c r="O26" s="981">
        <f>ROUND(SUM(O20:O25),1)</f>
        <v>797.7</v>
      </c>
      <c r="P26" s="1553"/>
      <c r="Q26" s="1529"/>
      <c r="R26" s="1553"/>
      <c r="S26" s="36"/>
      <c r="T26" s="36"/>
      <c r="U26" s="36"/>
      <c r="V26" s="36"/>
      <c r="W26" s="36"/>
      <c r="X26" s="36"/>
      <c r="Y26" s="36"/>
      <c r="Z26" s="36"/>
      <c r="AA26" s="36"/>
      <c r="AB26" s="36"/>
    </row>
    <row r="27" spans="1:28" ht="15.75">
      <c r="C27" s="269"/>
      <c r="E27" s="269"/>
      <c r="G27" s="622"/>
      <c r="I27" s="269"/>
      <c r="K27" s="269"/>
      <c r="M27" s="622"/>
      <c r="O27" s="622"/>
      <c r="P27" s="1555"/>
      <c r="Q27" s="1555"/>
      <c r="R27" s="1555"/>
    </row>
    <row r="28" spans="1:28" ht="15.75">
      <c r="A28" s="3" t="s">
        <v>122</v>
      </c>
      <c r="C28" s="269"/>
      <c r="E28" s="269"/>
      <c r="G28" s="269"/>
      <c r="I28" s="269" t="s">
        <v>103</v>
      </c>
      <c r="K28" s="269" t="s">
        <v>103</v>
      </c>
      <c r="M28" s="269"/>
      <c r="O28" s="269"/>
      <c r="P28" s="1529"/>
      <c r="Q28" s="1529"/>
      <c r="R28" s="1529"/>
    </row>
    <row r="29" spans="1:28">
      <c r="A29" s="355" t="s">
        <v>246</v>
      </c>
      <c r="B29" s="384"/>
      <c r="C29" s="280">
        <v>71625</v>
      </c>
      <c r="D29" s="1834"/>
      <c r="E29" s="280">
        <v>73356</v>
      </c>
      <c r="F29" s="384"/>
      <c r="G29" s="292">
        <f>+'Exh D Special Revenue State Fed'!G29+'Exh D Special Revenue State Fed'!S29</f>
        <v>73839.3</v>
      </c>
      <c r="H29" s="384"/>
      <c r="I29" s="292">
        <v>0</v>
      </c>
      <c r="J29" s="384"/>
      <c r="K29" s="269">
        <f t="shared" ref="K29:K34" si="2">+G29+I29</f>
        <v>73839.3</v>
      </c>
      <c r="L29" s="384"/>
      <c r="M29" s="269">
        <f t="shared" ref="M29:M34" si="3">K29-C29</f>
        <v>2214.3000000000029</v>
      </c>
      <c r="N29" s="384"/>
      <c r="O29" s="269">
        <f t="shared" ref="O29:O34" si="4">K29-E29</f>
        <v>483.30000000000291</v>
      </c>
      <c r="P29" s="1529"/>
      <c r="Q29" s="1529"/>
      <c r="R29" s="1529"/>
      <c r="T29" s="386"/>
      <c r="U29" s="394"/>
    </row>
    <row r="30" spans="1:28">
      <c r="A30" s="355" t="s">
        <v>247</v>
      </c>
      <c r="B30" s="384"/>
      <c r="C30" s="280">
        <v>8306</v>
      </c>
      <c r="D30" s="1834"/>
      <c r="E30" s="280">
        <v>8741</v>
      </c>
      <c r="F30" s="384"/>
      <c r="G30" s="292">
        <f>+'Exh D Special Revenue State Fed'!G30+'Exh D Special Revenue State Fed'!S30</f>
        <v>8672.9000000000015</v>
      </c>
      <c r="H30" s="384"/>
      <c r="I30" s="292">
        <v>0</v>
      </c>
      <c r="J30" s="384"/>
      <c r="K30" s="269">
        <f t="shared" si="2"/>
        <v>8672.9000000000015</v>
      </c>
      <c r="L30" s="384"/>
      <c r="M30" s="269">
        <f t="shared" si="3"/>
        <v>366.90000000000146</v>
      </c>
      <c r="N30" s="384"/>
      <c r="O30" s="269">
        <f t="shared" si="4"/>
        <v>-68.099999999998545</v>
      </c>
      <c r="P30" s="1553"/>
      <c r="Q30" s="1529"/>
      <c r="R30" s="1553"/>
      <c r="T30" s="386"/>
      <c r="W30" s="386"/>
      <c r="X30" s="386"/>
      <c r="Z30" s="386"/>
      <c r="AB30" s="386"/>
    </row>
    <row r="31" spans="1:28">
      <c r="A31" s="355" t="s">
        <v>212</v>
      </c>
      <c r="B31" s="384"/>
      <c r="C31" s="280">
        <v>1067</v>
      </c>
      <c r="D31" s="1834"/>
      <c r="E31" s="280">
        <v>1111</v>
      </c>
      <c r="F31" s="384"/>
      <c r="G31" s="292">
        <f>+'Exh D Special Revenue State Fed'!G31+'Exh D Special Revenue State Fed'!S31</f>
        <v>1207.3</v>
      </c>
      <c r="H31" s="384"/>
      <c r="I31" s="292">
        <v>0</v>
      </c>
      <c r="J31" s="384"/>
      <c r="K31" s="269">
        <f t="shared" si="2"/>
        <v>1207.3</v>
      </c>
      <c r="L31" s="384"/>
      <c r="M31" s="269">
        <f t="shared" si="3"/>
        <v>140.29999999999995</v>
      </c>
      <c r="N31" s="384"/>
      <c r="O31" s="269">
        <f t="shared" si="4"/>
        <v>96.299999999999955</v>
      </c>
      <c r="P31" s="1550"/>
      <c r="Q31" s="1529"/>
      <c r="R31" s="1550"/>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2"/>
        <v>0</v>
      </c>
      <c r="L32" s="384"/>
      <c r="M32" s="269">
        <f t="shared" si="3"/>
        <v>0</v>
      </c>
      <c r="N32" s="384"/>
      <c r="O32" s="269">
        <f t="shared" si="4"/>
        <v>0</v>
      </c>
      <c r="P32" s="1553"/>
      <c r="Q32" s="1529"/>
      <c r="R32" s="1553"/>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2"/>
        <v>0</v>
      </c>
      <c r="L33" s="384"/>
      <c r="M33" s="269">
        <f t="shared" si="3"/>
        <v>0</v>
      </c>
      <c r="N33" s="384"/>
      <c r="O33" s="269">
        <f t="shared" si="4"/>
        <v>0</v>
      </c>
      <c r="P33" s="1553"/>
      <c r="Q33" s="1529"/>
      <c r="R33" s="1553"/>
      <c r="T33" s="386"/>
      <c r="U33" s="394"/>
    </row>
    <row r="34" spans="1:28">
      <c r="A34" s="355" t="s">
        <v>1526</v>
      </c>
      <c r="B34" s="384"/>
      <c r="C34" s="280">
        <v>1983</v>
      </c>
      <c r="D34" s="384"/>
      <c r="E34" s="280">
        <v>2783</v>
      </c>
      <c r="F34" s="384"/>
      <c r="G34" s="292">
        <f>+'Exh D Special Revenue State Fed'!G34+'Exh D Special Revenue State Fed'!S34</f>
        <v>2687.8</v>
      </c>
      <c r="H34" s="384"/>
      <c r="I34" s="292">
        <f>-'Exhibit G'!AB115</f>
        <v>-512.4</v>
      </c>
      <c r="J34" s="384"/>
      <c r="K34" s="269">
        <f t="shared" si="2"/>
        <v>2175.4</v>
      </c>
      <c r="L34" s="384"/>
      <c r="M34" s="269">
        <f t="shared" si="3"/>
        <v>192.40000000000009</v>
      </c>
      <c r="N34" s="384"/>
      <c r="O34" s="269">
        <f t="shared" si="4"/>
        <v>-607.59999999999991</v>
      </c>
      <c r="P34" s="1553"/>
      <c r="Q34" s="1529"/>
      <c r="R34" s="1553"/>
      <c r="T34" s="386"/>
      <c r="U34" s="394"/>
    </row>
    <row r="35" spans="1:28" ht="18" customHeight="1">
      <c r="A35" s="1235" t="s">
        <v>273</v>
      </c>
      <c r="B35" s="36"/>
      <c r="C35" s="623">
        <f>ROUND(SUM(C29:C34),1)</f>
        <v>82981</v>
      </c>
      <c r="D35" s="36"/>
      <c r="E35" s="623">
        <f>ROUND(SUM(E29:E34),1)</f>
        <v>85991</v>
      </c>
      <c r="F35" s="36"/>
      <c r="G35" s="624">
        <f>ROUND(SUM(G29:G34),1)</f>
        <v>86407.3</v>
      </c>
      <c r="H35" s="36"/>
      <c r="I35" s="623">
        <f>ROUND(SUM(I29:I34),1)</f>
        <v>-512.4</v>
      </c>
      <c r="J35" s="36"/>
      <c r="K35" s="623">
        <f>ROUND(SUM(K29:K34),1)</f>
        <v>85894.9</v>
      </c>
      <c r="L35" s="36"/>
      <c r="M35" s="624">
        <f>ROUND(SUM(M29:M34),1)</f>
        <v>2913.9</v>
      </c>
      <c r="N35" s="36"/>
      <c r="O35" s="624">
        <f>ROUND(SUM(O29:O34),1)</f>
        <v>-96.1</v>
      </c>
      <c r="P35" s="1553"/>
      <c r="Q35" s="1529"/>
      <c r="R35" s="1553"/>
      <c r="S35" s="36"/>
      <c r="T35" s="36"/>
      <c r="U35" s="36"/>
      <c r="V35" s="36"/>
      <c r="W35" s="36"/>
      <c r="X35" s="36"/>
      <c r="Y35" s="36"/>
      <c r="Z35" s="36"/>
      <c r="AA35" s="36"/>
      <c r="AB35" s="36"/>
    </row>
    <row r="36" spans="1:28" ht="15.75">
      <c r="C36" s="269"/>
      <c r="E36" s="269"/>
      <c r="G36" s="622"/>
      <c r="I36" s="269"/>
      <c r="K36" s="269"/>
      <c r="M36" s="622"/>
      <c r="O36" s="622"/>
      <c r="P36" s="1555"/>
      <c r="Q36" s="1555"/>
      <c r="R36" s="1555"/>
    </row>
    <row r="37" spans="1:28" ht="15.75">
      <c r="A37" s="3" t="s">
        <v>274</v>
      </c>
      <c r="C37" s="269"/>
      <c r="E37" s="269"/>
      <c r="G37" s="269"/>
      <c r="I37" s="269"/>
      <c r="K37" s="269"/>
      <c r="M37" s="269"/>
      <c r="O37" s="269"/>
      <c r="P37" s="1529"/>
      <c r="Q37" s="1529"/>
      <c r="R37" s="1529"/>
    </row>
    <row r="38" spans="1:28" ht="15.75">
      <c r="A38" s="3" t="s">
        <v>275</v>
      </c>
      <c r="C38" s="269"/>
      <c r="E38" s="269"/>
      <c r="G38" s="269"/>
      <c r="I38" s="269"/>
      <c r="K38" s="269"/>
      <c r="M38" s="269"/>
      <c r="O38" s="269"/>
      <c r="P38" s="1529"/>
      <c r="Q38" s="1529"/>
      <c r="R38" s="1529"/>
    </row>
    <row r="39" spans="1:28" ht="15.75">
      <c r="A39" s="1235" t="s">
        <v>255</v>
      </c>
      <c r="B39" s="42"/>
      <c r="C39" s="13">
        <f>ROUND(SUM(C26)-SUM(C35),1)</f>
        <v>2168</v>
      </c>
      <c r="D39" s="42"/>
      <c r="E39" s="13">
        <f>ROUND(SUM(E26)-SUM(E35),1)</f>
        <v>3346</v>
      </c>
      <c r="F39" s="42"/>
      <c r="G39" s="13">
        <f>ROUND(SUM(G26)-SUM(G35),1)</f>
        <v>4239.8</v>
      </c>
      <c r="H39" s="42"/>
      <c r="I39" s="13">
        <v>0</v>
      </c>
      <c r="J39" s="42"/>
      <c r="K39" s="13">
        <f>+G39+I39</f>
        <v>4239.8</v>
      </c>
      <c r="L39" s="42"/>
      <c r="M39" s="13">
        <f>ROUND(SUM(M26)-SUM(M35),1)</f>
        <v>2071.8000000000002</v>
      </c>
      <c r="N39" s="42"/>
      <c r="O39" s="13">
        <f>ROUND(SUM(O26)-SUM(O35),1)</f>
        <v>893.8</v>
      </c>
      <c r="P39" s="1529"/>
      <c r="Q39" s="1529"/>
      <c r="R39" s="1529"/>
      <c r="S39" s="42"/>
      <c r="T39" s="36"/>
      <c r="U39" s="36"/>
      <c r="V39" s="42"/>
      <c r="W39" s="36"/>
      <c r="X39" s="36"/>
      <c r="Y39" s="42"/>
      <c r="Z39" s="36"/>
      <c r="AA39" s="42"/>
      <c r="AB39" s="36"/>
    </row>
    <row r="40" spans="1:28" ht="15" customHeight="1">
      <c r="C40" s="269"/>
      <c r="E40" s="269"/>
      <c r="G40" s="269"/>
      <c r="I40" s="269"/>
      <c r="K40" s="269"/>
      <c r="M40" s="269"/>
      <c r="O40" s="269"/>
      <c r="P40" s="1555"/>
      <c r="Q40" s="1556"/>
      <c r="R40" s="1555"/>
    </row>
    <row r="41" spans="1:28" ht="15.75">
      <c r="A41" s="1235"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5">K41-E41</f>
        <v>1.2000000000007276</v>
      </c>
      <c r="P41" s="1529"/>
      <c r="Q41" s="1529"/>
      <c r="R41" s="1529"/>
    </row>
    <row r="42" spans="1:28" ht="18" customHeight="1" thickBot="1">
      <c r="A42" s="1235" t="str">
        <f>+'Exh D Governmental  '!A50</f>
        <v>Fund Balances (Deficits) at November 30, 2025</v>
      </c>
      <c r="B42" s="42"/>
      <c r="C42" s="681">
        <f>ROUND(SUM(C39:C41),1)</f>
        <v>20286</v>
      </c>
      <c r="D42" s="42"/>
      <c r="E42" s="681">
        <f>ROUND(SUM(E39:E41),1)</f>
        <v>21464</v>
      </c>
      <c r="F42" s="42"/>
      <c r="G42" s="681">
        <f>ROUND(SUM(G39:G41),1)</f>
        <v>22359</v>
      </c>
      <c r="H42" s="42"/>
      <c r="I42" s="681">
        <f>ROUND(SUM(I39:I41),1)</f>
        <v>0</v>
      </c>
      <c r="J42" s="42"/>
      <c r="K42" s="681">
        <f>ROUND(SUM(K39:K41),1)</f>
        <v>22359</v>
      </c>
      <c r="L42" s="42"/>
      <c r="M42" s="681">
        <f>ROUND(SUM(M39:M41),1)</f>
        <v>2073</v>
      </c>
      <c r="N42" s="42"/>
      <c r="O42" s="681">
        <f>ROUND(SUM(O39:O41),1)</f>
        <v>895</v>
      </c>
      <c r="P42" s="1529"/>
      <c r="Q42" s="1529"/>
      <c r="R42" s="1529"/>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2025-26 Mid Year Update dated October 30, 2025.</v>
      </c>
    </row>
    <row r="46" spans="1:28">
      <c r="A46" s="355" t="s">
        <v>1524</v>
      </c>
    </row>
    <row r="49" spans="1:1">
      <c r="A49" s="355"/>
    </row>
    <row r="51" spans="1:1">
      <c r="A51" s="58"/>
    </row>
    <row r="52" spans="1:1">
      <c r="A52" s="58"/>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88671875" defaultRowHeight="15"/>
  <cols>
    <col min="1" max="1" width="53.109375" style="296" customWidth="1"/>
    <col min="2" max="2" width="0.886718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4" width="1.109375" style="261" customWidth="1"/>
    <col min="15" max="15" width="15.88671875" style="261" customWidth="1"/>
    <col min="16" max="16" width="1.109375" style="261" customWidth="1"/>
    <col min="17" max="17" width="15.88671875" style="261" customWidth="1"/>
    <col min="18" max="18" width="1.109375" style="261" customWidth="1"/>
    <col min="19" max="19" width="15.88671875" style="261" customWidth="1"/>
    <col min="20" max="20" width="1.109375" style="261" customWidth="1"/>
    <col min="21" max="21" width="15.88671875" style="261" customWidth="1"/>
    <col min="22" max="22" width="1.109375" style="261" customWidth="1"/>
    <col min="23" max="23" width="15.88671875" style="132" customWidth="1"/>
    <col min="24" max="24" width="1" style="261" customWidth="1"/>
    <col min="25" max="25" width="3.88671875" style="132" customWidth="1"/>
    <col min="26" max="26" width="1" style="261" customWidth="1"/>
    <col min="27" max="27" width="15.88671875" style="261" customWidth="1"/>
    <col min="28" max="28" width="0.88671875" style="261" customWidth="1"/>
    <col min="29" max="29" width="15.88671875" style="261" customWidth="1"/>
    <col min="30" max="30" width="0.109375" style="261" customWidth="1"/>
    <col min="31" max="31" width="1.88671875" style="261" customWidth="1"/>
    <col min="32" max="32" width="11.44140625" style="261" customWidth="1"/>
    <col min="33" max="33" width="1.88671875" style="261" customWidth="1"/>
    <col min="34" max="34" width="11.88671875" style="261" customWidth="1"/>
    <col min="35" max="35" width="2.109375" style="261" customWidth="1"/>
    <col min="36" max="36" width="11.44140625" style="261" customWidth="1"/>
    <col min="37" max="37" width="0.5546875" style="261" customWidth="1"/>
    <col min="38" max="38" width="2.109375" style="261" customWidth="1"/>
    <col min="39" max="39" width="10.5546875" style="261" customWidth="1"/>
    <col min="40" max="40" width="11.109375" style="261" customWidth="1"/>
    <col min="41" max="41" width="2.109375" style="261" customWidth="1"/>
    <col min="42" max="42" width="11.109375" style="261" customWidth="1"/>
    <col min="43" max="43" width="2.109375" style="261" customWidth="1"/>
    <col min="44" max="44" width="12.44140625" style="261" customWidth="1"/>
    <col min="45" max="50" width="8.88671875" style="261"/>
    <col min="51" max="16384" width="8.8867187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81" t="str">
        <f>'Exh D Governmental  '!A5</f>
        <v>FISCAL YEAR 2025-2026</v>
      </c>
      <c r="B5" s="23"/>
      <c r="C5" s="23"/>
      <c r="D5" s="23"/>
      <c r="E5" s="2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EIGHT MONTHS ENDED NOVEMBER 30,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ht="15.75">
      <c r="C11" s="2096" t="s">
        <v>1458</v>
      </c>
      <c r="D11" s="2096"/>
      <c r="E11" s="2096"/>
      <c r="F11" s="2096"/>
      <c r="G11" s="2096"/>
      <c r="H11" s="2096"/>
      <c r="I11" s="2096"/>
      <c r="J11" s="1236"/>
      <c r="K11" s="1236"/>
      <c r="L11" s="54"/>
      <c r="M11" s="54"/>
      <c r="N11" s="52"/>
      <c r="O11" s="2096" t="s">
        <v>1459</v>
      </c>
      <c r="P11" s="2096"/>
      <c r="Q11" s="2096"/>
      <c r="R11" s="2096"/>
      <c r="S11" s="2096"/>
      <c r="T11" s="2096"/>
      <c r="U11" s="2096"/>
      <c r="V11" s="1023"/>
      <c r="W11" s="1237"/>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ht="15.75">
      <c r="C12" s="130"/>
      <c r="D12" s="54"/>
      <c r="E12" s="130"/>
      <c r="F12" s="54"/>
      <c r="G12" s="55"/>
      <c r="H12" s="54"/>
      <c r="I12" s="54" t="s">
        <v>231</v>
      </c>
      <c r="J12" s="54"/>
      <c r="K12" s="54" t="s">
        <v>231</v>
      </c>
      <c r="L12" s="54"/>
      <c r="M12" s="1562"/>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ht="15.75">
      <c r="B13" s="36"/>
      <c r="C13" s="131"/>
      <c r="D13" s="36"/>
      <c r="E13" s="131"/>
      <c r="F13" s="36"/>
      <c r="G13" s="36"/>
      <c r="H13" s="36"/>
      <c r="I13" s="37" t="s">
        <v>232</v>
      </c>
      <c r="J13" s="36"/>
      <c r="K13" s="37" t="s">
        <v>232</v>
      </c>
      <c r="L13" s="37"/>
      <c r="M13" s="1563"/>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ht="15.75">
      <c r="B14" s="56"/>
      <c r="C14" s="38" t="s">
        <v>234</v>
      </c>
      <c r="D14" s="36"/>
      <c r="E14" s="37" t="s">
        <v>235</v>
      </c>
      <c r="F14" s="36"/>
      <c r="G14" s="36"/>
      <c r="H14" s="36"/>
      <c r="I14" s="37" t="s">
        <v>236</v>
      </c>
      <c r="J14" s="36"/>
      <c r="K14" s="37" t="s">
        <v>236</v>
      </c>
      <c r="L14" s="37"/>
      <c r="M14" s="1563"/>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ht="15.75">
      <c r="B15" s="56"/>
      <c r="C15" s="37" t="s">
        <v>237</v>
      </c>
      <c r="D15" s="36"/>
      <c r="E15" s="37" t="s">
        <v>237</v>
      </c>
      <c r="F15" s="36"/>
      <c r="G15" s="36"/>
      <c r="H15" s="36"/>
      <c r="I15" s="37" t="s">
        <v>234</v>
      </c>
      <c r="J15" s="36"/>
      <c r="K15" s="37" t="s">
        <v>235</v>
      </c>
      <c r="L15" s="37"/>
      <c r="M15" s="1563"/>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ht="15.75">
      <c r="B16" s="37"/>
      <c r="C16" s="37" t="s">
        <v>238</v>
      </c>
      <c r="D16" s="36"/>
      <c r="E16" s="37" t="s">
        <v>1521</v>
      </c>
      <c r="F16" s="36"/>
      <c r="G16" s="38" t="s">
        <v>231</v>
      </c>
      <c r="H16" s="36"/>
      <c r="I16" s="37" t="s">
        <v>239</v>
      </c>
      <c r="J16" s="36"/>
      <c r="K16" s="37" t="s">
        <v>239</v>
      </c>
      <c r="L16" s="37"/>
      <c r="M16" s="1563"/>
      <c r="N16" s="37"/>
      <c r="O16" s="37" t="s">
        <v>238</v>
      </c>
      <c r="P16" s="36"/>
      <c r="Q16" s="37" t="s">
        <v>1521</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ht="15.75">
      <c r="A17" s="39"/>
      <c r="B17" s="30"/>
      <c r="C17" s="1021"/>
      <c r="D17" s="30"/>
      <c r="E17" s="1021"/>
      <c r="F17" s="30"/>
      <c r="G17" s="1021"/>
      <c r="H17" s="30"/>
      <c r="I17" s="1021"/>
      <c r="J17" s="30"/>
      <c r="K17" s="1021"/>
      <c r="L17" s="30"/>
      <c r="M17" s="1564"/>
      <c r="N17" s="30"/>
      <c r="O17" s="1021"/>
      <c r="P17" s="30"/>
      <c r="Q17" s="1021"/>
      <c r="R17" s="30"/>
      <c r="S17" s="1021"/>
      <c r="T17" s="30"/>
      <c r="U17" s="1021"/>
      <c r="V17" s="30"/>
      <c r="W17" s="1021"/>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ht="15.75">
      <c r="A18" s="3" t="s">
        <v>114</v>
      </c>
      <c r="C18" s="261"/>
      <c r="E18" s="261"/>
      <c r="M18" s="1565"/>
      <c r="W18" s="261"/>
      <c r="Y18" s="261"/>
      <c r="AA18" s="38"/>
      <c r="AB18" s="36"/>
      <c r="AC18" s="37"/>
      <c r="AS18" s="296"/>
      <c r="AT18" s="296"/>
      <c r="AU18" s="296"/>
      <c r="AV18" s="296"/>
      <c r="AW18" s="296"/>
      <c r="AX18" s="296"/>
    </row>
    <row r="19" spans="1:50">
      <c r="A19" s="355" t="s">
        <v>240</v>
      </c>
      <c r="B19" s="384"/>
      <c r="C19" s="261"/>
      <c r="D19" s="384"/>
      <c r="E19" s="261"/>
      <c r="F19" s="384"/>
      <c r="H19" s="384"/>
      <c r="J19" s="384"/>
      <c r="M19" s="1565"/>
      <c r="P19" s="384"/>
      <c r="R19" s="384"/>
      <c r="T19" s="384"/>
      <c r="V19" s="384"/>
      <c r="W19" s="261"/>
      <c r="Y19" s="261"/>
      <c r="AA19" s="30"/>
      <c r="AB19" s="30"/>
      <c r="AC19" s="30"/>
      <c r="AS19" s="296"/>
      <c r="AT19" s="296"/>
      <c r="AU19" s="296"/>
      <c r="AV19" s="296"/>
      <c r="AW19" s="296"/>
      <c r="AX19" s="296"/>
    </row>
    <row r="20" spans="1:50">
      <c r="A20" s="355" t="s">
        <v>241</v>
      </c>
      <c r="B20" s="384" t="s">
        <v>103</v>
      </c>
      <c r="C20" s="282">
        <v>0</v>
      </c>
      <c r="D20" s="281"/>
      <c r="E20" s="282">
        <v>0</v>
      </c>
      <c r="F20" s="281"/>
      <c r="G20" s="279">
        <f>'Exhibit G State'!AC17</f>
        <v>0</v>
      </c>
      <c r="H20" s="281"/>
      <c r="I20" s="279">
        <f t="shared" ref="I20" si="0">G20-C20</f>
        <v>0</v>
      </c>
      <c r="J20" s="281"/>
      <c r="K20" s="279">
        <f>G20-E20</f>
        <v>0</v>
      </c>
      <c r="L20" s="279"/>
      <c r="M20" s="1534"/>
      <c r="O20" s="282">
        <v>0</v>
      </c>
      <c r="P20" s="281"/>
      <c r="Q20" s="282">
        <v>0</v>
      </c>
      <c r="R20" s="281"/>
      <c r="S20" s="279">
        <v>0</v>
      </c>
      <c r="T20" s="281"/>
      <c r="U20" s="279">
        <v>0</v>
      </c>
      <c r="V20" s="281"/>
      <c r="W20" s="279">
        <f>S20-Q20</f>
        <v>0</v>
      </c>
      <c r="X20" s="281"/>
      <c r="Y20" s="1566"/>
      <c r="Z20" s="281"/>
      <c r="AA20" s="1669"/>
      <c r="AB20" s="1669"/>
      <c r="AC20" s="1669"/>
      <c r="AF20" s="1669"/>
      <c r="AG20" s="1669"/>
      <c r="AH20" s="1669"/>
      <c r="AS20" s="296"/>
      <c r="AT20" s="296"/>
      <c r="AU20" s="296"/>
      <c r="AV20" s="296"/>
      <c r="AW20" s="296"/>
      <c r="AX20" s="296"/>
    </row>
    <row r="21" spans="1:50">
      <c r="A21" s="355" t="s">
        <v>242</v>
      </c>
      <c r="B21" s="261" t="s">
        <v>103</v>
      </c>
      <c r="C21" s="280">
        <v>1496</v>
      </c>
      <c r="D21" s="1834"/>
      <c r="E21" s="280">
        <v>1518</v>
      </c>
      <c r="F21" s="269"/>
      <c r="G21" s="269">
        <f>'Exhibit G State'!AC29</f>
        <v>1546.8</v>
      </c>
      <c r="H21" s="269"/>
      <c r="I21" s="269">
        <f>G21-C21</f>
        <v>50.799999999999955</v>
      </c>
      <c r="J21" s="269"/>
      <c r="K21" s="269">
        <f t="shared" ref="K21:K24" si="1">G21-E21</f>
        <v>28.799999999999955</v>
      </c>
      <c r="L21" s="269"/>
      <c r="M21" s="1006"/>
      <c r="O21" s="280">
        <v>0</v>
      </c>
      <c r="P21" s="1834"/>
      <c r="Q21" s="280">
        <v>0</v>
      </c>
      <c r="R21" s="269"/>
      <c r="S21" s="269">
        <v>0</v>
      </c>
      <c r="T21" s="269"/>
      <c r="U21" s="269">
        <v>0</v>
      </c>
      <c r="V21" s="269"/>
      <c r="W21" s="269">
        <f t="shared" ref="W21:W25" si="2">S21-Q21</f>
        <v>0</v>
      </c>
      <c r="X21" s="269"/>
      <c r="Y21" s="1566"/>
      <c r="Z21" s="269"/>
      <c r="AA21" s="1669"/>
      <c r="AB21" s="1838"/>
      <c r="AC21" s="1669"/>
      <c r="AD21" s="269"/>
      <c r="AE21" s="269"/>
      <c r="AF21" s="1669"/>
      <c r="AG21" s="1669"/>
      <c r="AH21" s="1669"/>
      <c r="AS21" s="296"/>
      <c r="AT21" s="296"/>
      <c r="AU21" s="296"/>
      <c r="AV21" s="296"/>
      <c r="AW21" s="296"/>
      <c r="AX21" s="296"/>
    </row>
    <row r="22" spans="1:50">
      <c r="A22" s="355" t="s">
        <v>243</v>
      </c>
      <c r="B22" s="384" t="s">
        <v>103</v>
      </c>
      <c r="C22" s="280">
        <v>1588</v>
      </c>
      <c r="D22" s="372"/>
      <c r="E22" s="280">
        <v>1451</v>
      </c>
      <c r="F22" s="292"/>
      <c r="G22" s="269">
        <f>'Exhibit G State'!AC36</f>
        <v>1422.5</v>
      </c>
      <c r="H22" s="292"/>
      <c r="I22" s="269">
        <f>G22-C22</f>
        <v>-165.5</v>
      </c>
      <c r="J22" s="292"/>
      <c r="K22" s="269">
        <f t="shared" si="1"/>
        <v>-28.5</v>
      </c>
      <c r="L22" s="269"/>
      <c r="M22" s="1006"/>
      <c r="O22" s="280">
        <v>0</v>
      </c>
      <c r="P22" s="372"/>
      <c r="Q22" s="280">
        <v>0</v>
      </c>
      <c r="R22" s="292"/>
      <c r="S22" s="269">
        <v>0</v>
      </c>
      <c r="T22" s="292"/>
      <c r="U22" s="269">
        <v>0</v>
      </c>
      <c r="V22" s="292"/>
      <c r="W22" s="269">
        <f t="shared" si="2"/>
        <v>0</v>
      </c>
      <c r="X22" s="292"/>
      <c r="Y22" s="1566"/>
      <c r="Z22" s="292"/>
      <c r="AA22" s="1839"/>
      <c r="AB22" s="1838"/>
      <c r="AC22" s="1669"/>
      <c r="AD22" s="292"/>
      <c r="AE22" s="269"/>
      <c r="AF22" s="1669"/>
      <c r="AG22" s="1838"/>
      <c r="AH22" s="1669"/>
      <c r="AI22" s="384"/>
      <c r="AL22" s="384"/>
      <c r="AO22" s="384"/>
      <c r="AP22" s="57"/>
      <c r="AQ22" s="384"/>
      <c r="AS22" s="296"/>
      <c r="AT22" s="296"/>
      <c r="AU22" s="296"/>
      <c r="AV22" s="296"/>
      <c r="AW22" s="296"/>
      <c r="AX22" s="296"/>
    </row>
    <row r="23" spans="1:50" ht="15" customHeight="1">
      <c r="A23" s="355" t="s">
        <v>119</v>
      </c>
      <c r="B23" s="261" t="s">
        <v>103</v>
      </c>
      <c r="C23" s="280">
        <v>16898</v>
      </c>
      <c r="D23" s="1835"/>
      <c r="E23" s="280">
        <v>17690</v>
      </c>
      <c r="F23" s="1216"/>
      <c r="G23" s="269">
        <f>'Exhibit G State'!AC81</f>
        <v>17891.2</v>
      </c>
      <c r="H23" s="1216"/>
      <c r="I23" s="269">
        <f>G23-C23</f>
        <v>993.20000000000073</v>
      </c>
      <c r="J23" s="1216"/>
      <c r="K23" s="269">
        <f t="shared" si="1"/>
        <v>201.20000000000073</v>
      </c>
      <c r="L23" s="269"/>
      <c r="M23" s="1006"/>
      <c r="O23" s="280">
        <v>347</v>
      </c>
      <c r="P23" s="1835"/>
      <c r="Q23" s="280">
        <v>454</v>
      </c>
      <c r="R23" s="1216"/>
      <c r="S23" s="293">
        <f>'Exhibit G Federal'!AC52</f>
        <v>453.5</v>
      </c>
      <c r="T23" s="1216"/>
      <c r="U23" s="269">
        <f>S23-O23</f>
        <v>106.5</v>
      </c>
      <c r="V23" s="1216"/>
      <c r="W23" s="269">
        <f t="shared" si="2"/>
        <v>-0.5</v>
      </c>
      <c r="X23" s="269"/>
      <c r="Y23" s="1566"/>
      <c r="Z23" s="269"/>
      <c r="AA23" s="1669"/>
      <c r="AB23" s="1669"/>
      <c r="AC23" s="1669"/>
      <c r="AD23" s="269"/>
      <c r="AE23" s="269"/>
      <c r="AF23" s="1669"/>
      <c r="AG23" s="1669"/>
      <c r="AH23" s="1669"/>
      <c r="AS23" s="296"/>
      <c r="AT23" s="296"/>
      <c r="AU23" s="296"/>
      <c r="AV23" s="296"/>
      <c r="AW23" s="296"/>
      <c r="AX23" s="296"/>
    </row>
    <row r="24" spans="1:50" ht="15" customHeight="1">
      <c r="A24" s="355" t="s">
        <v>120</v>
      </c>
      <c r="B24" s="261" t="s">
        <v>103</v>
      </c>
      <c r="C24" s="280">
        <v>0</v>
      </c>
      <c r="D24" s="1834"/>
      <c r="E24" s="280">
        <v>0</v>
      </c>
      <c r="F24" s="269"/>
      <c r="G24" s="293">
        <f>'Exhibit G State'!AC83</f>
        <v>0.2</v>
      </c>
      <c r="H24" s="269"/>
      <c r="I24" s="269">
        <f>G24-C24</f>
        <v>0.2</v>
      </c>
      <c r="J24" s="269"/>
      <c r="K24" s="269">
        <f t="shared" si="1"/>
        <v>0.2</v>
      </c>
      <c r="L24" s="269"/>
      <c r="M24" s="1006"/>
      <c r="O24" s="280">
        <v>61584</v>
      </c>
      <c r="P24" s="1834"/>
      <c r="Q24" s="280">
        <v>65003</v>
      </c>
      <c r="R24" s="269"/>
      <c r="S24" s="293">
        <f>'Exhibit G Federal'!AC54</f>
        <v>66099.7</v>
      </c>
      <c r="T24" s="269"/>
      <c r="U24" s="269">
        <f>S24-O24</f>
        <v>4515.6999999999971</v>
      </c>
      <c r="V24" s="269"/>
      <c r="W24" s="269">
        <f t="shared" si="2"/>
        <v>1096.6999999999971</v>
      </c>
      <c r="X24" s="269"/>
      <c r="Y24" s="1566"/>
      <c r="Z24" s="269"/>
      <c r="AA24" s="1669"/>
      <c r="AB24" s="1838"/>
      <c r="AC24" s="1669"/>
      <c r="AD24" s="269"/>
      <c r="AE24" s="280"/>
      <c r="AF24" s="1840"/>
      <c r="AG24" s="1669"/>
      <c r="AH24" s="1840"/>
      <c r="AJ24" s="386"/>
      <c r="AK24" s="394"/>
      <c r="AS24" s="296"/>
      <c r="AT24" s="296"/>
      <c r="AU24" s="296"/>
      <c r="AV24" s="296"/>
      <c r="AW24" s="296"/>
      <c r="AX24" s="296"/>
    </row>
    <row r="25" spans="1:50">
      <c r="A25" s="355" t="s">
        <v>147</v>
      </c>
      <c r="B25" s="394" t="s">
        <v>103</v>
      </c>
      <c r="C25" s="849">
        <v>3236</v>
      </c>
      <c r="D25" s="1834"/>
      <c r="E25" s="849">
        <v>3221</v>
      </c>
      <c r="F25" s="269"/>
      <c r="G25" s="293">
        <f>'Exhibit G State'!AC112</f>
        <v>3233.2</v>
      </c>
      <c r="H25" s="269"/>
      <c r="I25" s="269">
        <f>G25-C25</f>
        <v>-2.8000000000001819</v>
      </c>
      <c r="J25" s="269"/>
      <c r="K25" s="269">
        <f>G25-E25</f>
        <v>12.199999999999818</v>
      </c>
      <c r="L25" s="269"/>
      <c r="M25" s="1006"/>
      <c r="N25" s="394"/>
      <c r="O25" s="849">
        <v>0</v>
      </c>
      <c r="P25" s="1834"/>
      <c r="Q25" s="849">
        <v>0</v>
      </c>
      <c r="R25" s="269"/>
      <c r="S25" s="293">
        <f>'Exhibit G Federal'!AC85</f>
        <v>0</v>
      </c>
      <c r="T25" s="269"/>
      <c r="U25" s="269">
        <v>0</v>
      </c>
      <c r="V25" s="269"/>
      <c r="W25" s="269">
        <f t="shared" si="2"/>
        <v>0</v>
      </c>
      <c r="X25" s="269"/>
      <c r="Y25" s="1566"/>
      <c r="Z25" s="269"/>
      <c r="AA25" s="1669"/>
      <c r="AB25" s="1669"/>
      <c r="AC25" s="1669"/>
      <c r="AD25" s="269"/>
      <c r="AE25" s="280"/>
      <c r="AF25" s="1840"/>
      <c r="AG25" s="1669"/>
      <c r="AH25" s="1840"/>
      <c r="AJ25" s="386"/>
      <c r="AK25" s="394"/>
      <c r="AS25" s="296"/>
      <c r="AT25" s="296"/>
      <c r="AU25" s="296"/>
      <c r="AV25" s="296"/>
      <c r="AW25" s="296"/>
      <c r="AX25" s="296"/>
    </row>
    <row r="26" spans="1:50" ht="18" customHeight="1">
      <c r="A26" s="1235" t="s">
        <v>264</v>
      </c>
      <c r="B26" s="36" t="s">
        <v>103</v>
      </c>
      <c r="C26" s="624">
        <f>ROUND(SUM(C20:C25),1)</f>
        <v>23218</v>
      </c>
      <c r="D26" s="13"/>
      <c r="E26" s="624">
        <f>ROUND(SUM(E20:E25),1)</f>
        <v>23880</v>
      </c>
      <c r="F26" s="13"/>
      <c r="G26" s="624">
        <f>ROUND(SUM(G20:G25),1)</f>
        <v>24093.9</v>
      </c>
      <c r="H26" s="13"/>
      <c r="I26" s="623">
        <f>ROUND(SUM(I20:I25),1)</f>
        <v>875.9</v>
      </c>
      <c r="J26" s="13"/>
      <c r="K26" s="623">
        <f>ROUND(SUM(K20:K25),1)</f>
        <v>213.9</v>
      </c>
      <c r="L26" s="13"/>
      <c r="M26" s="1536"/>
      <c r="O26" s="624">
        <f>ROUND(SUM(O20:O25),1)</f>
        <v>61931</v>
      </c>
      <c r="P26" s="13"/>
      <c r="Q26" s="624">
        <f>ROUND(SUM(Q20:Q25),1)</f>
        <v>65457</v>
      </c>
      <c r="R26" s="13"/>
      <c r="S26" s="623">
        <f>ROUND(SUM(S20:S25),1)</f>
        <v>66553.2</v>
      </c>
      <c r="T26" s="13"/>
      <c r="U26" s="623">
        <f>ROUND(SUM(U20:U25),1)</f>
        <v>4622.2</v>
      </c>
      <c r="V26" s="13"/>
      <c r="W26" s="623">
        <f>ROUND(SUM(W20:W25),1)</f>
        <v>1096.2</v>
      </c>
      <c r="X26" s="13"/>
      <c r="Y26" s="13"/>
      <c r="Z26" s="13"/>
      <c r="AA26" s="1669"/>
      <c r="AB26" s="1669"/>
      <c r="AC26" s="1669"/>
      <c r="AD26" s="13"/>
      <c r="AE26" s="13"/>
      <c r="AF26" s="1759"/>
      <c r="AG26" s="1759"/>
      <c r="AH26" s="1759"/>
      <c r="AI26" s="36"/>
      <c r="AJ26" s="36"/>
      <c r="AK26" s="36"/>
      <c r="AL26" s="36"/>
      <c r="AM26" s="36"/>
      <c r="AN26" s="36"/>
      <c r="AO26" s="36"/>
      <c r="AP26" s="36"/>
      <c r="AQ26" s="36"/>
      <c r="AR26" s="36"/>
      <c r="AS26" s="296"/>
      <c r="AT26" s="296"/>
      <c r="AU26" s="296"/>
      <c r="AV26" s="296"/>
      <c r="AW26" s="296"/>
      <c r="AX26" s="296"/>
    </row>
    <row r="27" spans="1:50">
      <c r="C27" s="622"/>
      <c r="D27" s="269"/>
      <c r="E27" s="622"/>
      <c r="F27" s="269"/>
      <c r="G27" s="622"/>
      <c r="H27" s="269"/>
      <c r="I27" s="269"/>
      <c r="J27" s="269"/>
      <c r="K27" s="269"/>
      <c r="L27" s="269"/>
      <c r="M27" s="1006"/>
      <c r="O27" s="622"/>
      <c r="P27" s="269"/>
      <c r="Q27" s="622"/>
      <c r="R27" s="269"/>
      <c r="S27" s="622"/>
      <c r="T27" s="269"/>
      <c r="U27" s="269"/>
      <c r="V27" s="269"/>
      <c r="W27" s="269"/>
      <c r="X27" s="269"/>
      <c r="Y27" s="269"/>
      <c r="Z27" s="269"/>
      <c r="AA27" s="1838"/>
      <c r="AB27" s="1669"/>
      <c r="AC27" s="1669"/>
      <c r="AD27" s="269"/>
      <c r="AE27" s="269"/>
      <c r="AF27" s="1669"/>
      <c r="AG27" s="1669"/>
      <c r="AH27" s="1669"/>
      <c r="AS27" s="296"/>
      <c r="AT27" s="296"/>
      <c r="AU27" s="296"/>
      <c r="AV27" s="296"/>
      <c r="AW27" s="296"/>
      <c r="AX27" s="296"/>
    </row>
    <row r="28" spans="1:50" ht="15.75">
      <c r="A28" s="3" t="s">
        <v>122</v>
      </c>
      <c r="C28" s="269"/>
      <c r="D28" s="269"/>
      <c r="E28" s="269"/>
      <c r="F28" s="269"/>
      <c r="G28" s="269"/>
      <c r="H28" s="269"/>
      <c r="I28" s="269"/>
      <c r="J28" s="269"/>
      <c r="K28" s="269"/>
      <c r="L28" s="269"/>
      <c r="M28" s="1006"/>
      <c r="O28" s="269"/>
      <c r="P28" s="269"/>
      <c r="Q28" s="269"/>
      <c r="R28" s="269"/>
      <c r="S28" s="269"/>
      <c r="T28" s="269"/>
      <c r="U28" s="269"/>
      <c r="V28" s="269"/>
      <c r="W28" s="269"/>
      <c r="X28" s="269"/>
      <c r="Y28" s="269"/>
      <c r="Z28" s="269"/>
      <c r="AA28" s="1759"/>
      <c r="AB28" s="1759"/>
      <c r="AC28" s="1759"/>
      <c r="AD28" s="269"/>
      <c r="AE28" s="269"/>
      <c r="AF28" s="1669"/>
      <c r="AG28" s="1669"/>
      <c r="AH28" s="1669"/>
      <c r="AS28" s="296"/>
      <c r="AT28" s="296"/>
      <c r="AU28" s="296"/>
      <c r="AV28" s="296"/>
      <c r="AW28" s="296"/>
      <c r="AX28" s="296"/>
    </row>
    <row r="29" spans="1:50">
      <c r="A29" s="355" t="s">
        <v>246</v>
      </c>
      <c r="B29" s="384" t="s">
        <v>103</v>
      </c>
      <c r="C29" s="280">
        <v>15279</v>
      </c>
      <c r="D29" s="1834"/>
      <c r="E29" s="280">
        <v>13998</v>
      </c>
      <c r="F29" s="269"/>
      <c r="G29" s="292">
        <f>'Exhibit G State'!AC99</f>
        <v>13974.8</v>
      </c>
      <c r="H29" s="269"/>
      <c r="I29" s="269">
        <f t="shared" ref="I29:I34" si="3">G29-C29</f>
        <v>-1304.2000000000007</v>
      </c>
      <c r="J29" s="269"/>
      <c r="K29" s="269">
        <f t="shared" ref="K29:K34" si="4">G29-E29</f>
        <v>-23.200000000000728</v>
      </c>
      <c r="L29" s="269"/>
      <c r="M29" s="1006"/>
      <c r="O29" s="280">
        <v>56346</v>
      </c>
      <c r="P29" s="1834"/>
      <c r="Q29" s="280">
        <v>59358</v>
      </c>
      <c r="R29" s="269"/>
      <c r="S29" s="292">
        <f>'Exhibit G Federal'!AC70</f>
        <v>59864.5</v>
      </c>
      <c r="T29" s="269"/>
      <c r="U29" s="269">
        <f t="shared" ref="U29:U34" si="5">S29-O29</f>
        <v>3518.5</v>
      </c>
      <c r="V29" s="269"/>
      <c r="W29" s="269">
        <f>S29-Q29</f>
        <v>506.5</v>
      </c>
      <c r="X29" s="269"/>
      <c r="Y29" s="1566"/>
      <c r="Z29" s="269"/>
      <c r="AA29" s="1669"/>
      <c r="AB29" s="1669"/>
      <c r="AC29" s="1669"/>
      <c r="AD29" s="269"/>
      <c r="AE29" s="280"/>
      <c r="AF29" s="1840"/>
      <c r="AG29" s="1669"/>
      <c r="AH29" s="1840"/>
      <c r="AJ29" s="386"/>
      <c r="AK29" s="394"/>
      <c r="AS29" s="296"/>
      <c r="AT29" s="296"/>
      <c r="AU29" s="296"/>
      <c r="AV29" s="296"/>
      <c r="AW29" s="296"/>
      <c r="AX29" s="296"/>
    </row>
    <row r="30" spans="1:50">
      <c r="A30" s="355" t="s">
        <v>247</v>
      </c>
      <c r="B30" s="384" t="s">
        <v>103</v>
      </c>
      <c r="C30" s="280">
        <v>6782</v>
      </c>
      <c r="D30" s="1834"/>
      <c r="E30" s="280">
        <v>6953</v>
      </c>
      <c r="F30" s="269"/>
      <c r="G30" s="292">
        <f>'Exhibit G State'!AC101+'Exhibit G State'!AC102</f>
        <v>6842.6</v>
      </c>
      <c r="H30" s="269"/>
      <c r="I30" s="269">
        <f t="shared" si="3"/>
        <v>60.600000000000364</v>
      </c>
      <c r="J30" s="269"/>
      <c r="K30" s="269">
        <f t="shared" si="4"/>
        <v>-110.39999999999964</v>
      </c>
      <c r="L30" s="269"/>
      <c r="M30" s="1006"/>
      <c r="O30" s="280">
        <v>1524</v>
      </c>
      <c r="P30" s="1834"/>
      <c r="Q30" s="280">
        <v>1788</v>
      </c>
      <c r="R30" s="269"/>
      <c r="S30" s="292">
        <f>'Exhibit G Federal'!AC72+'Exhibit G Federal'!AC73</f>
        <v>1830.3000000000002</v>
      </c>
      <c r="T30" s="269"/>
      <c r="U30" s="269">
        <f t="shared" si="5"/>
        <v>306.30000000000018</v>
      </c>
      <c r="V30" s="269"/>
      <c r="W30" s="269">
        <f t="shared" ref="W30:W34" si="6">S30-Q30</f>
        <v>42.300000000000182</v>
      </c>
      <c r="X30" s="269"/>
      <c r="Y30" s="1566"/>
      <c r="Z30" s="269"/>
      <c r="AA30" s="1669"/>
      <c r="AB30" s="1669"/>
      <c r="AC30" s="1669"/>
      <c r="AD30" s="269"/>
      <c r="AE30" s="292"/>
      <c r="AF30" s="1838"/>
      <c r="AG30" s="1669"/>
      <c r="AH30" s="1838"/>
      <c r="AJ30" s="386"/>
      <c r="AM30" s="386"/>
      <c r="AN30" s="386"/>
      <c r="AP30" s="386"/>
      <c r="AR30" s="386"/>
      <c r="AS30" s="296"/>
      <c r="AT30" s="296"/>
      <c r="AU30" s="296"/>
      <c r="AV30" s="296"/>
      <c r="AW30" s="296"/>
      <c r="AX30" s="296"/>
    </row>
    <row r="31" spans="1:50">
      <c r="A31" s="355" t="s">
        <v>212</v>
      </c>
      <c r="B31" s="384" t="s">
        <v>103</v>
      </c>
      <c r="C31" s="280">
        <v>811</v>
      </c>
      <c r="D31" s="1834"/>
      <c r="E31" s="280">
        <v>838</v>
      </c>
      <c r="F31" s="269"/>
      <c r="G31" s="292">
        <f>'Exhibit G State'!AC103</f>
        <v>915.1</v>
      </c>
      <c r="H31" s="269"/>
      <c r="I31" s="269">
        <f t="shared" si="3"/>
        <v>104.10000000000002</v>
      </c>
      <c r="J31" s="269"/>
      <c r="K31" s="269">
        <f t="shared" si="4"/>
        <v>77.100000000000023</v>
      </c>
      <c r="L31" s="269"/>
      <c r="M31" s="1006"/>
      <c r="O31" s="280">
        <v>256</v>
      </c>
      <c r="P31" s="1834"/>
      <c r="Q31" s="280">
        <v>273</v>
      </c>
      <c r="R31" s="269"/>
      <c r="S31" s="292">
        <f>'Exhibit G Federal'!AC74</f>
        <v>292.2</v>
      </c>
      <c r="T31" s="269"/>
      <c r="U31" s="269">
        <f t="shared" si="5"/>
        <v>36.199999999999989</v>
      </c>
      <c r="V31" s="269"/>
      <c r="W31" s="269">
        <f t="shared" si="6"/>
        <v>19.199999999999989</v>
      </c>
      <c r="X31" s="269"/>
      <c r="Y31" s="1566"/>
      <c r="Z31" s="269"/>
      <c r="AA31" s="1669"/>
      <c r="AB31" s="1669"/>
      <c r="AC31" s="1669"/>
      <c r="AD31" s="269"/>
      <c r="AE31" s="280"/>
      <c r="AF31" s="1840"/>
      <c r="AG31" s="1669"/>
      <c r="AH31" s="1840"/>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6"/>
      <c r="O32" s="280">
        <v>0</v>
      </c>
      <c r="P32" s="384"/>
      <c r="Q32" s="280">
        <v>0</v>
      </c>
      <c r="R32" s="269"/>
      <c r="S32" s="292">
        <f>'Exhibit G Federal'!AC76</f>
        <v>0</v>
      </c>
      <c r="T32" s="269"/>
      <c r="U32" s="269">
        <f t="shared" si="5"/>
        <v>0</v>
      </c>
      <c r="V32" s="269"/>
      <c r="W32" s="269">
        <f t="shared" si="6"/>
        <v>0</v>
      </c>
      <c r="X32" s="269"/>
      <c r="Y32" s="1566"/>
      <c r="Z32" s="269"/>
      <c r="AA32" s="1669"/>
      <c r="AB32" s="1669"/>
      <c r="AC32" s="1669"/>
      <c r="AD32" s="269"/>
      <c r="AE32" s="280"/>
      <c r="AF32" s="1840"/>
      <c r="AG32" s="1669"/>
      <c r="AH32" s="1840"/>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6"/>
      <c r="N33" s="394"/>
      <c r="O33" s="280">
        <v>0</v>
      </c>
      <c r="P33" s="384"/>
      <c r="Q33" s="280">
        <v>0</v>
      </c>
      <c r="R33" s="269"/>
      <c r="S33" s="292">
        <f>'Exhibit G Federal'!AC77</f>
        <v>0</v>
      </c>
      <c r="T33" s="269"/>
      <c r="U33" s="269">
        <f t="shared" si="5"/>
        <v>0</v>
      </c>
      <c r="V33" s="269"/>
      <c r="W33" s="269">
        <f t="shared" si="6"/>
        <v>0</v>
      </c>
      <c r="X33" s="269"/>
      <c r="Y33" s="1566"/>
      <c r="Z33" s="269"/>
      <c r="AA33" s="1669"/>
      <c r="AB33" s="1669"/>
      <c r="AC33" s="1669"/>
      <c r="AD33" s="269"/>
      <c r="AE33" s="280"/>
      <c r="AF33" s="1840"/>
      <c r="AG33" s="1669"/>
      <c r="AH33" s="1840"/>
      <c r="AJ33" s="386"/>
      <c r="AK33" s="394"/>
      <c r="AS33" s="296"/>
      <c r="AT33" s="296"/>
      <c r="AU33" s="296"/>
      <c r="AV33" s="296"/>
      <c r="AW33" s="296"/>
      <c r="AX33" s="296"/>
    </row>
    <row r="34" spans="1:50">
      <c r="A34" s="355" t="s">
        <v>251</v>
      </c>
      <c r="B34" s="394" t="s">
        <v>103</v>
      </c>
      <c r="C34" s="280">
        <v>215</v>
      </c>
      <c r="D34" s="384"/>
      <c r="E34" s="280">
        <v>200</v>
      </c>
      <c r="F34" s="269"/>
      <c r="G34" s="293">
        <f>-'Exhibit G State'!AC113</f>
        <v>170.4</v>
      </c>
      <c r="H34" s="269"/>
      <c r="I34" s="269">
        <f t="shared" si="3"/>
        <v>-44.599999999999994</v>
      </c>
      <c r="J34" s="269"/>
      <c r="K34" s="269">
        <f t="shared" si="4"/>
        <v>-29.599999999999994</v>
      </c>
      <c r="L34" s="269"/>
      <c r="M34" s="1006"/>
      <c r="N34" s="394"/>
      <c r="O34" s="280">
        <v>1768</v>
      </c>
      <c r="P34" s="384"/>
      <c r="Q34" s="280">
        <v>2583</v>
      </c>
      <c r="R34" s="269"/>
      <c r="S34" s="293">
        <f>-'Exhibit G Federal'!AC86</f>
        <v>2517.4</v>
      </c>
      <c r="T34" s="269"/>
      <c r="U34" s="269">
        <f t="shared" si="5"/>
        <v>749.40000000000009</v>
      </c>
      <c r="V34" s="269"/>
      <c r="W34" s="269">
        <f t="shared" si="6"/>
        <v>-65.599999999999909</v>
      </c>
      <c r="X34" s="269"/>
      <c r="Y34" s="1566"/>
      <c r="Z34" s="269"/>
      <c r="AA34" s="1669"/>
      <c r="AB34" s="1669"/>
      <c r="AC34" s="1669"/>
      <c r="AD34" s="269"/>
      <c r="AE34" s="280"/>
      <c r="AF34" s="1840"/>
      <c r="AG34" s="1669"/>
      <c r="AH34" s="1840"/>
      <c r="AJ34" s="386"/>
      <c r="AK34" s="394"/>
      <c r="AS34" s="296"/>
      <c r="AT34" s="296"/>
      <c r="AU34" s="296"/>
      <c r="AV34" s="296"/>
      <c r="AW34" s="296"/>
      <c r="AX34" s="296"/>
    </row>
    <row r="35" spans="1:50" ht="18" customHeight="1">
      <c r="A35" s="1235" t="s">
        <v>273</v>
      </c>
      <c r="B35" s="36" t="s">
        <v>103</v>
      </c>
      <c r="C35" s="623">
        <f>ROUND(SUM(C29:C34),1)</f>
        <v>23087</v>
      </c>
      <c r="D35" s="13"/>
      <c r="E35" s="623">
        <f>ROUND(SUM(E29:E34),1)</f>
        <v>21989</v>
      </c>
      <c r="F35" s="13"/>
      <c r="G35" s="623">
        <f>ROUND(SUM(G29:G34),1)</f>
        <v>21902.9</v>
      </c>
      <c r="H35" s="13"/>
      <c r="I35" s="623">
        <f>ROUND(SUM(I29:I34),1)</f>
        <v>-1184.0999999999999</v>
      </c>
      <c r="J35" s="13"/>
      <c r="K35" s="623">
        <f>ROUND(SUM(K29:K34),1)</f>
        <v>-86.1</v>
      </c>
      <c r="L35" s="13"/>
      <c r="M35" s="1536"/>
      <c r="N35" s="36"/>
      <c r="O35" s="623">
        <f>ROUND(SUM(O29:O34),1)</f>
        <v>59894</v>
      </c>
      <c r="P35" s="13"/>
      <c r="Q35" s="623">
        <f>ROUND(SUM(Q29:Q34),1)</f>
        <v>64002</v>
      </c>
      <c r="R35" s="13"/>
      <c r="S35" s="623">
        <f>ROUND(SUM(S29:S34),1)</f>
        <v>64504.4</v>
      </c>
      <c r="T35" s="13"/>
      <c r="U35" s="623">
        <f>ROUND(SUM(U29:U34),1)</f>
        <v>4610.3999999999996</v>
      </c>
      <c r="V35" s="13"/>
      <c r="W35" s="623">
        <f>ROUND(SUM(W29:W34),1)</f>
        <v>502.4</v>
      </c>
      <c r="X35" s="13"/>
      <c r="Y35" s="13"/>
      <c r="Z35" s="13"/>
      <c r="AA35" s="1669"/>
      <c r="AB35" s="1669"/>
      <c r="AC35" s="1669"/>
      <c r="AD35" s="13"/>
      <c r="AE35" s="13"/>
      <c r="AF35" s="1759"/>
      <c r="AG35" s="1759"/>
      <c r="AH35" s="1759"/>
      <c r="AI35" s="36"/>
      <c r="AJ35" s="36"/>
      <c r="AK35" s="36"/>
      <c r="AL35" s="36"/>
      <c r="AM35" s="36"/>
      <c r="AN35" s="36"/>
      <c r="AO35" s="36"/>
      <c r="AP35" s="36"/>
      <c r="AQ35" s="36"/>
      <c r="AR35" s="36"/>
      <c r="AS35" s="296"/>
      <c r="AT35" s="296"/>
      <c r="AU35" s="296"/>
      <c r="AV35" s="296"/>
      <c r="AW35" s="296"/>
      <c r="AX35" s="296"/>
    </row>
    <row r="36" spans="1:50">
      <c r="C36" s="622"/>
      <c r="D36" s="269"/>
      <c r="E36" s="622"/>
      <c r="F36" s="269"/>
      <c r="G36" s="622"/>
      <c r="H36" s="269"/>
      <c r="I36" s="269"/>
      <c r="J36" s="269"/>
      <c r="K36" s="269"/>
      <c r="L36" s="269"/>
      <c r="M36" s="1006"/>
      <c r="O36" s="622"/>
      <c r="P36" s="269"/>
      <c r="Q36" s="622"/>
      <c r="R36" s="269"/>
      <c r="S36" s="622"/>
      <c r="T36" s="269"/>
      <c r="U36" s="269"/>
      <c r="V36" s="269"/>
      <c r="W36" s="269"/>
      <c r="X36" s="269"/>
      <c r="Y36" s="269"/>
      <c r="Z36" s="269"/>
      <c r="AA36" s="1838"/>
      <c r="AB36" s="1669"/>
      <c r="AC36" s="1669"/>
      <c r="AD36" s="269"/>
      <c r="AE36" s="269"/>
      <c r="AF36" s="1669"/>
      <c r="AG36" s="1669"/>
      <c r="AH36" s="1669"/>
      <c r="AS36" s="296"/>
      <c r="AT36" s="296"/>
      <c r="AU36" s="296"/>
      <c r="AV36" s="296"/>
      <c r="AW36" s="296"/>
      <c r="AX36" s="296"/>
    </row>
    <row r="37" spans="1:50" ht="15.75">
      <c r="A37" s="3" t="s">
        <v>274</v>
      </c>
      <c r="C37" s="269"/>
      <c r="D37" s="269"/>
      <c r="E37" s="269"/>
      <c r="F37" s="269"/>
      <c r="G37" s="269"/>
      <c r="H37" s="269"/>
      <c r="I37" s="269"/>
      <c r="J37" s="269"/>
      <c r="K37" s="269"/>
      <c r="L37" s="269"/>
      <c r="M37" s="1006"/>
      <c r="O37" s="269"/>
      <c r="P37" s="269"/>
      <c r="Q37" s="269"/>
      <c r="R37" s="269"/>
      <c r="S37" s="269"/>
      <c r="T37" s="269"/>
      <c r="U37" s="269"/>
      <c r="V37" s="269"/>
      <c r="W37" s="269"/>
      <c r="X37" s="269"/>
      <c r="Y37" s="269"/>
      <c r="Z37" s="269"/>
      <c r="AA37" s="1759"/>
      <c r="AB37" s="1759"/>
      <c r="AC37" s="1759"/>
      <c r="AD37" s="269"/>
      <c r="AE37" s="269"/>
      <c r="AF37" s="1669"/>
      <c r="AG37" s="1669"/>
      <c r="AH37" s="1669"/>
      <c r="AS37" s="296"/>
      <c r="AT37" s="296"/>
      <c r="AU37" s="296"/>
      <c r="AV37" s="296"/>
      <c r="AW37" s="296"/>
      <c r="AX37" s="296"/>
    </row>
    <row r="38" spans="1:50" ht="15.75">
      <c r="A38" s="3" t="s">
        <v>275</v>
      </c>
      <c r="C38" s="269"/>
      <c r="D38" s="269"/>
      <c r="E38" s="269"/>
      <c r="F38" s="269"/>
      <c r="G38" s="269"/>
      <c r="H38" s="269"/>
      <c r="I38" s="269"/>
      <c r="J38" s="269"/>
      <c r="K38" s="269"/>
      <c r="L38" s="269"/>
      <c r="M38" s="1006"/>
      <c r="O38" s="269"/>
      <c r="P38" s="269"/>
      <c r="Q38" s="269"/>
      <c r="R38" s="269"/>
      <c r="S38" s="269"/>
      <c r="T38" s="269"/>
      <c r="U38" s="269"/>
      <c r="V38" s="269"/>
      <c r="W38" s="269"/>
      <c r="X38" s="269"/>
      <c r="Y38" s="269"/>
      <c r="Z38" s="269"/>
      <c r="AA38" s="1669"/>
      <c r="AB38" s="1669"/>
      <c r="AC38" s="1669"/>
      <c r="AD38" s="269"/>
      <c r="AE38" s="269"/>
      <c r="AF38" s="1669"/>
      <c r="AG38" s="1669"/>
      <c r="AH38" s="1669"/>
      <c r="AS38" s="296"/>
      <c r="AT38" s="296"/>
      <c r="AU38" s="296"/>
      <c r="AV38" s="296"/>
      <c r="AW38" s="296"/>
      <c r="AX38" s="296"/>
    </row>
    <row r="39" spans="1:50" ht="15.75">
      <c r="A39" s="1235" t="s">
        <v>255</v>
      </c>
      <c r="B39" s="1234" t="s">
        <v>103</v>
      </c>
      <c r="C39" s="13">
        <f>ROUND(SUM(C26)-SUM(C35),1)</f>
        <v>131</v>
      </c>
      <c r="D39" s="18"/>
      <c r="E39" s="13">
        <f>ROUND(SUM(E26)-SUM(E35),1)</f>
        <v>1891</v>
      </c>
      <c r="F39" s="18"/>
      <c r="G39" s="13">
        <f>ROUND(SUM(G26)-SUM(G35),1)</f>
        <v>2191</v>
      </c>
      <c r="H39" s="18"/>
      <c r="I39" s="13">
        <f>ROUND(SUM(I26)-SUM(I35),1)</f>
        <v>2060</v>
      </c>
      <c r="J39" s="18"/>
      <c r="K39" s="13">
        <f>ROUND(SUM(K26)-SUM(K35),1)</f>
        <v>300</v>
      </c>
      <c r="L39" s="13"/>
      <c r="M39" s="1536"/>
      <c r="N39" s="36"/>
      <c r="O39" s="13">
        <f>ROUND(SUM(O26)-SUM(O35),1)</f>
        <v>2037</v>
      </c>
      <c r="P39" s="18"/>
      <c r="Q39" s="13">
        <f>ROUND(SUM(Q26)-SUM(Q35),1)</f>
        <v>1455</v>
      </c>
      <c r="R39" s="18"/>
      <c r="S39" s="13">
        <f>ROUND(SUM(S26)-SUM(S35),1)</f>
        <v>2048.8000000000002</v>
      </c>
      <c r="T39" s="18"/>
      <c r="U39" s="13">
        <f>ROUND(SUM(U26)-SUM(U35),1)</f>
        <v>11.8</v>
      </c>
      <c r="V39" s="18"/>
      <c r="W39" s="13">
        <f>ROUND(SUM(W26)-SUM(W35),1)</f>
        <v>593.79999999999995</v>
      </c>
      <c r="X39" s="18"/>
      <c r="Y39" s="13"/>
      <c r="Z39" s="18"/>
      <c r="AA39" s="1669"/>
      <c r="AB39" s="1669"/>
      <c r="AC39" s="1669"/>
      <c r="AD39" s="18"/>
      <c r="AE39" s="13"/>
      <c r="AF39" s="1759"/>
      <c r="AG39" s="1841"/>
      <c r="AH39" s="1759"/>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36"/>
      <c r="N40" s="36"/>
      <c r="O40" s="269"/>
      <c r="P40" s="269"/>
      <c r="Q40" s="269"/>
      <c r="R40" s="269"/>
      <c r="S40" s="269"/>
      <c r="T40" s="269"/>
      <c r="U40" s="13"/>
      <c r="V40" s="269"/>
      <c r="W40" s="13"/>
      <c r="X40" s="269"/>
      <c r="Y40" s="269"/>
      <c r="Z40" s="269"/>
      <c r="AA40" s="1669"/>
      <c r="AB40" s="1669"/>
      <c r="AC40" s="1669"/>
      <c r="AD40" s="269"/>
      <c r="AE40" s="269"/>
      <c r="AF40" s="1669"/>
      <c r="AG40" s="1669"/>
      <c r="AH40" s="1669"/>
      <c r="AS40" s="296"/>
      <c r="AT40" s="296"/>
      <c r="AU40" s="296"/>
      <c r="AV40" s="296"/>
      <c r="AW40" s="296"/>
      <c r="AX40" s="296"/>
    </row>
    <row r="41" spans="1:50" ht="15.75">
      <c r="A41" s="1235"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42"/>
      <c r="N41" s="36"/>
      <c r="O41" s="13">
        <v>7829</v>
      </c>
      <c r="P41" s="269"/>
      <c r="Q41" s="13">
        <v>7829</v>
      </c>
      <c r="R41" s="269"/>
      <c r="S41" s="13">
        <v>7830.5</v>
      </c>
      <c r="T41" s="269"/>
      <c r="U41" s="13">
        <f>S41-O41</f>
        <v>1.5</v>
      </c>
      <c r="V41" s="269"/>
      <c r="W41" s="13">
        <f t="shared" ref="W41" si="8">S41-Q41</f>
        <v>1.5</v>
      </c>
      <c r="X41" s="269"/>
      <c r="Y41" s="13"/>
      <c r="Z41" s="269"/>
      <c r="AA41" s="1759"/>
      <c r="AB41" s="1841"/>
      <c r="AC41" s="1759"/>
      <c r="AD41" s="269"/>
      <c r="AE41" s="269"/>
      <c r="AF41" s="1669"/>
      <c r="AG41" s="1669"/>
      <c r="AH41" s="1669"/>
      <c r="AS41" s="296"/>
      <c r="AT41" s="296"/>
      <c r="AU41" s="296"/>
      <c r="AV41" s="296"/>
      <c r="AW41" s="296"/>
      <c r="AX41" s="296"/>
    </row>
    <row r="42" spans="1:50" ht="18" customHeight="1" thickBot="1">
      <c r="A42" s="1235" t="str">
        <f>+'Exh D Governmental  '!A50</f>
        <v>Fund Balances (Deficits) at November 30, 2025</v>
      </c>
      <c r="B42" s="43" t="s">
        <v>103</v>
      </c>
      <c r="C42" s="681">
        <f>ROUND(SUM(C39:C41),1)</f>
        <v>10420</v>
      </c>
      <c r="D42" s="44"/>
      <c r="E42" s="681">
        <f>ROUND(SUM(E39:E41),1)</f>
        <v>12180</v>
      </c>
      <c r="F42" s="44"/>
      <c r="G42" s="681">
        <f>ROUND(SUM(G39:G41),1)</f>
        <v>12479.7</v>
      </c>
      <c r="H42" s="44"/>
      <c r="I42" s="681">
        <f>ROUND(SUM(I39:I41),1)</f>
        <v>2059.6999999999998</v>
      </c>
      <c r="J42" s="44"/>
      <c r="K42" s="681">
        <f>ROUND(SUM(K39:K41),1)</f>
        <v>299.7</v>
      </c>
      <c r="L42" s="20"/>
      <c r="M42" s="345"/>
      <c r="N42" s="36"/>
      <c r="O42" s="681">
        <f>ROUND(SUM(O39:O41),1)</f>
        <v>9866</v>
      </c>
      <c r="P42" s="44"/>
      <c r="Q42" s="681">
        <f>ROUND(SUM(Q39:Q41),1)</f>
        <v>9284</v>
      </c>
      <c r="R42" s="44"/>
      <c r="S42" s="681">
        <f>ROUND(SUM(S39:S41),1)</f>
        <v>9879.2999999999993</v>
      </c>
      <c r="T42" s="44"/>
      <c r="U42" s="681">
        <f>ROUND(SUM(U39:U41),1)</f>
        <v>13.3</v>
      </c>
      <c r="V42" s="44"/>
      <c r="W42" s="681">
        <f>ROUND(SUM(W39:W41),1)</f>
        <v>595.29999999999995</v>
      </c>
      <c r="X42" s="44"/>
      <c r="Y42" s="20"/>
      <c r="Z42" s="44"/>
      <c r="AA42" s="1669"/>
      <c r="AB42" s="1669"/>
      <c r="AC42" s="1669"/>
      <c r="AF42" s="1669"/>
      <c r="AG42" s="1669"/>
      <c r="AH42" s="1669"/>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ht="15.75">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2025-26 Mid Year Update dated October 30, 2025.</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88671875" defaultRowHeight="15"/>
  <cols>
    <col min="1" max="1" width="47.109375" style="296" customWidth="1"/>
    <col min="2" max="2" width="2" style="261" customWidth="1"/>
    <col min="3" max="3" width="15.109375" style="132" customWidth="1"/>
    <col min="4" max="4" width="1.109375" style="261" customWidth="1"/>
    <col min="5" max="5" width="15.109375" style="132" customWidth="1"/>
    <col min="6" max="6" width="1.109375" style="261" customWidth="1"/>
    <col min="7" max="7" width="15.109375" style="261" customWidth="1"/>
    <col min="8" max="8" width="1.109375" style="261" customWidth="1"/>
    <col min="9" max="9" width="15.109375" style="261" customWidth="1"/>
    <col min="10" max="10" width="1.109375" style="261" customWidth="1"/>
    <col min="11" max="11" width="15.109375" style="261" customWidth="1"/>
    <col min="12" max="12" width="11.44140625" style="261" customWidth="1"/>
    <col min="13" max="13" width="1.88671875" style="261" customWidth="1"/>
    <col min="14" max="14" width="11.88671875" style="261" customWidth="1"/>
    <col min="15" max="15" width="2.109375" style="261" customWidth="1"/>
    <col min="16" max="16" width="11.44140625" style="261" customWidth="1"/>
    <col min="17" max="17" width="0.5546875" style="261" customWidth="1"/>
    <col min="18" max="18" width="2.109375" style="261" customWidth="1"/>
    <col min="19" max="19" width="10.5546875" style="261" customWidth="1"/>
    <col min="20" max="20" width="11.109375" style="261" customWidth="1"/>
    <col min="21" max="21" width="2.109375" style="261" customWidth="1"/>
    <col min="22" max="22" width="11.109375" style="261" customWidth="1"/>
    <col min="23" max="23" width="2.109375" style="261" customWidth="1"/>
    <col min="24" max="24" width="12.44140625" style="261" customWidth="1"/>
    <col min="25" max="30" width="8.88671875" style="261"/>
    <col min="31" max="16384" width="8.8867187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00000000000001"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81"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EIGHT MONTHS ENDED NOVEMBER 30,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ht="15.75">
      <c r="C11" s="2096" t="s">
        <v>282</v>
      </c>
      <c r="D11" s="2096"/>
      <c r="E11" s="2096"/>
      <c r="F11" s="2096"/>
      <c r="G11" s="2096"/>
      <c r="H11" s="2096"/>
      <c r="I11" s="2096"/>
      <c r="J11" s="432"/>
      <c r="K11" s="433"/>
      <c r="L11" s="52"/>
      <c r="M11" s="52"/>
      <c r="N11" s="52"/>
      <c r="O11" s="52"/>
      <c r="P11" s="52"/>
      <c r="Q11" s="52"/>
      <c r="R11" s="36"/>
      <c r="S11" s="52"/>
      <c r="T11" s="53"/>
      <c r="U11" s="52"/>
      <c r="V11" s="52"/>
      <c r="W11" s="52"/>
      <c r="X11" s="52"/>
    </row>
    <row r="12" spans="1:24" ht="15.75">
      <c r="D12" s="54"/>
      <c r="F12" s="54"/>
      <c r="G12" s="55"/>
      <c r="H12" s="54"/>
      <c r="I12" s="54" t="s">
        <v>231</v>
      </c>
      <c r="J12" s="54"/>
      <c r="K12" s="54" t="s">
        <v>231</v>
      </c>
      <c r="L12" s="52"/>
      <c r="M12" s="52"/>
      <c r="N12" s="52"/>
      <c r="O12" s="52"/>
      <c r="P12" s="52"/>
      <c r="Q12" s="52"/>
      <c r="R12" s="36"/>
      <c r="S12" s="52"/>
      <c r="T12" s="53"/>
      <c r="U12" s="52"/>
      <c r="V12" s="52"/>
      <c r="W12" s="52"/>
      <c r="X12" s="52"/>
    </row>
    <row r="13" spans="1:24" ht="15.75">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ht="15.75">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ht="15.75">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ht="15.75">
      <c r="B16" s="37"/>
      <c r="C16" s="37" t="s">
        <v>238</v>
      </c>
      <c r="D16" s="36"/>
      <c r="E16" s="37" t="s">
        <v>1521</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1"/>
      <c r="D17" s="30"/>
      <c r="E17" s="1021"/>
      <c r="F17" s="30"/>
      <c r="G17" s="1021"/>
      <c r="H17" s="30"/>
      <c r="I17" s="1021"/>
      <c r="J17" s="30"/>
      <c r="K17" s="1021"/>
      <c r="L17" s="30"/>
      <c r="M17" s="30"/>
      <c r="N17" s="30"/>
      <c r="O17" s="30"/>
      <c r="P17" s="30"/>
      <c r="Q17" s="30"/>
      <c r="R17" s="30"/>
      <c r="S17" s="30"/>
      <c r="T17" s="30"/>
      <c r="U17" s="30"/>
      <c r="V17" s="30"/>
      <c r="W17" s="30"/>
      <c r="X17" s="30"/>
    </row>
    <row r="18" spans="1:24" ht="15.75">
      <c r="A18" s="3" t="s">
        <v>114</v>
      </c>
      <c r="C18" s="261"/>
      <c r="E18" s="261"/>
    </row>
    <row r="19" spans="1:24">
      <c r="A19" s="355" t="s">
        <v>240</v>
      </c>
      <c r="B19" s="384"/>
      <c r="C19" s="261"/>
      <c r="D19" s="384"/>
      <c r="E19" s="261"/>
      <c r="F19" s="384"/>
      <c r="H19" s="384"/>
      <c r="J19" s="384"/>
    </row>
    <row r="20" spans="1:24">
      <c r="A20" s="355" t="s">
        <v>241</v>
      </c>
      <c r="B20" s="384" t="s">
        <v>103</v>
      </c>
      <c r="C20" s="282">
        <v>18144</v>
      </c>
      <c r="D20" s="281"/>
      <c r="E20" s="282">
        <v>18763</v>
      </c>
      <c r="F20" s="281"/>
      <c r="G20" s="393">
        <f>'Exhibit H'!AA17</f>
        <v>19115.599999999999</v>
      </c>
      <c r="H20" s="281"/>
      <c r="I20" s="279">
        <f t="shared" ref="I20:I26" si="0">G20-C20</f>
        <v>971.59999999999854</v>
      </c>
      <c r="J20" s="281"/>
      <c r="K20" s="279">
        <f>G20-E20</f>
        <v>352.59999999999854</v>
      </c>
      <c r="L20" s="1557"/>
      <c r="M20" s="1557"/>
      <c r="N20" s="1557"/>
    </row>
    <row r="21" spans="1:24">
      <c r="A21" s="355" t="s">
        <v>242</v>
      </c>
      <c r="B21" s="261" t="s">
        <v>103</v>
      </c>
      <c r="C21" s="280">
        <v>6465</v>
      </c>
      <c r="D21" s="1834"/>
      <c r="E21" s="280">
        <v>6533</v>
      </c>
      <c r="F21" s="269"/>
      <c r="G21" s="269">
        <f>'Exhibit H'!AA21</f>
        <v>6671.7</v>
      </c>
      <c r="H21" s="269"/>
      <c r="I21" s="269">
        <f t="shared" si="0"/>
        <v>206.69999999999982</v>
      </c>
      <c r="J21" s="269"/>
      <c r="K21" s="269">
        <f t="shared" ref="K21:K26" si="1">G21-E21</f>
        <v>138.69999999999982</v>
      </c>
      <c r="L21" s="1557"/>
      <c r="M21" s="1557"/>
      <c r="N21" s="1557"/>
    </row>
    <row r="22" spans="1:24">
      <c r="A22" s="355" t="s">
        <v>243</v>
      </c>
      <c r="C22" s="280">
        <v>2755</v>
      </c>
      <c r="D22" s="372"/>
      <c r="E22" s="280">
        <v>2924</v>
      </c>
      <c r="F22" s="292"/>
      <c r="G22" s="269">
        <f>'Exhibit H'!AA24</f>
        <v>3084.7</v>
      </c>
      <c r="H22" s="292"/>
      <c r="I22" s="269">
        <f t="shared" si="0"/>
        <v>329.69999999999982</v>
      </c>
      <c r="J22" s="292"/>
      <c r="K22" s="269">
        <f t="shared" si="1"/>
        <v>160.69999999999982</v>
      </c>
      <c r="L22" s="1557"/>
      <c r="M22" s="1557"/>
      <c r="N22" s="1557"/>
    </row>
    <row r="23" spans="1:24">
      <c r="A23" s="355" t="s">
        <v>244</v>
      </c>
      <c r="B23" s="261" t="s">
        <v>103</v>
      </c>
      <c r="C23" s="280">
        <v>737</v>
      </c>
      <c r="D23" s="1834"/>
      <c r="E23" s="280">
        <v>765</v>
      </c>
      <c r="F23" s="1216"/>
      <c r="G23" s="269">
        <f>'Exhibit H'!AA28</f>
        <v>806</v>
      </c>
      <c r="H23" s="1216"/>
      <c r="I23" s="269">
        <f t="shared" si="0"/>
        <v>69</v>
      </c>
      <c r="J23" s="1216"/>
      <c r="K23" s="269">
        <f t="shared" si="1"/>
        <v>41</v>
      </c>
      <c r="L23" s="1557"/>
      <c r="M23" s="1557"/>
      <c r="N23" s="1557"/>
    </row>
    <row r="24" spans="1:24" ht="15" customHeight="1">
      <c r="A24" s="355" t="s">
        <v>119</v>
      </c>
      <c r="B24" s="261" t="s">
        <v>103</v>
      </c>
      <c r="C24" s="280">
        <v>312</v>
      </c>
      <c r="D24" s="1835"/>
      <c r="E24" s="280">
        <v>392</v>
      </c>
      <c r="F24" s="269"/>
      <c r="G24" s="269">
        <f>'Exhibit H'!AA51</f>
        <v>429</v>
      </c>
      <c r="H24" s="269"/>
      <c r="I24" s="269">
        <f t="shared" si="0"/>
        <v>117</v>
      </c>
      <c r="J24" s="269"/>
      <c r="K24" s="269">
        <f t="shared" si="1"/>
        <v>37</v>
      </c>
      <c r="L24" s="1557"/>
      <c r="M24" s="1557"/>
      <c r="N24" s="1557"/>
    </row>
    <row r="25" spans="1:24" ht="15" customHeight="1">
      <c r="A25" s="355" t="s">
        <v>120</v>
      </c>
      <c r="B25" s="261" t="s">
        <v>103</v>
      </c>
      <c r="C25" s="280">
        <v>60</v>
      </c>
      <c r="D25" s="1834"/>
      <c r="E25" s="280">
        <v>57</v>
      </c>
      <c r="F25" s="269"/>
      <c r="G25" s="269">
        <f>'Exhibit H'!AA53</f>
        <v>56.9</v>
      </c>
      <c r="H25" s="269"/>
      <c r="I25" s="269">
        <f t="shared" si="0"/>
        <v>-3.1000000000000014</v>
      </c>
      <c r="J25" s="269"/>
      <c r="K25" s="269">
        <f t="shared" si="1"/>
        <v>-0.10000000000000142</v>
      </c>
      <c r="L25" s="1557"/>
      <c r="M25" s="1557"/>
      <c r="N25" s="1558"/>
      <c r="P25" s="386"/>
      <c r="Q25" s="394"/>
    </row>
    <row r="26" spans="1:24" ht="15.75">
      <c r="A26" s="355" t="s">
        <v>147</v>
      </c>
      <c r="B26" s="394" t="s">
        <v>103</v>
      </c>
      <c r="C26" s="280">
        <v>1262</v>
      </c>
      <c r="D26" s="1834"/>
      <c r="E26" s="280">
        <v>1291</v>
      </c>
      <c r="F26" s="13"/>
      <c r="G26" s="387">
        <f>'Exhibit H'!AA69</f>
        <v>1214.5999999999999</v>
      </c>
      <c r="H26" s="13"/>
      <c r="I26" s="269">
        <f t="shared" si="0"/>
        <v>-47.400000000000091</v>
      </c>
      <c r="J26" s="13"/>
      <c r="K26" s="269">
        <f t="shared" si="1"/>
        <v>-76.400000000000091</v>
      </c>
      <c r="L26" s="1557"/>
      <c r="M26" s="1557"/>
      <c r="N26" s="1558"/>
      <c r="P26" s="386"/>
      <c r="Q26" s="394"/>
    </row>
    <row r="27" spans="1:24" ht="18" customHeight="1">
      <c r="A27" s="1235" t="s">
        <v>264</v>
      </c>
      <c r="B27" s="36" t="s">
        <v>103</v>
      </c>
      <c r="C27" s="624">
        <f>ROUND(SUM(C20:C26),1)</f>
        <v>29735</v>
      </c>
      <c r="D27" s="269"/>
      <c r="E27" s="624">
        <f>ROUND(SUM(E20:E26),1)</f>
        <v>30725</v>
      </c>
      <c r="F27" s="269"/>
      <c r="G27" s="624">
        <f>ROUND(SUM(G20:G26),1)</f>
        <v>31378.5</v>
      </c>
      <c r="H27" s="269"/>
      <c r="I27" s="624">
        <f>ROUND(SUM(I20:I26),1)</f>
        <v>1643.5</v>
      </c>
      <c r="J27" s="269"/>
      <c r="K27" s="624">
        <f>ROUND(SUM(K20:K26),1)</f>
        <v>653.5</v>
      </c>
      <c r="L27" s="1557"/>
      <c r="M27" s="1559"/>
      <c r="N27" s="1559"/>
      <c r="O27" s="36"/>
      <c r="P27" s="36"/>
      <c r="Q27" s="36"/>
      <c r="R27" s="36"/>
      <c r="S27" s="36"/>
      <c r="T27" s="36"/>
      <c r="U27" s="36"/>
      <c r="V27" s="36"/>
      <c r="W27" s="36"/>
      <c r="X27" s="36"/>
    </row>
    <row r="28" spans="1:24">
      <c r="C28" s="622"/>
      <c r="D28" s="269"/>
      <c r="E28" s="622"/>
      <c r="F28" s="269"/>
      <c r="G28" s="622"/>
      <c r="H28" s="269"/>
      <c r="I28" s="622"/>
      <c r="J28" s="269"/>
      <c r="K28" s="622"/>
      <c r="L28" s="1557"/>
      <c r="M28" s="1557"/>
      <c r="N28" s="1557"/>
    </row>
    <row r="29" spans="1:24" ht="15.75">
      <c r="A29" s="3" t="s">
        <v>122</v>
      </c>
      <c r="C29" s="269"/>
      <c r="D29" s="269"/>
      <c r="E29" s="269"/>
      <c r="F29" s="269"/>
      <c r="G29" s="269"/>
      <c r="H29" s="269"/>
      <c r="I29" s="269"/>
      <c r="J29" s="269"/>
      <c r="K29" s="269"/>
      <c r="L29" s="1557"/>
      <c r="M29" s="1557"/>
      <c r="N29" s="1557"/>
    </row>
    <row r="30" spans="1:24">
      <c r="A30" s="355" t="s">
        <v>247</v>
      </c>
      <c r="B30" s="384" t="s">
        <v>103</v>
      </c>
      <c r="C30" s="280">
        <v>23</v>
      </c>
      <c r="D30" s="1834"/>
      <c r="E30" s="280">
        <v>31</v>
      </c>
      <c r="F30" s="269"/>
      <c r="G30" s="292">
        <f>'Exhibit H'!AA59</f>
        <v>25.3</v>
      </c>
      <c r="H30" s="269"/>
      <c r="I30" s="269">
        <f>G30-C30</f>
        <v>2.3000000000000007</v>
      </c>
      <c r="J30" s="269"/>
      <c r="K30" s="269">
        <f t="shared" ref="K30:K32" si="2">G30-E30</f>
        <v>-5.6999999999999993</v>
      </c>
      <c r="L30" s="1557"/>
      <c r="M30" s="1557"/>
      <c r="N30" s="1560"/>
      <c r="P30" s="386"/>
      <c r="S30" s="386"/>
      <c r="T30" s="386"/>
      <c r="V30" s="386"/>
      <c r="X30" s="386"/>
    </row>
    <row r="31" spans="1:24" ht="14.25" customHeight="1">
      <c r="A31" s="355" t="s">
        <v>248</v>
      </c>
      <c r="B31" s="394" t="s">
        <v>103</v>
      </c>
      <c r="C31" s="280">
        <v>517</v>
      </c>
      <c r="D31" s="384"/>
      <c r="E31" s="280">
        <v>294</v>
      </c>
      <c r="F31" s="269"/>
      <c r="G31" s="280">
        <f>'Exhibit H'!AA61</f>
        <v>295</v>
      </c>
      <c r="H31" s="269"/>
      <c r="I31" s="269">
        <f>G31-C31</f>
        <v>-222</v>
      </c>
      <c r="J31" s="269"/>
      <c r="K31" s="269">
        <f t="shared" si="2"/>
        <v>1</v>
      </c>
      <c r="L31" s="1557"/>
      <c r="M31" s="1557"/>
      <c r="N31" s="1560"/>
      <c r="S31" s="386"/>
      <c r="T31" s="386"/>
      <c r="V31" s="386"/>
      <c r="X31" s="386"/>
    </row>
    <row r="32" spans="1:24">
      <c r="A32" s="355" t="s">
        <v>251</v>
      </c>
      <c r="B32" s="394" t="s">
        <v>103</v>
      </c>
      <c r="C32" s="280">
        <v>28965</v>
      </c>
      <c r="D32" s="384"/>
      <c r="E32" s="280">
        <v>30323</v>
      </c>
      <c r="F32" s="269"/>
      <c r="G32" s="292">
        <f>-'Exhibit H'!AA70</f>
        <v>31010</v>
      </c>
      <c r="H32" s="269"/>
      <c r="I32" s="269">
        <f>G32-C32</f>
        <v>2045</v>
      </c>
      <c r="J32" s="269"/>
      <c r="K32" s="269">
        <f t="shared" si="2"/>
        <v>687</v>
      </c>
      <c r="L32" s="1557"/>
      <c r="M32" s="1557"/>
      <c r="N32" s="1558"/>
      <c r="P32" s="386"/>
      <c r="Q32" s="394"/>
    </row>
    <row r="33" spans="1:24" ht="18" customHeight="1">
      <c r="A33" s="1235" t="s">
        <v>273</v>
      </c>
      <c r="B33" s="36" t="s">
        <v>103</v>
      </c>
      <c r="C33" s="624">
        <f>ROUND(SUM(C30:C32),1)</f>
        <v>29505</v>
      </c>
      <c r="D33" s="269"/>
      <c r="E33" s="624">
        <f>ROUND(SUM(E30:E32),1)</f>
        <v>30648</v>
      </c>
      <c r="F33" s="269"/>
      <c r="G33" s="624">
        <f>ROUND(SUM(G30:G32),1)</f>
        <v>31330.3</v>
      </c>
      <c r="H33" s="269"/>
      <c r="I33" s="624">
        <f>ROUND(SUM(I30:I32),1)</f>
        <v>1825.3</v>
      </c>
      <c r="J33" s="269"/>
      <c r="K33" s="624">
        <f>ROUND(SUM(K30:K32),1)</f>
        <v>682.3</v>
      </c>
      <c r="L33" s="1557"/>
      <c r="M33" s="1559"/>
      <c r="N33" s="1559"/>
      <c r="O33" s="36"/>
      <c r="P33" s="36"/>
      <c r="Q33" s="36"/>
      <c r="R33" s="36"/>
      <c r="S33" s="36"/>
      <c r="T33" s="36"/>
      <c r="U33" s="36"/>
      <c r="V33" s="36"/>
      <c r="W33" s="36"/>
      <c r="X33" s="36"/>
    </row>
    <row r="34" spans="1:24">
      <c r="C34" s="622"/>
      <c r="D34" s="269"/>
      <c r="E34" s="622"/>
      <c r="F34" s="269"/>
      <c r="G34" s="622"/>
      <c r="H34" s="269"/>
      <c r="I34" s="622"/>
      <c r="J34" s="269"/>
      <c r="K34" s="622"/>
      <c r="L34" s="1557"/>
      <c r="M34" s="1557"/>
      <c r="N34" s="1557"/>
    </row>
    <row r="35" spans="1:24" ht="15.75">
      <c r="A35" s="3" t="s">
        <v>274</v>
      </c>
      <c r="C35" s="269"/>
      <c r="D35" s="13"/>
      <c r="E35" s="269"/>
      <c r="F35" s="13"/>
      <c r="G35" s="269"/>
      <c r="H35" s="13"/>
      <c r="I35" s="269"/>
      <c r="J35" s="13"/>
      <c r="K35" s="269"/>
      <c r="L35" s="1557"/>
      <c r="M35" s="1557"/>
      <c r="N35" s="1557"/>
    </row>
    <row r="36" spans="1:24" ht="15.75">
      <c r="A36" s="3" t="s">
        <v>275</v>
      </c>
      <c r="C36" s="269"/>
      <c r="D36" s="269"/>
      <c r="E36" s="269"/>
      <c r="F36" s="269"/>
      <c r="G36" s="269"/>
      <c r="H36" s="269"/>
      <c r="I36" s="269"/>
      <c r="J36" s="269"/>
      <c r="K36" s="269"/>
      <c r="L36" s="1557"/>
      <c r="M36" s="1557"/>
      <c r="N36" s="1557"/>
    </row>
    <row r="37" spans="1:24" ht="15.75">
      <c r="A37" s="1235" t="s">
        <v>255</v>
      </c>
      <c r="B37" s="1234" t="s">
        <v>103</v>
      </c>
      <c r="C37" s="13">
        <f>C27-C33</f>
        <v>230</v>
      </c>
      <c r="D37" s="269"/>
      <c r="E37" s="13">
        <f>E27-E33</f>
        <v>77</v>
      </c>
      <c r="F37" s="269"/>
      <c r="G37" s="13">
        <f>G27-G33</f>
        <v>48.200000000000728</v>
      </c>
      <c r="H37" s="269"/>
      <c r="I37" s="13">
        <f>ROUND(SUM(I27)-SUM(I33),1)</f>
        <v>-181.8</v>
      </c>
      <c r="J37" s="269"/>
      <c r="K37" s="13">
        <f>ROUND(SUM(K27)-SUM(K33),1)</f>
        <v>-28.8</v>
      </c>
      <c r="L37" s="1557"/>
      <c r="M37" s="1561"/>
      <c r="N37" s="1559"/>
      <c r="O37" s="42"/>
      <c r="P37" s="36"/>
      <c r="Q37" s="36"/>
      <c r="R37" s="42"/>
      <c r="S37" s="36"/>
      <c r="T37" s="36"/>
      <c r="U37" s="42"/>
      <c r="V37" s="36"/>
      <c r="W37" s="42"/>
      <c r="X37" s="36"/>
    </row>
    <row r="38" spans="1:24" ht="15" customHeight="1">
      <c r="C38" s="269"/>
      <c r="D38" s="269"/>
      <c r="E38" s="269"/>
      <c r="F38" s="269"/>
      <c r="G38" s="269"/>
      <c r="H38" s="269"/>
      <c r="I38" s="269"/>
      <c r="J38" s="269"/>
      <c r="K38" s="269"/>
      <c r="L38" s="1557"/>
      <c r="M38" s="1557"/>
      <c r="N38" s="1557"/>
    </row>
    <row r="39" spans="1:24" ht="15.75">
      <c r="A39" s="1235"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57"/>
      <c r="M39" s="1557"/>
      <c r="N39" s="1557"/>
      <c r="P39" s="1529"/>
    </row>
    <row r="40" spans="1:24" ht="18" customHeight="1" thickBot="1">
      <c r="A40" s="1235" t="str">
        <f>+'Exh D Governmental  '!A50</f>
        <v>Fund Balances (Deficits) at November 30, 2025</v>
      </c>
      <c r="B40" s="43" t="s">
        <v>103</v>
      </c>
      <c r="C40" s="681">
        <f>ROUND(SUM(C37:C39),1)</f>
        <v>347</v>
      </c>
      <c r="D40" s="269"/>
      <c r="E40" s="681">
        <f>ROUND(SUM(E37:E39),1)</f>
        <v>194</v>
      </c>
      <c r="F40" s="269"/>
      <c r="G40" s="681">
        <f>ROUND(SUM(G37:G39),1)</f>
        <v>165.6</v>
      </c>
      <c r="H40" s="269"/>
      <c r="I40" s="681">
        <f>ROUND(SUM(I37:I39),1)</f>
        <v>-181.4</v>
      </c>
      <c r="J40" s="269"/>
      <c r="K40" s="681">
        <f>ROUND(SUM(K37:K39),1)</f>
        <v>-28.4</v>
      </c>
      <c r="L40" s="1557"/>
      <c r="M40" s="1557"/>
      <c r="N40" s="1557"/>
    </row>
    <row r="41" spans="1:24" ht="15" customHeight="1" thickTop="1">
      <c r="A41" s="39"/>
      <c r="C41" s="295"/>
      <c r="D41" s="269"/>
      <c r="E41" s="295"/>
      <c r="F41" s="269"/>
      <c r="G41" s="279"/>
      <c r="H41" s="269"/>
      <c r="I41" s="279"/>
      <c r="J41" s="269"/>
      <c r="K41" s="279"/>
    </row>
    <row r="42" spans="1:24" ht="15.75">
      <c r="A42" s="391" t="str">
        <f>'Exh D Governmental  '!A52</f>
        <v xml:space="preserve">(*)   Source: 2025-26 Enacted Budget dated May 13, 2025.
</v>
      </c>
      <c r="D42" s="44"/>
      <c r="F42" s="44"/>
      <c r="H42" s="44"/>
      <c r="J42" s="44"/>
    </row>
    <row r="43" spans="1:24">
      <c r="A43" s="391" t="str">
        <f>'Exh D Governmental  '!A53</f>
        <v>(**)  Source: 2025-26 Mid Year Update dated October 30, 2025.</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1">
    <mergeCell ref="C11:I11"/>
  </mergeCells>
  <printOptions horizontalCentered="1"/>
  <pageMargins left="0.75" right="0.75" top="0.75" bottom="0.75" header="0.5" footer="0.25"/>
  <pageSetup scale="78" firstPageNumber="12"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90" workbookViewId="0"/>
  </sheetViews>
  <sheetFormatPr defaultColWidth="8.88671875" defaultRowHeight="15"/>
  <cols>
    <col min="1" max="1" width="51.88671875" style="296" customWidth="1"/>
    <col min="2" max="2" width="2.1093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2" width="1.109375" style="261" customWidth="1"/>
    <col min="13" max="13" width="15.88671875" style="261" customWidth="1"/>
    <col min="14" max="14" width="1.109375" style="261" customWidth="1"/>
    <col min="15" max="15" width="15.88671875" style="261" customWidth="1"/>
    <col min="16" max="18" width="9.88671875" style="261" bestFit="1" customWidth="1"/>
    <col min="19" max="16384" width="8.8867187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81" t="str">
        <f>'Exh D Governmental  '!A5</f>
        <v>FISCAL YEAR 2025-2026</v>
      </c>
      <c r="B5" s="23"/>
      <c r="C5" s="23"/>
      <c r="D5" s="23"/>
      <c r="E5" s="23"/>
      <c r="F5" s="30"/>
      <c r="G5" s="30"/>
      <c r="H5" s="30"/>
      <c r="I5" s="30"/>
      <c r="J5" s="30"/>
      <c r="K5" s="30"/>
      <c r="L5" s="30"/>
      <c r="M5" s="30"/>
      <c r="N5" s="30"/>
    </row>
    <row r="6" spans="1:33" ht="18">
      <c r="A6" s="546" t="str">
        <f>+'Exh D Governmental  '!A6</f>
        <v>FOR EIGHT MONTHS ENDED NOVEMBER 30,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8">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ht="15.75">
      <c r="B11" s="36"/>
      <c r="C11" s="1024"/>
      <c r="D11" s="433"/>
      <c r="E11" s="1024"/>
      <c r="F11" s="589"/>
      <c r="G11" s="1236"/>
      <c r="H11" s="589"/>
      <c r="I11" s="1236" t="s">
        <v>283</v>
      </c>
      <c r="J11" s="589"/>
      <c r="K11" s="589"/>
      <c r="L11" s="589"/>
      <c r="M11" s="589"/>
      <c r="N11" s="1022"/>
      <c r="O11" s="1022"/>
    </row>
    <row r="12" spans="1:33" ht="15.75">
      <c r="B12" s="36"/>
      <c r="C12" s="36"/>
      <c r="D12" s="54"/>
      <c r="E12" s="36"/>
      <c r="F12" s="54"/>
      <c r="G12" s="36"/>
      <c r="H12" s="54"/>
      <c r="I12" s="36"/>
      <c r="J12" s="54"/>
      <c r="K12" s="36"/>
      <c r="L12" s="54"/>
      <c r="M12" s="37" t="s">
        <v>231</v>
      </c>
      <c r="N12" s="54"/>
      <c r="O12" s="37" t="s">
        <v>231</v>
      </c>
    </row>
    <row r="13" spans="1:33" ht="15.75">
      <c r="B13" s="36"/>
      <c r="C13" s="36"/>
      <c r="D13" s="36"/>
      <c r="E13" s="36"/>
      <c r="F13" s="36"/>
      <c r="G13" s="36"/>
      <c r="H13" s="36"/>
      <c r="I13" s="36"/>
      <c r="J13" s="36"/>
      <c r="K13" s="36"/>
      <c r="L13" s="36"/>
      <c r="M13" s="37" t="s">
        <v>232</v>
      </c>
      <c r="N13" s="36"/>
      <c r="O13" s="37" t="s">
        <v>232</v>
      </c>
    </row>
    <row r="14" spans="1:33" ht="15.75">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ht="15.75">
      <c r="B16" s="36"/>
      <c r="C16" s="37" t="s">
        <v>238</v>
      </c>
      <c r="D16" s="36"/>
      <c r="E16" s="37" t="s">
        <v>1521</v>
      </c>
      <c r="F16" s="36"/>
      <c r="G16" s="38" t="s">
        <v>231</v>
      </c>
      <c r="H16" s="36"/>
      <c r="I16" s="436" t="s">
        <v>278</v>
      </c>
      <c r="J16" s="36"/>
      <c r="K16" s="436" t="s">
        <v>279</v>
      </c>
      <c r="L16" s="36"/>
      <c r="M16" s="37" t="s">
        <v>239</v>
      </c>
      <c r="N16" s="36"/>
      <c r="O16" s="37" t="s">
        <v>239</v>
      </c>
    </row>
    <row r="17" spans="1:33">
      <c r="A17" s="39"/>
      <c r="B17" s="30"/>
      <c r="C17" s="1021"/>
      <c r="D17" s="30"/>
      <c r="E17" s="1021"/>
      <c r="F17" s="30"/>
      <c r="G17" s="1021"/>
      <c r="H17" s="30"/>
      <c r="I17" s="30"/>
      <c r="J17" s="30"/>
      <c r="K17" s="30"/>
      <c r="L17" s="30"/>
      <c r="M17" s="1021"/>
      <c r="N17" s="30"/>
      <c r="O17" s="1021"/>
    </row>
    <row r="18" spans="1:33" ht="15.75">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411</v>
      </c>
      <c r="D20" s="1834"/>
      <c r="E20" s="393">
        <v>409</v>
      </c>
      <c r="F20" s="281"/>
      <c r="G20" s="393">
        <f>+'Exh D Captl Projects State Fed'!G20</f>
        <v>406.9</v>
      </c>
      <c r="H20" s="281"/>
      <c r="I20" s="393">
        <v>0</v>
      </c>
      <c r="J20" s="281"/>
      <c r="K20" s="592">
        <f>+G20+I20</f>
        <v>406.9</v>
      </c>
      <c r="L20" s="281"/>
      <c r="M20" s="279">
        <f>K20-C20</f>
        <v>-4.1000000000000227</v>
      </c>
      <c r="N20" s="281"/>
      <c r="O20" s="279">
        <f>K20-E20</f>
        <v>-2.1000000000000227</v>
      </c>
      <c r="P20" s="1547"/>
      <c r="Q20" s="1547"/>
      <c r="S20" s="261"/>
      <c r="T20" s="261"/>
      <c r="U20" s="261"/>
      <c r="V20" s="261"/>
      <c r="W20" s="261"/>
      <c r="X20" s="261"/>
      <c r="Y20" s="261"/>
      <c r="Z20" s="261"/>
      <c r="AA20" s="261"/>
      <c r="AB20" s="261"/>
      <c r="AC20" s="261"/>
      <c r="AD20" s="261"/>
      <c r="AE20" s="261"/>
      <c r="AF20" s="261"/>
      <c r="AG20" s="261"/>
    </row>
    <row r="21" spans="1:33">
      <c r="A21" s="355" t="s">
        <v>243</v>
      </c>
      <c r="B21" s="384" t="s">
        <v>103</v>
      </c>
      <c r="C21" s="280">
        <v>404</v>
      </c>
      <c r="D21" s="372"/>
      <c r="E21" s="280">
        <v>399</v>
      </c>
      <c r="F21" s="269"/>
      <c r="G21" s="293">
        <f>+'Exh D Captl Projects State Fed'!G21</f>
        <v>394</v>
      </c>
      <c r="H21" s="269"/>
      <c r="I21" s="280">
        <v>0</v>
      </c>
      <c r="J21" s="269"/>
      <c r="K21" s="593">
        <f t="shared" ref="K21:K26" si="0">+G21+I21</f>
        <v>394</v>
      </c>
      <c r="L21" s="269"/>
      <c r="M21" s="269">
        <f>K21-C21</f>
        <v>-10</v>
      </c>
      <c r="N21" s="269"/>
      <c r="O21" s="269">
        <f t="shared" ref="O21:O26" si="1">K21-E21</f>
        <v>-5</v>
      </c>
      <c r="P21" s="1547"/>
      <c r="Q21" s="1547"/>
      <c r="R21" s="384"/>
      <c r="S21" s="261"/>
      <c r="T21" s="261"/>
      <c r="U21" s="384"/>
      <c r="V21" s="261"/>
      <c r="W21" s="261"/>
      <c r="X21" s="384"/>
      <c r="Y21" s="57"/>
      <c r="Z21" s="384"/>
      <c r="AA21" s="261"/>
      <c r="AB21" s="261"/>
      <c r="AC21" s="261"/>
      <c r="AD21" s="261"/>
      <c r="AE21" s="261"/>
      <c r="AF21" s="261"/>
      <c r="AG21" s="261"/>
    </row>
    <row r="22" spans="1:33">
      <c r="A22" s="355" t="s">
        <v>244</v>
      </c>
      <c r="B22" s="261" t="s">
        <v>103</v>
      </c>
      <c r="C22" s="280">
        <v>156</v>
      </c>
      <c r="D22" s="1834"/>
      <c r="E22" s="280">
        <v>155</v>
      </c>
      <c r="F22" s="292"/>
      <c r="G22" s="293">
        <f>+'Exh D Captl Projects State Fed'!G22</f>
        <v>154.4</v>
      </c>
      <c r="H22" s="292"/>
      <c r="I22" s="280">
        <v>0</v>
      </c>
      <c r="J22" s="292"/>
      <c r="K22" s="593">
        <f>+G22+I22</f>
        <v>154.4</v>
      </c>
      <c r="L22" s="292"/>
      <c r="M22" s="269">
        <f t="shared" ref="M22:M26" si="2">K22-C22</f>
        <v>-1.5999999999999943</v>
      </c>
      <c r="N22" s="292"/>
      <c r="O22" s="269">
        <f t="shared" si="1"/>
        <v>-0.59999999999999432</v>
      </c>
      <c r="P22" s="1547"/>
      <c r="Q22" s="1547"/>
      <c r="S22" s="261"/>
      <c r="T22" s="261"/>
      <c r="U22" s="261"/>
      <c r="V22" s="261"/>
      <c r="W22" s="261"/>
      <c r="X22" s="261"/>
      <c r="Y22" s="261"/>
      <c r="Z22" s="261"/>
      <c r="AA22" s="261"/>
      <c r="AB22" s="261"/>
      <c r="AC22" s="261"/>
      <c r="AD22" s="261"/>
      <c r="AE22" s="261"/>
      <c r="AF22" s="261"/>
      <c r="AG22" s="261"/>
    </row>
    <row r="23" spans="1:33">
      <c r="A23" s="355" t="s">
        <v>119</v>
      </c>
      <c r="B23" s="261" t="s">
        <v>103</v>
      </c>
      <c r="C23" s="280">
        <v>3030</v>
      </c>
      <c r="D23" s="1835"/>
      <c r="E23" s="280">
        <v>2371</v>
      </c>
      <c r="F23" s="1216"/>
      <c r="G23" s="269">
        <f>+'Exh D Captl Projects State Fed'!G23+'Exh D Captl Projects State Fed'!S23</f>
        <v>2518.8000000000002</v>
      </c>
      <c r="H23" s="1216"/>
      <c r="I23" s="269">
        <v>0</v>
      </c>
      <c r="J23" s="1216"/>
      <c r="K23" s="593">
        <f t="shared" si="0"/>
        <v>2518.8000000000002</v>
      </c>
      <c r="L23" s="1216"/>
      <c r="M23" s="269">
        <f t="shared" si="2"/>
        <v>-511.19999999999982</v>
      </c>
      <c r="N23" s="1216"/>
      <c r="O23" s="269">
        <f t="shared" si="1"/>
        <v>147.80000000000018</v>
      </c>
      <c r="P23" s="1547"/>
      <c r="Q23" s="1547"/>
    </row>
    <row r="24" spans="1:33">
      <c r="A24" s="355" t="s">
        <v>120</v>
      </c>
      <c r="B24" s="261" t="s">
        <v>103</v>
      </c>
      <c r="C24" s="280">
        <v>1366</v>
      </c>
      <c r="D24" s="1834"/>
      <c r="E24" s="280">
        <v>1589</v>
      </c>
      <c r="F24" s="269"/>
      <c r="G24" s="269">
        <f>+'Exh D Captl Projects State Fed'!G24+'Exh D Captl Projects State Fed'!S24</f>
        <v>1721.1</v>
      </c>
      <c r="H24" s="269"/>
      <c r="I24" s="269">
        <v>0</v>
      </c>
      <c r="J24" s="269"/>
      <c r="K24" s="593">
        <f t="shared" si="0"/>
        <v>1721.1</v>
      </c>
      <c r="L24" s="269"/>
      <c r="M24" s="269">
        <f t="shared" si="2"/>
        <v>355.09999999999991</v>
      </c>
      <c r="N24" s="269"/>
      <c r="O24" s="269">
        <f t="shared" si="1"/>
        <v>132.09999999999991</v>
      </c>
      <c r="P24" s="1547"/>
      <c r="Q24" s="1547"/>
    </row>
    <row r="25" spans="1:33">
      <c r="A25" s="355" t="s">
        <v>250</v>
      </c>
      <c r="B25" s="261" t="s">
        <v>103</v>
      </c>
      <c r="C25" s="280">
        <v>0</v>
      </c>
      <c r="D25" s="1834"/>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47"/>
      <c r="Q25" s="1547"/>
    </row>
    <row r="26" spans="1:33" ht="15.75">
      <c r="A26" s="355" t="s">
        <v>147</v>
      </c>
      <c r="B26" s="261" t="s">
        <v>103</v>
      </c>
      <c r="C26" s="280">
        <v>6703</v>
      </c>
      <c r="D26" s="1834"/>
      <c r="E26" s="280">
        <v>5582</v>
      </c>
      <c r="F26" s="13"/>
      <c r="G26" s="292">
        <f>+'Exh D Captl Projects State Fed'!G26+'Exh D Captl Projects State Fed'!S26</f>
        <v>5052.6000000000004</v>
      </c>
      <c r="H26" s="13"/>
      <c r="I26" s="269">
        <f>'Exhibit I'!AC92</f>
        <v>0</v>
      </c>
      <c r="J26" s="13"/>
      <c r="K26" s="593">
        <f t="shared" si="0"/>
        <v>5052.6000000000004</v>
      </c>
      <c r="L26" s="13"/>
      <c r="M26" s="269">
        <f t="shared" si="2"/>
        <v>-1650.3999999999996</v>
      </c>
      <c r="N26" s="13"/>
      <c r="O26" s="269">
        <f t="shared" si="1"/>
        <v>-529.39999999999964</v>
      </c>
      <c r="P26" s="1547"/>
      <c r="Q26" s="1547"/>
    </row>
    <row r="27" spans="1:33" ht="18" customHeight="1">
      <c r="A27" s="1235" t="s">
        <v>264</v>
      </c>
      <c r="B27" s="36" t="s">
        <v>103</v>
      </c>
      <c r="C27" s="624">
        <f>ROUND(SUM(C20:C26),1)</f>
        <v>12070</v>
      </c>
      <c r="D27" s="269"/>
      <c r="E27" s="624">
        <f>ROUND(SUM(E20:E26),1)</f>
        <v>10505</v>
      </c>
      <c r="F27" s="269"/>
      <c r="G27" s="624">
        <f>ROUND(SUM(G20:G26),1)</f>
        <v>10247.799999999999</v>
      </c>
      <c r="H27" s="269"/>
      <c r="I27" s="623">
        <f>ROUND(SUM(I20:I26),1)</f>
        <v>0</v>
      </c>
      <c r="J27" s="269"/>
      <c r="K27" s="623">
        <f>ROUND(SUM(K20:K26),1)</f>
        <v>10247.799999999999</v>
      </c>
      <c r="L27" s="269"/>
      <c r="M27" s="624">
        <f>ROUND(SUM(M20:M26),1)</f>
        <v>-1822.2</v>
      </c>
      <c r="N27" s="269"/>
      <c r="O27" s="624">
        <f>ROUND(SUM(O20:O26),1)</f>
        <v>-257.2</v>
      </c>
      <c r="P27" s="1547"/>
      <c r="Q27" s="1547"/>
    </row>
    <row r="28" spans="1:33">
      <c r="B28" s="261" t="s">
        <v>103</v>
      </c>
      <c r="C28" s="622"/>
      <c r="D28" s="269"/>
      <c r="E28" s="622"/>
      <c r="F28" s="269"/>
      <c r="G28" s="622"/>
      <c r="H28" s="269"/>
      <c r="I28" s="269"/>
      <c r="J28" s="269"/>
      <c r="K28" s="269"/>
      <c r="L28" s="269"/>
      <c r="M28" s="622" t="s">
        <v>103</v>
      </c>
      <c r="N28" s="269"/>
      <c r="O28" s="622" t="s">
        <v>103</v>
      </c>
      <c r="P28" s="1547"/>
      <c r="Q28" s="1547"/>
    </row>
    <row r="29" spans="1:33" ht="15.75">
      <c r="A29" s="3" t="s">
        <v>122</v>
      </c>
      <c r="B29" s="261" t="s">
        <v>103</v>
      </c>
      <c r="C29" s="269"/>
      <c r="D29" s="269"/>
      <c r="E29" s="269"/>
      <c r="F29" s="269"/>
      <c r="G29" s="269"/>
      <c r="H29" s="269"/>
      <c r="I29" s="269"/>
      <c r="J29" s="269"/>
      <c r="K29" s="269"/>
      <c r="L29" s="269"/>
      <c r="M29" s="269"/>
      <c r="N29" s="269"/>
      <c r="O29" s="269"/>
      <c r="P29" s="1547"/>
      <c r="Q29" s="1547"/>
    </row>
    <row r="30" spans="1:33">
      <c r="A30" s="355" t="s">
        <v>246</v>
      </c>
      <c r="B30" s="261" t="s">
        <v>103</v>
      </c>
      <c r="C30" s="280">
        <v>4783</v>
      </c>
      <c r="D30" s="1834"/>
      <c r="E30" s="280">
        <v>4292</v>
      </c>
      <c r="F30" s="269"/>
      <c r="G30" s="269">
        <f>+'Exh D Captl Projects State Fed'!G30+'Exh D Captl Projects State Fed'!S30</f>
        <v>4268.5999999999995</v>
      </c>
      <c r="H30" s="269"/>
      <c r="I30" s="269">
        <v>0</v>
      </c>
      <c r="J30" s="269"/>
      <c r="K30" s="593">
        <f>+G30+I30</f>
        <v>4268.5999999999995</v>
      </c>
      <c r="L30" s="269"/>
      <c r="M30" s="269">
        <f>K30-C30</f>
        <v>-514.40000000000055</v>
      </c>
      <c r="N30" s="269"/>
      <c r="O30" s="269">
        <f t="shared" ref="O30:O32" si="3">K30-E30</f>
        <v>-23.400000000000546</v>
      </c>
      <c r="P30" s="1547"/>
      <c r="Q30" s="1547"/>
    </row>
    <row r="31" spans="1:33">
      <c r="A31" s="355" t="s">
        <v>140</v>
      </c>
      <c r="B31" s="261" t="s">
        <v>103</v>
      </c>
      <c r="C31" s="280">
        <v>9017</v>
      </c>
      <c r="D31" s="1834"/>
      <c r="E31" s="280">
        <v>7239</v>
      </c>
      <c r="F31" s="269"/>
      <c r="G31" s="269">
        <f>+'Exh D Captl Projects State Fed'!G31+'Exh D Captl Projects State Fed'!S31</f>
        <v>6887.4000000000005</v>
      </c>
      <c r="H31" s="269"/>
      <c r="I31" s="269">
        <v>0</v>
      </c>
      <c r="J31" s="269"/>
      <c r="K31" s="593">
        <f>+G31+I31</f>
        <v>6887.4000000000005</v>
      </c>
      <c r="L31" s="269"/>
      <c r="M31" s="269">
        <f>K31-C31</f>
        <v>-2129.5999999999995</v>
      </c>
      <c r="N31" s="269"/>
      <c r="O31" s="269">
        <f t="shared" si="3"/>
        <v>-351.59999999999945</v>
      </c>
      <c r="P31" s="1547"/>
      <c r="Q31" s="1547"/>
    </row>
    <row r="32" spans="1:33">
      <c r="A32" s="355" t="s">
        <v>251</v>
      </c>
      <c r="B32" s="261" t="s">
        <v>103</v>
      </c>
      <c r="C32" s="280">
        <v>157</v>
      </c>
      <c r="D32" s="1834"/>
      <c r="E32" s="280">
        <v>43</v>
      </c>
      <c r="F32" s="269"/>
      <c r="G32" s="269">
        <f>+'Exh D Captl Projects State Fed'!G32+'Exh D Captl Projects State Fed'!S32</f>
        <v>48.1</v>
      </c>
      <c r="H32" s="269"/>
      <c r="I32" s="269">
        <f>-'Exhibit I'!AC93</f>
        <v>0</v>
      </c>
      <c r="J32" s="269"/>
      <c r="K32" s="593">
        <f>+G32+I32</f>
        <v>48.1</v>
      </c>
      <c r="L32" s="269"/>
      <c r="M32" s="269">
        <f>K32-C32</f>
        <v>-108.9</v>
      </c>
      <c r="N32" s="269"/>
      <c r="O32" s="269">
        <f t="shared" si="3"/>
        <v>5.1000000000000014</v>
      </c>
      <c r="P32" s="1547"/>
      <c r="Q32" s="1547"/>
    </row>
    <row r="33" spans="1:33" ht="18" customHeight="1">
      <c r="A33" s="1235" t="s">
        <v>273</v>
      </c>
      <c r="B33" s="36" t="s">
        <v>103</v>
      </c>
      <c r="C33" s="624">
        <f>ROUND(SUM(C30:C32),1)</f>
        <v>13957</v>
      </c>
      <c r="D33" s="269"/>
      <c r="E33" s="624">
        <f>ROUND(SUM(E30:E32),1)</f>
        <v>11574</v>
      </c>
      <c r="F33" s="269"/>
      <c r="G33" s="624">
        <f>ROUND(SUM(G30:G32),1)</f>
        <v>11204.1</v>
      </c>
      <c r="H33" s="269"/>
      <c r="I33" s="623">
        <f>ROUND(SUM(I30:I32),1)</f>
        <v>0</v>
      </c>
      <c r="J33" s="269"/>
      <c r="K33" s="623">
        <f>ROUND(SUM(K30:K32),1)</f>
        <v>11204.1</v>
      </c>
      <c r="L33" s="269"/>
      <c r="M33" s="624">
        <f>ROUND(SUM(M30:M32),1)</f>
        <v>-2752.9</v>
      </c>
      <c r="N33" s="269"/>
      <c r="O33" s="624">
        <f>ROUND(SUM(O30:O32),1)</f>
        <v>-369.9</v>
      </c>
      <c r="P33" s="1547"/>
      <c r="Q33" s="1547"/>
    </row>
    <row r="34" spans="1:33">
      <c r="B34" s="261" t="s">
        <v>103</v>
      </c>
      <c r="C34" s="622"/>
      <c r="D34" s="269"/>
      <c r="E34" s="622"/>
      <c r="F34" s="269"/>
      <c r="G34" s="622"/>
      <c r="H34" s="269"/>
      <c r="I34" s="269"/>
      <c r="J34" s="269"/>
      <c r="K34" s="269"/>
      <c r="L34" s="269"/>
      <c r="M34" s="622"/>
      <c r="N34" s="269"/>
      <c r="O34" s="622"/>
      <c r="P34" s="1547"/>
      <c r="Q34" s="1547"/>
    </row>
    <row r="35" spans="1:33" ht="15.75">
      <c r="A35" s="3" t="s">
        <v>253</v>
      </c>
      <c r="C35" s="269"/>
      <c r="D35" s="13"/>
      <c r="E35" s="269"/>
      <c r="F35" s="13"/>
      <c r="G35" s="269"/>
      <c r="H35" s="13"/>
      <c r="I35" s="269"/>
      <c r="J35" s="13"/>
      <c r="K35" s="269"/>
      <c r="L35" s="13"/>
      <c r="M35" s="269"/>
      <c r="N35" s="13"/>
      <c r="O35" s="269"/>
      <c r="P35" s="1547"/>
      <c r="Q35" s="1547"/>
    </row>
    <row r="36" spans="1:33" ht="15.75">
      <c r="A36" s="3" t="s">
        <v>254</v>
      </c>
      <c r="C36" s="269"/>
      <c r="D36" s="269"/>
      <c r="E36" s="269"/>
      <c r="F36" s="269"/>
      <c r="G36" s="269"/>
      <c r="H36" s="269"/>
      <c r="I36" s="269"/>
      <c r="J36" s="269"/>
      <c r="K36" s="269"/>
      <c r="L36" s="269"/>
      <c r="M36" s="269"/>
      <c r="N36" s="269"/>
      <c r="O36" s="269"/>
      <c r="P36" s="1547"/>
      <c r="Q36" s="1547"/>
    </row>
    <row r="37" spans="1:33" ht="15.75">
      <c r="A37" s="1235" t="s">
        <v>255</v>
      </c>
      <c r="B37" s="42"/>
      <c r="C37" s="13">
        <f>ROUND(SUM(C27)-SUM(C33),1)</f>
        <v>-1887</v>
      </c>
      <c r="D37" s="269"/>
      <c r="E37" s="13">
        <f>ROUND(SUM(E27)-SUM(E33),1)</f>
        <v>-1069</v>
      </c>
      <c r="F37" s="269"/>
      <c r="G37" s="13">
        <f>ROUND(SUM(G27)-SUM(G33),1)</f>
        <v>-956.3</v>
      </c>
      <c r="H37" s="269"/>
      <c r="I37" s="18">
        <v>0</v>
      </c>
      <c r="J37" s="269"/>
      <c r="K37" s="13">
        <f>ROUND(SUM(K27)-SUM(K33),1)</f>
        <v>-956.3</v>
      </c>
      <c r="L37" s="269"/>
      <c r="M37" s="13">
        <f>ROUND(SUM(M27)-SUM(M33),1)</f>
        <v>930.7</v>
      </c>
      <c r="N37" s="269"/>
      <c r="O37" s="13">
        <f>ROUND(SUM(O27)-SUM(O33),1)</f>
        <v>112.7</v>
      </c>
      <c r="P37" s="1547"/>
      <c r="Q37" s="1547"/>
    </row>
    <row r="38" spans="1:33">
      <c r="C38" s="269"/>
      <c r="D38" s="269"/>
      <c r="E38" s="269"/>
      <c r="F38" s="269"/>
      <c r="G38" s="269"/>
      <c r="H38" s="269"/>
      <c r="I38" s="269"/>
      <c r="J38" s="269"/>
      <c r="K38" s="269"/>
      <c r="L38" s="269"/>
      <c r="M38" s="269"/>
      <c r="N38" s="269"/>
      <c r="O38" s="269"/>
      <c r="P38" s="1547"/>
      <c r="Q38" s="1547"/>
    </row>
    <row r="39" spans="1:33" ht="15.75">
      <c r="A39" s="1235"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5">
        <f>+G39+I39</f>
        <v>-1456</v>
      </c>
      <c r="L39" s="18"/>
      <c r="M39" s="13">
        <f>K39-C39</f>
        <v>-1</v>
      </c>
      <c r="N39" s="18"/>
      <c r="O39" s="13">
        <f t="shared" ref="O39" si="4">K39-E39</f>
        <v>-1</v>
      </c>
      <c r="P39" s="1547"/>
      <c r="Q39" s="1547"/>
      <c r="R39" s="1547"/>
      <c r="S39" s="261"/>
      <c r="T39" s="261"/>
      <c r="U39" s="261"/>
      <c r="V39" s="261"/>
      <c r="W39" s="261"/>
      <c r="X39" s="261"/>
      <c r="Y39" s="261"/>
      <c r="Z39" s="261"/>
      <c r="AA39" s="261"/>
      <c r="AB39" s="261"/>
      <c r="AC39" s="261"/>
      <c r="AD39" s="261"/>
      <c r="AE39" s="261"/>
      <c r="AF39" s="261"/>
      <c r="AG39" s="261"/>
    </row>
    <row r="40" spans="1:33" ht="16.5" thickBot="1">
      <c r="A40" s="1235" t="str">
        <f>+'Exh D Governmental  '!A50</f>
        <v>Fund Balances (Deficits) at November 30, 2025</v>
      </c>
      <c r="B40" s="43" t="s">
        <v>103</v>
      </c>
      <c r="C40" s="681">
        <f>ROUND(SUM(C37:C39),1)</f>
        <v>-3342</v>
      </c>
      <c r="D40" s="269"/>
      <c r="E40" s="681">
        <f>ROUND(SUM(E37:E39),1)</f>
        <v>-2524</v>
      </c>
      <c r="F40" s="269"/>
      <c r="G40" s="681">
        <f>ROUND(SUM(G37:G39),1)</f>
        <v>-2412.3000000000002</v>
      </c>
      <c r="H40" s="269"/>
      <c r="I40" s="681">
        <f>ROUND(SUM(I37:I39),1)</f>
        <v>0</v>
      </c>
      <c r="J40" s="269"/>
      <c r="K40" s="681">
        <f>ROUND(SUM(K37:K39),1)</f>
        <v>-2412.3000000000002</v>
      </c>
      <c r="L40" s="269"/>
      <c r="M40" s="681">
        <f>ROUND(SUM(M37:M39),1)</f>
        <v>929.7</v>
      </c>
      <c r="N40" s="269"/>
      <c r="O40" s="681">
        <f>ROUND(SUM(O37:O39),1)</f>
        <v>111.7</v>
      </c>
      <c r="P40" s="1547"/>
      <c r="Q40" s="1547"/>
      <c r="S40" s="261"/>
      <c r="T40" s="261"/>
      <c r="U40" s="261"/>
      <c r="V40" s="261"/>
      <c r="W40" s="261"/>
      <c r="X40" s="261"/>
      <c r="Y40" s="261"/>
      <c r="Z40" s="261"/>
      <c r="AA40" s="261"/>
      <c r="AB40" s="261"/>
      <c r="AC40" s="261"/>
      <c r="AD40" s="261"/>
      <c r="AE40" s="261"/>
      <c r="AF40" s="261"/>
      <c r="AG40" s="261"/>
    </row>
    <row r="41" spans="1:33" ht="15.75" thickTop="1">
      <c r="C41" s="261"/>
      <c r="D41" s="269"/>
      <c r="E41" s="261"/>
      <c r="F41" s="269"/>
      <c r="G41" s="273"/>
      <c r="H41" s="269"/>
      <c r="J41" s="269"/>
      <c r="L41" s="269"/>
      <c r="N41" s="269"/>
    </row>
    <row r="42" spans="1:33" ht="15.75">
      <c r="A42" s="685" t="str">
        <f>'Exh D Governmental  '!A52</f>
        <v xml:space="preserve">(*)   Source: 2025-26 Enacted Budget dated May 13, 2025.
</v>
      </c>
      <c r="D42" s="44"/>
      <c r="F42" s="44"/>
      <c r="H42" s="44"/>
      <c r="J42" s="44"/>
      <c r="L42" s="44"/>
      <c r="N42" s="44"/>
    </row>
    <row r="43" spans="1:33">
      <c r="A43" s="391" t="str">
        <f>'Exh D Governmental  '!A53</f>
        <v>(**)  Source: 2025-26 Mid Year Update dated October 30, 2025.</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printOptions horizontalCentered="1"/>
  <pageMargins left="0.7" right="0.7" top="0.75" bottom="0.75" header="0.3" footer="0.3"/>
  <pageSetup scale="59" firstPageNumber="13"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zoomScaleNormal="90" workbookViewId="0"/>
  </sheetViews>
  <sheetFormatPr defaultColWidth="8.88671875" defaultRowHeight="15"/>
  <cols>
    <col min="1" max="1" width="51.88671875" style="296" customWidth="1"/>
    <col min="2" max="2" width="2.1093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4" width="1.109375" style="261" customWidth="1"/>
    <col min="15" max="15" width="15.88671875" style="261" customWidth="1"/>
    <col min="16" max="16" width="1.109375" style="261" customWidth="1"/>
    <col min="17" max="17" width="15.88671875" style="261" customWidth="1"/>
    <col min="18" max="18" width="1.109375" style="261" customWidth="1"/>
    <col min="19" max="19" width="15.88671875" style="261" customWidth="1"/>
    <col min="20" max="20" width="1.109375" style="261" customWidth="1"/>
    <col min="21" max="21" width="15.88671875" style="261" customWidth="1"/>
    <col min="22" max="22" width="1.109375" style="261" customWidth="1"/>
    <col min="23" max="23" width="15.88671875" style="132" customWidth="1"/>
    <col min="24" max="24" width="0.88671875" style="261" customWidth="1"/>
    <col min="25" max="25" width="15.88671875" style="132" customWidth="1"/>
    <col min="26" max="26" width="1.109375" style="261" customWidth="1"/>
    <col min="27" max="27" width="15.88671875" style="261" customWidth="1"/>
    <col min="28" max="28" width="1" style="261" customWidth="1"/>
    <col min="29" max="29" width="15.88671875" style="261" customWidth="1"/>
    <col min="30" max="30" width="3.88671875" style="261" bestFit="1" customWidth="1"/>
    <col min="31" max="35" width="8.88671875" style="261"/>
    <col min="36" max="16384" width="8.8867187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81"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EIGHT MONTHS ENDED NOVEMBER 30,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8">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ht="15.75">
      <c r="B11" s="36"/>
      <c r="C11" s="2096" t="s">
        <v>285</v>
      </c>
      <c r="D11" s="2096"/>
      <c r="E11" s="2096"/>
      <c r="F11" s="2096"/>
      <c r="G11" s="2096"/>
      <c r="H11" s="2096"/>
      <c r="I11" s="2096"/>
      <c r="J11" s="1236"/>
      <c r="K11" s="1236"/>
      <c r="L11" s="54"/>
      <c r="M11" s="54"/>
      <c r="N11" s="52"/>
      <c r="O11" s="2096" t="s">
        <v>286</v>
      </c>
      <c r="P11" s="2096"/>
      <c r="Q11" s="2096"/>
      <c r="R11" s="2096"/>
      <c r="S11" s="2096"/>
      <c r="T11" s="2096"/>
      <c r="U11" s="2096"/>
      <c r="V11" s="1022"/>
      <c r="W11" s="1236"/>
      <c r="X11" s="1236"/>
      <c r="Y11" s="54"/>
      <c r="Z11" s="54"/>
      <c r="AA11" s="54"/>
      <c r="AB11" s="54"/>
      <c r="AC11" s="54"/>
    </row>
    <row r="12" spans="1:50" ht="15.75">
      <c r="B12" s="36"/>
      <c r="C12" s="131"/>
      <c r="D12" s="54"/>
      <c r="E12" s="131"/>
      <c r="F12" s="54"/>
      <c r="G12" s="36"/>
      <c r="H12" s="54"/>
      <c r="I12" s="54" t="s">
        <v>231</v>
      </c>
      <c r="J12" s="54"/>
      <c r="K12" s="54" t="s">
        <v>231</v>
      </c>
      <c r="L12" s="54"/>
      <c r="M12" s="1562"/>
      <c r="N12" s="54"/>
      <c r="O12" s="131"/>
      <c r="P12" s="54"/>
      <c r="Q12" s="131"/>
      <c r="R12" s="54"/>
      <c r="S12" s="36"/>
      <c r="T12" s="54"/>
      <c r="U12" s="54" t="s">
        <v>231</v>
      </c>
      <c r="V12" s="54"/>
      <c r="W12" s="54" t="s">
        <v>231</v>
      </c>
      <c r="X12" s="36"/>
      <c r="Y12" s="131"/>
      <c r="Z12" s="36"/>
      <c r="AA12" s="36"/>
      <c r="AB12" s="36"/>
      <c r="AC12" s="54"/>
    </row>
    <row r="13" spans="1:50" ht="15.75">
      <c r="B13" s="36"/>
      <c r="C13" s="131"/>
      <c r="D13" s="36"/>
      <c r="E13" s="131"/>
      <c r="F13" s="36"/>
      <c r="G13" s="36"/>
      <c r="H13" s="36"/>
      <c r="I13" s="37" t="s">
        <v>232</v>
      </c>
      <c r="J13" s="36"/>
      <c r="K13" s="37" t="s">
        <v>232</v>
      </c>
      <c r="L13" s="37"/>
      <c r="M13" s="1563"/>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63"/>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67"/>
      <c r="N15" s="36"/>
      <c r="O15" s="37" t="s">
        <v>237</v>
      </c>
      <c r="P15" s="36"/>
      <c r="Q15" s="37" t="s">
        <v>237</v>
      </c>
      <c r="R15" s="36"/>
      <c r="S15" s="36"/>
      <c r="T15" s="36"/>
      <c r="U15" s="37" t="s">
        <v>234</v>
      </c>
      <c r="V15" s="36"/>
      <c r="W15" s="38" t="s">
        <v>235</v>
      </c>
      <c r="X15" s="36"/>
      <c r="Y15" s="37"/>
      <c r="Z15" s="36"/>
      <c r="AA15" s="36"/>
      <c r="AB15" s="36"/>
      <c r="AC15" s="38"/>
    </row>
    <row r="16" spans="1:50" ht="15.75">
      <c r="B16" s="36"/>
      <c r="C16" s="37" t="s">
        <v>238</v>
      </c>
      <c r="D16" s="36"/>
      <c r="E16" s="37" t="s">
        <v>1521</v>
      </c>
      <c r="F16" s="36"/>
      <c r="G16" s="38" t="s">
        <v>231</v>
      </c>
      <c r="H16" s="36"/>
      <c r="I16" s="37" t="s">
        <v>239</v>
      </c>
      <c r="J16" s="36"/>
      <c r="K16" s="37" t="s">
        <v>239</v>
      </c>
      <c r="L16" s="37"/>
      <c r="M16" s="1563"/>
      <c r="N16" s="36"/>
      <c r="O16" s="37" t="s">
        <v>238</v>
      </c>
      <c r="P16" s="36"/>
      <c r="Q16" s="37" t="s">
        <v>1521</v>
      </c>
      <c r="R16" s="36"/>
      <c r="S16" s="38" t="s">
        <v>231</v>
      </c>
      <c r="T16" s="36"/>
      <c r="U16" s="37" t="s">
        <v>239</v>
      </c>
      <c r="V16" s="36"/>
      <c r="W16" s="37" t="s">
        <v>239</v>
      </c>
      <c r="X16" s="36"/>
      <c r="Y16" s="37"/>
      <c r="Z16" s="36"/>
      <c r="AA16" s="38"/>
      <c r="AB16" s="36"/>
      <c r="AC16" s="37"/>
    </row>
    <row r="17" spans="1:50">
      <c r="A17" s="39"/>
      <c r="B17" s="30"/>
      <c r="C17" s="1021"/>
      <c r="D17" s="30"/>
      <c r="E17" s="1021"/>
      <c r="F17" s="30"/>
      <c r="G17" s="1021"/>
      <c r="H17" s="30"/>
      <c r="I17" s="1021"/>
      <c r="J17" s="30"/>
      <c r="K17" s="1021"/>
      <c r="L17" s="30"/>
      <c r="M17" s="1564"/>
      <c r="N17" s="30"/>
      <c r="O17" s="1021"/>
      <c r="P17" s="30"/>
      <c r="Q17" s="1021"/>
      <c r="R17" s="30"/>
      <c r="S17" s="1021"/>
      <c r="T17" s="30"/>
      <c r="U17" s="1021"/>
      <c r="V17" s="30"/>
      <c r="W17" s="1021"/>
      <c r="X17" s="30"/>
      <c r="Y17" s="30"/>
      <c r="Z17" s="30"/>
      <c r="AA17" s="30"/>
      <c r="AB17" s="30"/>
      <c r="AC17" s="30"/>
    </row>
    <row r="18" spans="1:50" ht="15.75">
      <c r="A18" s="3" t="s">
        <v>114</v>
      </c>
      <c r="C18" s="261"/>
      <c r="E18" s="261"/>
      <c r="G18" s="273" t="s">
        <v>103</v>
      </c>
      <c r="M18" s="1565"/>
      <c r="S18" s="261" t="s">
        <v>103</v>
      </c>
      <c r="W18" s="261"/>
      <c r="Y18" s="261"/>
    </row>
    <row r="19" spans="1:50">
      <c r="A19" s="355" t="s">
        <v>240</v>
      </c>
      <c r="B19" s="384" t="s">
        <v>103</v>
      </c>
      <c r="C19" s="279"/>
      <c r="D19" s="384"/>
      <c r="E19" s="279"/>
      <c r="F19" s="384"/>
      <c r="G19" s="279"/>
      <c r="H19" s="384"/>
      <c r="I19" s="279"/>
      <c r="J19" s="384"/>
      <c r="K19" s="279"/>
      <c r="L19" s="279"/>
      <c r="M19" s="1534"/>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411</v>
      </c>
      <c r="D20" s="1834"/>
      <c r="E20" s="393">
        <v>409</v>
      </c>
      <c r="F20" s="281"/>
      <c r="G20" s="393">
        <f>'Exhibit I State'!AD21</f>
        <v>406.9</v>
      </c>
      <c r="H20" s="281"/>
      <c r="I20" s="279">
        <f>G20-C20</f>
        <v>-4.1000000000000227</v>
      </c>
      <c r="J20" s="281"/>
      <c r="K20" s="279">
        <f>G20-E20</f>
        <v>-2.1000000000000227</v>
      </c>
      <c r="L20" s="279"/>
      <c r="M20" s="1534"/>
      <c r="N20" s="281"/>
      <c r="O20" s="393">
        <v>0</v>
      </c>
      <c r="P20" s="1834"/>
      <c r="Q20" s="393">
        <v>0</v>
      </c>
      <c r="R20" s="281"/>
      <c r="S20" s="393">
        <v>0</v>
      </c>
      <c r="T20" s="281"/>
      <c r="U20" s="279">
        <v>0</v>
      </c>
      <c r="V20" s="281"/>
      <c r="W20" s="279">
        <f>S20-Q20</f>
        <v>0</v>
      </c>
      <c r="X20" s="282"/>
      <c r="Y20" s="1554"/>
      <c r="Z20" s="282"/>
      <c r="AA20" s="1548"/>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404</v>
      </c>
      <c r="D21" s="372"/>
      <c r="E21" s="280">
        <v>399</v>
      </c>
      <c r="F21" s="269"/>
      <c r="G21" s="293">
        <f>'Exhibit I State'!AD26</f>
        <v>394</v>
      </c>
      <c r="H21" s="269"/>
      <c r="I21" s="269">
        <f>G21-C21</f>
        <v>-10</v>
      </c>
      <c r="J21" s="269"/>
      <c r="K21" s="269">
        <f t="shared" ref="K21:K26" si="0">G21-E21</f>
        <v>-5</v>
      </c>
      <c r="L21" s="269"/>
      <c r="M21" s="1006"/>
      <c r="N21" s="269"/>
      <c r="O21" s="280">
        <v>0</v>
      </c>
      <c r="P21" s="372"/>
      <c r="Q21" s="280">
        <v>0</v>
      </c>
      <c r="R21" s="269"/>
      <c r="S21" s="293">
        <v>0</v>
      </c>
      <c r="T21" s="269"/>
      <c r="U21" s="269">
        <v>0</v>
      </c>
      <c r="V21" s="269"/>
      <c r="W21" s="269">
        <f t="shared" ref="W21:W25" si="1">S21-Q21</f>
        <v>0</v>
      </c>
      <c r="X21" s="280"/>
      <c r="Y21" s="1554"/>
      <c r="Z21" s="280"/>
      <c r="AA21" s="1548"/>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156</v>
      </c>
      <c r="D22" s="1834"/>
      <c r="E22" s="280">
        <v>155</v>
      </c>
      <c r="F22" s="292"/>
      <c r="G22" s="293">
        <f>'Exhibit I State'!AD29</f>
        <v>154.4</v>
      </c>
      <c r="H22" s="292"/>
      <c r="I22" s="269">
        <f t="shared" ref="I22:I26" si="2">G22-C22</f>
        <v>-1.5999999999999943</v>
      </c>
      <c r="J22" s="292"/>
      <c r="K22" s="269">
        <f t="shared" si="0"/>
        <v>-0.59999999999999432</v>
      </c>
      <c r="L22" s="269"/>
      <c r="M22" s="1006"/>
      <c r="N22" s="292"/>
      <c r="O22" s="280">
        <v>0</v>
      </c>
      <c r="P22" s="1834"/>
      <c r="Q22" s="280">
        <v>0</v>
      </c>
      <c r="R22" s="292"/>
      <c r="S22" s="293">
        <v>0</v>
      </c>
      <c r="T22" s="292"/>
      <c r="U22" s="269">
        <v>0</v>
      </c>
      <c r="V22" s="292"/>
      <c r="W22" s="269">
        <f t="shared" si="1"/>
        <v>0</v>
      </c>
      <c r="X22" s="280"/>
      <c r="Y22" s="1554"/>
      <c r="Z22" s="280"/>
      <c r="AA22" s="1548"/>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2880</v>
      </c>
      <c r="D23" s="1835"/>
      <c r="E23" s="280">
        <v>2371</v>
      </c>
      <c r="F23" s="1216"/>
      <c r="G23" s="293">
        <f>'Exhibit I State'!AD60</f>
        <v>2517</v>
      </c>
      <c r="H23" s="1216"/>
      <c r="I23" s="269">
        <f t="shared" si="2"/>
        <v>-363</v>
      </c>
      <c r="J23" s="1216"/>
      <c r="K23" s="269">
        <f t="shared" si="0"/>
        <v>146</v>
      </c>
      <c r="L23" s="269"/>
      <c r="M23" s="1006"/>
      <c r="N23" s="1566"/>
      <c r="O23" s="280">
        <v>150</v>
      </c>
      <c r="P23" s="1835"/>
      <c r="Q23" s="280">
        <v>0</v>
      </c>
      <c r="R23" s="1216"/>
      <c r="S23" s="269">
        <f>'Exhibit I Federal'!AD42</f>
        <v>1.8</v>
      </c>
      <c r="T23" s="1216"/>
      <c r="U23" s="269">
        <f>S23-O23</f>
        <v>-148.19999999999999</v>
      </c>
      <c r="V23" s="1216"/>
      <c r="W23" s="269">
        <f t="shared" si="1"/>
        <v>1.8</v>
      </c>
      <c r="X23" s="269"/>
      <c r="Y23" s="1554"/>
      <c r="Z23" s="269"/>
      <c r="AA23" s="1548"/>
      <c r="AB23" s="269"/>
      <c r="AC23" s="269"/>
    </row>
    <row r="24" spans="1:50">
      <c r="A24" s="355" t="s">
        <v>120</v>
      </c>
      <c r="B24" s="261" t="s">
        <v>103</v>
      </c>
      <c r="C24" s="280">
        <v>0</v>
      </c>
      <c r="D24" s="1834"/>
      <c r="E24" s="280">
        <v>0</v>
      </c>
      <c r="F24" s="269"/>
      <c r="G24" s="293">
        <f>'Exhibit I State'!AD62</f>
        <v>-0.2</v>
      </c>
      <c r="H24" s="269"/>
      <c r="I24" s="269">
        <f t="shared" si="2"/>
        <v>-0.2</v>
      </c>
      <c r="J24" s="269"/>
      <c r="K24" s="269">
        <f t="shared" si="0"/>
        <v>-0.2</v>
      </c>
      <c r="L24" s="269"/>
      <c r="M24" s="1006"/>
      <c r="N24" s="269"/>
      <c r="O24" s="280">
        <v>1366</v>
      </c>
      <c r="P24" s="1834"/>
      <c r="Q24" s="280">
        <v>1589</v>
      </c>
      <c r="R24" s="269"/>
      <c r="S24" s="269">
        <f>'Exhibit I Federal'!AD44</f>
        <v>1721.3</v>
      </c>
      <c r="T24" s="269"/>
      <c r="U24" s="269">
        <f t="shared" ref="U24:U26" si="3">S24-O24</f>
        <v>355.29999999999995</v>
      </c>
      <c r="V24" s="269"/>
      <c r="W24" s="269">
        <f t="shared" si="1"/>
        <v>132.29999999999995</v>
      </c>
      <c r="X24" s="269"/>
      <c r="Y24" s="1554"/>
      <c r="Z24" s="269"/>
      <c r="AA24" s="1548"/>
      <c r="AB24" s="269"/>
      <c r="AC24" s="269"/>
    </row>
    <row r="25" spans="1:50">
      <c r="A25" s="355" t="s">
        <v>250</v>
      </c>
      <c r="B25" s="261" t="s">
        <v>103</v>
      </c>
      <c r="C25" s="280">
        <v>0</v>
      </c>
      <c r="D25" s="1834"/>
      <c r="E25" s="280">
        <v>0</v>
      </c>
      <c r="F25" s="269"/>
      <c r="G25" s="293">
        <f>'Exhibit I State'!AD91</f>
        <v>0</v>
      </c>
      <c r="H25" s="269"/>
      <c r="I25" s="269">
        <f t="shared" si="2"/>
        <v>0</v>
      </c>
      <c r="J25" s="269"/>
      <c r="K25" s="269">
        <f t="shared" si="0"/>
        <v>0</v>
      </c>
      <c r="L25" s="269"/>
      <c r="M25" s="1006"/>
      <c r="N25" s="269"/>
      <c r="O25" s="280">
        <v>0</v>
      </c>
      <c r="P25" s="1834"/>
      <c r="Q25" s="280">
        <v>0</v>
      </c>
      <c r="R25" s="269"/>
      <c r="S25" s="280">
        <v>0</v>
      </c>
      <c r="T25" s="269"/>
      <c r="U25" s="269">
        <f t="shared" si="3"/>
        <v>0</v>
      </c>
      <c r="V25" s="269"/>
      <c r="W25" s="269">
        <f t="shared" si="1"/>
        <v>0</v>
      </c>
      <c r="X25" s="269"/>
      <c r="Y25" s="1554"/>
      <c r="Z25" s="269"/>
      <c r="AA25" s="1548"/>
      <c r="AB25" s="269"/>
      <c r="AC25" s="269"/>
    </row>
    <row r="26" spans="1:50" ht="15.75">
      <c r="A26" s="355" t="s">
        <v>147</v>
      </c>
      <c r="B26" s="261" t="s">
        <v>103</v>
      </c>
      <c r="C26" s="280">
        <v>6691</v>
      </c>
      <c r="D26" s="1834"/>
      <c r="E26" s="280">
        <v>5582</v>
      </c>
      <c r="F26" s="13"/>
      <c r="G26" s="292">
        <f>'Exhibit I State'!AD92</f>
        <v>5052.6000000000004</v>
      </c>
      <c r="H26" s="13"/>
      <c r="I26" s="269">
        <f t="shared" si="2"/>
        <v>-1638.3999999999996</v>
      </c>
      <c r="J26" s="13"/>
      <c r="K26" s="269">
        <f t="shared" si="0"/>
        <v>-529.39999999999964</v>
      </c>
      <c r="L26" s="269"/>
      <c r="M26" s="1006"/>
      <c r="N26" s="13"/>
      <c r="O26" s="280">
        <v>12</v>
      </c>
      <c r="P26" s="1834"/>
      <c r="Q26" s="280">
        <v>0</v>
      </c>
      <c r="R26" s="13"/>
      <c r="S26" s="292">
        <f>'Exhibit I Federal'!AD73</f>
        <v>0</v>
      </c>
      <c r="T26" s="13"/>
      <c r="U26" s="269">
        <f t="shared" si="3"/>
        <v>-12</v>
      </c>
      <c r="V26" s="13"/>
      <c r="W26" s="269">
        <f>S26-Q26</f>
        <v>0</v>
      </c>
      <c r="X26" s="269"/>
      <c r="Y26" s="1554"/>
      <c r="Z26" s="269"/>
      <c r="AA26" s="1548"/>
      <c r="AB26" s="269"/>
      <c r="AC26" s="269"/>
    </row>
    <row r="27" spans="1:50" ht="18" customHeight="1">
      <c r="A27" s="1235" t="s">
        <v>264</v>
      </c>
      <c r="B27" s="36" t="s">
        <v>103</v>
      </c>
      <c r="C27" s="624">
        <f>ROUND(SUM(C20:C26),1)</f>
        <v>10542</v>
      </c>
      <c r="D27" s="269"/>
      <c r="E27" s="624">
        <f>ROUND(SUM(E20:E26),1)</f>
        <v>8916</v>
      </c>
      <c r="F27" s="269"/>
      <c r="G27" s="624">
        <f>ROUND(SUM(G20:G26),1)</f>
        <v>8524.7000000000007</v>
      </c>
      <c r="H27" s="269"/>
      <c r="I27" s="624">
        <f>ROUND(SUM(I20:I26),1)</f>
        <v>-2017.3</v>
      </c>
      <c r="J27" s="269"/>
      <c r="K27" s="624">
        <f>ROUND(SUM(K20:K26),1)</f>
        <v>-391.3</v>
      </c>
      <c r="L27" s="13"/>
      <c r="M27" s="1536"/>
      <c r="N27" s="269"/>
      <c r="O27" s="624">
        <f>ROUND(SUM(O20:O26),1)</f>
        <v>1528</v>
      </c>
      <c r="P27" s="269"/>
      <c r="Q27" s="624">
        <f>ROUND(SUM(Q20:Q26),1)</f>
        <v>1589</v>
      </c>
      <c r="R27" s="269"/>
      <c r="S27" s="624">
        <f>ROUND(SUM(S20:S26),1)</f>
        <v>1723.1</v>
      </c>
      <c r="T27" s="269"/>
      <c r="U27" s="624">
        <f>ROUND(SUM(U20:U26),1)</f>
        <v>195.1</v>
      </c>
      <c r="V27" s="269"/>
      <c r="W27" s="624">
        <f>ROUND(SUM(W20:W26),1)</f>
        <v>134.1</v>
      </c>
      <c r="X27" s="13"/>
      <c r="Y27" s="1555"/>
      <c r="Z27" s="13"/>
      <c r="AA27" s="1549"/>
      <c r="AB27" s="13"/>
      <c r="AC27" s="13"/>
    </row>
    <row r="28" spans="1:50">
      <c r="B28" s="261" t="s">
        <v>103</v>
      </c>
      <c r="C28" s="622"/>
      <c r="D28" s="269"/>
      <c r="E28" s="622"/>
      <c r="F28" s="269"/>
      <c r="G28" s="622"/>
      <c r="H28" s="269"/>
      <c r="I28" s="622"/>
      <c r="J28" s="269"/>
      <c r="K28" s="622"/>
      <c r="L28" s="269"/>
      <c r="M28" s="1006"/>
      <c r="N28" s="269"/>
      <c r="O28" s="622"/>
      <c r="P28" s="269"/>
      <c r="Q28" s="622"/>
      <c r="R28" s="269"/>
      <c r="S28" s="622"/>
      <c r="T28" s="269"/>
      <c r="U28" s="622" t="s">
        <v>103</v>
      </c>
      <c r="V28" s="269"/>
      <c r="W28" s="622"/>
      <c r="X28" s="269"/>
      <c r="Y28" s="1529"/>
      <c r="Z28" s="269"/>
      <c r="AA28" s="1547"/>
      <c r="AB28" s="269"/>
      <c r="AC28" s="269"/>
    </row>
    <row r="29" spans="1:50" ht="15.75">
      <c r="A29" s="3" t="s">
        <v>122</v>
      </c>
      <c r="B29" s="261" t="s">
        <v>103</v>
      </c>
      <c r="C29" s="269"/>
      <c r="D29" s="269"/>
      <c r="E29" s="269"/>
      <c r="F29" s="269"/>
      <c r="G29" s="269"/>
      <c r="H29" s="269"/>
      <c r="I29" s="269"/>
      <c r="J29" s="269"/>
      <c r="K29" s="269"/>
      <c r="L29" s="269"/>
      <c r="M29" s="1006"/>
      <c r="N29" s="269"/>
      <c r="O29" s="269"/>
      <c r="P29" s="269"/>
      <c r="Q29" s="269"/>
      <c r="R29" s="269"/>
      <c r="S29" s="269"/>
      <c r="T29" s="269"/>
      <c r="U29" s="269"/>
      <c r="V29" s="269"/>
      <c r="W29" s="269"/>
      <c r="X29" s="269"/>
      <c r="Y29" s="1529"/>
      <c r="Z29" s="269"/>
      <c r="AA29" s="1547"/>
      <c r="AB29" s="269"/>
      <c r="AC29" s="269"/>
    </row>
    <row r="30" spans="1:50">
      <c r="A30" s="355" t="s">
        <v>246</v>
      </c>
      <c r="B30" s="261" t="s">
        <v>103</v>
      </c>
      <c r="C30" s="280">
        <v>4172</v>
      </c>
      <c r="D30" s="1834"/>
      <c r="E30" s="280">
        <v>3939</v>
      </c>
      <c r="F30" s="269"/>
      <c r="G30" s="280">
        <f>'Exhibit I State'!AD78</f>
        <v>3959.7</v>
      </c>
      <c r="H30" s="269"/>
      <c r="I30" s="269">
        <f>G30-C30</f>
        <v>-212.30000000000018</v>
      </c>
      <c r="J30" s="269"/>
      <c r="K30" s="269">
        <f t="shared" ref="K30:K32" si="4">G30-E30</f>
        <v>20.699999999999818</v>
      </c>
      <c r="L30" s="269"/>
      <c r="M30" s="1006"/>
      <c r="N30" s="269"/>
      <c r="O30" s="280">
        <v>611</v>
      </c>
      <c r="P30" s="1834"/>
      <c r="Q30" s="280">
        <v>353</v>
      </c>
      <c r="R30" s="269"/>
      <c r="S30" s="269">
        <f>'Exhibit I Federal'!AD60</f>
        <v>308.89999999999998</v>
      </c>
      <c r="T30" s="269"/>
      <c r="U30" s="269">
        <f>S30-O30</f>
        <v>-302.10000000000002</v>
      </c>
      <c r="V30" s="269"/>
      <c r="W30" s="269">
        <f t="shared" ref="W30:W32" si="5">S30-Q30</f>
        <v>-44.100000000000023</v>
      </c>
      <c r="X30" s="269"/>
      <c r="Y30" s="1554"/>
      <c r="Z30" s="269"/>
      <c r="AA30" s="1548"/>
      <c r="AB30" s="269"/>
      <c r="AC30" s="269"/>
    </row>
    <row r="31" spans="1:50">
      <c r="A31" s="355" t="s">
        <v>140</v>
      </c>
      <c r="B31" s="261" t="s">
        <v>103</v>
      </c>
      <c r="C31" s="280">
        <v>7666</v>
      </c>
      <c r="D31" s="1834"/>
      <c r="E31" s="280">
        <v>5915</v>
      </c>
      <c r="F31" s="269"/>
      <c r="G31" s="280">
        <f>'Exhibit I State'!AD83</f>
        <v>5512.1</v>
      </c>
      <c r="H31" s="269"/>
      <c r="I31" s="269">
        <f t="shared" ref="I31:I32" si="6">G31-C31</f>
        <v>-2153.8999999999996</v>
      </c>
      <c r="J31" s="269"/>
      <c r="K31" s="269">
        <f t="shared" si="4"/>
        <v>-402.89999999999964</v>
      </c>
      <c r="L31" s="269"/>
      <c r="M31" s="1006"/>
      <c r="N31" s="269"/>
      <c r="O31" s="280">
        <v>1351</v>
      </c>
      <c r="P31" s="1834"/>
      <c r="Q31" s="280">
        <v>1324</v>
      </c>
      <c r="R31" s="269"/>
      <c r="S31" s="269">
        <f>'Exhibit I Federal'!AD65</f>
        <v>1375.3</v>
      </c>
      <c r="T31" s="269"/>
      <c r="U31" s="269">
        <f>S31-O31</f>
        <v>24.299999999999955</v>
      </c>
      <c r="V31" s="269"/>
      <c r="W31" s="269">
        <f t="shared" si="5"/>
        <v>51.299999999999955</v>
      </c>
      <c r="X31" s="269"/>
      <c r="Y31" s="1554"/>
      <c r="Z31" s="269"/>
      <c r="AA31" s="1548"/>
      <c r="AB31" s="269"/>
      <c r="AC31" s="269"/>
    </row>
    <row r="32" spans="1:50">
      <c r="A32" s="355" t="s">
        <v>251</v>
      </c>
      <c r="B32" s="261" t="s">
        <v>103</v>
      </c>
      <c r="C32" s="280">
        <v>157</v>
      </c>
      <c r="D32" s="1834"/>
      <c r="E32" s="280">
        <v>43</v>
      </c>
      <c r="F32" s="269"/>
      <c r="G32" s="292">
        <f>-'Exhibit I State'!AD93</f>
        <v>47.7</v>
      </c>
      <c r="H32" s="269"/>
      <c r="I32" s="269">
        <f t="shared" si="6"/>
        <v>-109.3</v>
      </c>
      <c r="J32" s="269"/>
      <c r="K32" s="269">
        <f t="shared" si="4"/>
        <v>4.7000000000000028</v>
      </c>
      <c r="L32" s="269"/>
      <c r="M32" s="1006"/>
      <c r="N32" s="269"/>
      <c r="O32" s="280">
        <v>0</v>
      </c>
      <c r="P32" s="1834"/>
      <c r="Q32" s="280">
        <v>0</v>
      </c>
      <c r="R32" s="269"/>
      <c r="S32" s="292">
        <f>-'Exhibit I Federal'!AD74</f>
        <v>0.4</v>
      </c>
      <c r="T32" s="269"/>
      <c r="U32" s="269">
        <f t="shared" ref="U32" si="7">S32+O32</f>
        <v>0.4</v>
      </c>
      <c r="V32" s="269"/>
      <c r="W32" s="269">
        <f t="shared" si="5"/>
        <v>0.4</v>
      </c>
      <c r="X32" s="269"/>
      <c r="Y32" s="1554"/>
      <c r="Z32" s="269"/>
      <c r="AA32" s="1548"/>
      <c r="AB32" s="269"/>
      <c r="AC32" s="269"/>
    </row>
    <row r="33" spans="1:50" ht="18" customHeight="1">
      <c r="A33" s="1235" t="s">
        <v>273</v>
      </c>
      <c r="B33" s="36" t="s">
        <v>103</v>
      </c>
      <c r="C33" s="624">
        <f>ROUND(SUM(C30:C32),1)</f>
        <v>11995</v>
      </c>
      <c r="D33" s="269"/>
      <c r="E33" s="624">
        <f>ROUND(SUM(E30:E32),1)</f>
        <v>9897</v>
      </c>
      <c r="F33" s="269"/>
      <c r="G33" s="624">
        <f>ROUND(SUM(G30:G32),1)</f>
        <v>9519.5</v>
      </c>
      <c r="H33" s="269"/>
      <c r="I33" s="624">
        <f>ROUND(SUM(I30:I32),1)</f>
        <v>-2475.5</v>
      </c>
      <c r="J33" s="269"/>
      <c r="K33" s="624">
        <f>ROUND(SUM(K30:K32),1)</f>
        <v>-377.5</v>
      </c>
      <c r="L33" s="13"/>
      <c r="M33" s="1536"/>
      <c r="N33" s="269"/>
      <c r="O33" s="624">
        <f>ROUND(SUM(O30:O32),1)</f>
        <v>1962</v>
      </c>
      <c r="P33" s="269"/>
      <c r="Q33" s="624">
        <f>ROUND(SUM(Q30:Q32),1)</f>
        <v>1677</v>
      </c>
      <c r="R33" s="269"/>
      <c r="S33" s="624">
        <f>ROUND(SUM(S30:S32),1)</f>
        <v>1684.6</v>
      </c>
      <c r="T33" s="269"/>
      <c r="U33" s="624">
        <f>ROUND(SUM(U30:U32),1)</f>
        <v>-277.39999999999998</v>
      </c>
      <c r="V33" s="269"/>
      <c r="W33" s="624">
        <f>ROUND(SUM(W30:W32),1)</f>
        <v>7.6</v>
      </c>
      <c r="X33" s="13"/>
      <c r="Y33" s="1555"/>
      <c r="Z33" s="13"/>
      <c r="AA33" s="1549"/>
      <c r="AB33" s="13"/>
      <c r="AC33" s="13"/>
    </row>
    <row r="34" spans="1:50">
      <c r="B34" s="261" t="s">
        <v>103</v>
      </c>
      <c r="C34" s="622"/>
      <c r="D34" s="269"/>
      <c r="E34" s="622"/>
      <c r="F34" s="269"/>
      <c r="G34" s="622"/>
      <c r="H34" s="269"/>
      <c r="I34" s="622"/>
      <c r="J34" s="269"/>
      <c r="K34" s="622"/>
      <c r="L34" s="269"/>
      <c r="M34" s="1006"/>
      <c r="N34" s="269"/>
      <c r="O34" s="622"/>
      <c r="P34" s="269"/>
      <c r="Q34" s="622"/>
      <c r="R34" s="269"/>
      <c r="S34" s="622"/>
      <c r="T34" s="269"/>
      <c r="U34" s="622"/>
      <c r="V34" s="269"/>
      <c r="W34" s="622"/>
      <c r="X34" s="269"/>
      <c r="Y34" s="1529"/>
      <c r="Z34" s="269"/>
      <c r="AA34" s="1547"/>
      <c r="AB34" s="269"/>
      <c r="AC34" s="269"/>
    </row>
    <row r="35" spans="1:50" ht="15.75">
      <c r="A35" s="3" t="s">
        <v>253</v>
      </c>
      <c r="C35" s="269"/>
      <c r="D35" s="13"/>
      <c r="E35" s="269"/>
      <c r="F35" s="13"/>
      <c r="G35" s="269"/>
      <c r="H35" s="13"/>
      <c r="I35" s="269"/>
      <c r="J35" s="13"/>
      <c r="K35" s="269"/>
      <c r="L35" s="269"/>
      <c r="M35" s="1006"/>
      <c r="N35" s="13"/>
      <c r="O35" s="269"/>
      <c r="P35" s="13"/>
      <c r="Q35" s="269"/>
      <c r="R35" s="13"/>
      <c r="S35" s="269"/>
      <c r="T35" s="13"/>
      <c r="U35" s="269"/>
      <c r="V35" s="13"/>
      <c r="W35" s="269"/>
      <c r="X35" s="269"/>
      <c r="Y35" s="1529"/>
      <c r="Z35" s="269"/>
      <c r="AA35" s="1547"/>
      <c r="AB35" s="269"/>
      <c r="AC35" s="269"/>
    </row>
    <row r="36" spans="1:50" ht="15.75">
      <c r="A36" s="3" t="s">
        <v>254</v>
      </c>
      <c r="C36" s="269"/>
      <c r="D36" s="269"/>
      <c r="E36" s="269"/>
      <c r="F36" s="269"/>
      <c r="G36" s="269"/>
      <c r="H36" s="269"/>
      <c r="I36" s="269"/>
      <c r="J36" s="269"/>
      <c r="K36" s="269"/>
      <c r="L36" s="269"/>
      <c r="M36" s="1006"/>
      <c r="N36" s="269"/>
      <c r="O36" s="269"/>
      <c r="P36" s="269"/>
      <c r="Q36" s="269"/>
      <c r="R36" s="269"/>
      <c r="S36" s="269"/>
      <c r="T36" s="269"/>
      <c r="U36" s="269"/>
      <c r="V36" s="269"/>
      <c r="W36" s="269"/>
      <c r="X36" s="269"/>
      <c r="Y36" s="1529"/>
      <c r="Z36" s="269"/>
      <c r="AA36" s="1547"/>
      <c r="AB36" s="269"/>
      <c r="AC36" s="269"/>
    </row>
    <row r="37" spans="1:50" ht="15.75">
      <c r="A37" s="1235" t="s">
        <v>255</v>
      </c>
      <c r="B37" s="42" t="s">
        <v>103</v>
      </c>
      <c r="C37" s="13">
        <f>ROUND(SUM(C27)-SUM(C33),1)</f>
        <v>-1453</v>
      </c>
      <c r="D37" s="269"/>
      <c r="E37" s="13">
        <f>ROUND(SUM(E27)-SUM(E33),1)</f>
        <v>-981</v>
      </c>
      <c r="F37" s="269"/>
      <c r="G37" s="13">
        <f>ROUND(SUM(G27)-SUM(G33),1)</f>
        <v>-994.8</v>
      </c>
      <c r="H37" s="269"/>
      <c r="I37" s="13">
        <f>ROUND(SUM(I27)-SUM(I33),1)</f>
        <v>458.2</v>
      </c>
      <c r="J37" s="269"/>
      <c r="K37" s="13">
        <f>ROUND(SUM(K27)-SUM(K33),1)</f>
        <v>-13.8</v>
      </c>
      <c r="L37" s="13"/>
      <c r="M37" s="1536"/>
      <c r="N37" s="269"/>
      <c r="O37" s="13">
        <f>ROUND(SUM(O27)-SUM(O33),1)</f>
        <v>-434</v>
      </c>
      <c r="P37" s="269"/>
      <c r="Q37" s="13">
        <f>ROUND(SUM(Q27)-SUM(Q33),1)</f>
        <v>-88</v>
      </c>
      <c r="R37" s="269"/>
      <c r="S37" s="13">
        <f>ROUND(SUM(S27)-SUM(S33),1)</f>
        <v>38.5</v>
      </c>
      <c r="T37" s="269"/>
      <c r="U37" s="13">
        <f>ROUND(SUM(U27)-SUM(U33),1)</f>
        <v>472.5</v>
      </c>
      <c r="V37" s="269"/>
      <c r="W37" s="13">
        <f>ROUND(SUM(W27)-SUM(W33),1)</f>
        <v>126.5</v>
      </c>
      <c r="X37" s="18"/>
      <c r="Y37" s="1555"/>
      <c r="Z37" s="18"/>
      <c r="AA37" s="1549"/>
      <c r="AB37" s="18"/>
      <c r="AC37" s="13"/>
    </row>
    <row r="38" spans="1:50" ht="15.75">
      <c r="C38" s="269"/>
      <c r="D38" s="269"/>
      <c r="E38" s="269"/>
      <c r="F38" s="269"/>
      <c r="G38" s="269"/>
      <c r="H38" s="269"/>
      <c r="I38" s="269"/>
      <c r="J38" s="269"/>
      <c r="K38" s="269"/>
      <c r="L38" s="13"/>
      <c r="M38" s="1536"/>
      <c r="N38" s="269"/>
      <c r="O38" s="269"/>
      <c r="P38" s="269"/>
      <c r="Q38" s="269"/>
      <c r="R38" s="269"/>
      <c r="S38" s="269"/>
      <c r="T38" s="269"/>
      <c r="U38" s="269"/>
      <c r="V38" s="269"/>
      <c r="W38" s="269"/>
      <c r="X38" s="269"/>
      <c r="Y38" s="1529"/>
      <c r="Z38" s="269"/>
      <c r="AA38" s="1547"/>
      <c r="AB38" s="269"/>
      <c r="AC38" s="269"/>
    </row>
    <row r="39" spans="1:50" ht="15.75">
      <c r="A39" s="1235" t="s">
        <v>256</v>
      </c>
      <c r="B39" s="390" t="s">
        <v>103</v>
      </c>
      <c r="C39" s="13">
        <v>-1077</v>
      </c>
      <c r="D39" s="18"/>
      <c r="E39" s="13">
        <v>-1077</v>
      </c>
      <c r="F39" s="18"/>
      <c r="G39" s="13">
        <v>-1077.3</v>
      </c>
      <c r="H39" s="18"/>
      <c r="I39" s="13">
        <f>G39-C39</f>
        <v>-0.29999999999995453</v>
      </c>
      <c r="J39" s="18"/>
      <c r="K39" s="13">
        <f t="shared" ref="K39" si="8">G39-E39</f>
        <v>-0.29999999999995453</v>
      </c>
      <c r="L39" s="13"/>
      <c r="M39" s="1536"/>
      <c r="N39" s="18"/>
      <c r="O39" s="13">
        <v>-378</v>
      </c>
      <c r="P39" s="18"/>
      <c r="Q39" s="13">
        <v>-378</v>
      </c>
      <c r="R39" s="18"/>
      <c r="S39" s="13">
        <v>-378.7</v>
      </c>
      <c r="T39" s="18"/>
      <c r="U39" s="13">
        <f>S39-O39</f>
        <v>-0.69999999999998863</v>
      </c>
      <c r="V39" s="18"/>
      <c r="W39" s="13">
        <f t="shared" ref="W39" si="9">S39-Q39</f>
        <v>-0.69999999999998863</v>
      </c>
      <c r="X39" s="269"/>
      <c r="Y39" s="1555"/>
      <c r="Z39" s="269"/>
      <c r="AA39" s="1549"/>
      <c r="AB39" s="269"/>
      <c r="AC39" s="16"/>
      <c r="AJ39" s="261"/>
      <c r="AK39" s="261"/>
      <c r="AL39" s="261"/>
      <c r="AM39" s="261"/>
      <c r="AN39" s="261"/>
      <c r="AO39" s="261"/>
      <c r="AP39" s="261"/>
      <c r="AQ39" s="261"/>
      <c r="AR39" s="261"/>
      <c r="AS39" s="261"/>
      <c r="AT39" s="261"/>
      <c r="AU39" s="261"/>
      <c r="AV39" s="261"/>
      <c r="AW39" s="261"/>
      <c r="AX39" s="261"/>
    </row>
    <row r="40" spans="1:50" ht="16.5" thickBot="1">
      <c r="A40" s="1235" t="str">
        <f>+'Exh D Governmental  '!A50</f>
        <v>Fund Balances (Deficits) at November 30, 2025</v>
      </c>
      <c r="B40" s="43" t="s">
        <v>103</v>
      </c>
      <c r="C40" s="681">
        <f>ROUND(SUM(C37:C39),1)</f>
        <v>-2530</v>
      </c>
      <c r="D40" s="269"/>
      <c r="E40" s="681">
        <f>ROUND(SUM(E37:E39),1)</f>
        <v>-2058</v>
      </c>
      <c r="F40" s="269"/>
      <c r="G40" s="681">
        <f>ROUND(SUM(G37:G39),1)</f>
        <v>-2072.1</v>
      </c>
      <c r="H40" s="269"/>
      <c r="I40" s="681">
        <f>ROUND(SUM(I37:I39),1)</f>
        <v>457.9</v>
      </c>
      <c r="J40" s="269"/>
      <c r="K40" s="681">
        <f>ROUND(SUM(K37:K39),1)</f>
        <v>-14.1</v>
      </c>
      <c r="L40" s="20"/>
      <c r="M40" s="345"/>
      <c r="N40" s="269"/>
      <c r="O40" s="681">
        <f>ROUND(SUM(O37:O39),1)</f>
        <v>-812</v>
      </c>
      <c r="P40" s="269"/>
      <c r="Q40" s="681">
        <f>ROUND(SUM(Q37:Q39),1)</f>
        <v>-466</v>
      </c>
      <c r="R40" s="269"/>
      <c r="S40" s="681">
        <f>ROUND(SUM(S37:S39),1)</f>
        <v>-340.2</v>
      </c>
      <c r="T40" s="269"/>
      <c r="U40" s="681">
        <f>ROUND(SUM(U37:U39),1)</f>
        <v>471.8</v>
      </c>
      <c r="V40" s="269"/>
      <c r="W40" s="681">
        <f>ROUND(SUM(W37:W39),1)</f>
        <v>125.8</v>
      </c>
      <c r="X40" s="44"/>
      <c r="Y40" s="1549"/>
      <c r="Z40" s="44"/>
      <c r="AA40" s="1549"/>
      <c r="AB40" s="44"/>
      <c r="AC40" s="20"/>
      <c r="AJ40" s="261"/>
      <c r="AK40" s="261"/>
      <c r="AL40" s="261"/>
      <c r="AM40" s="261"/>
      <c r="AN40" s="261"/>
      <c r="AO40" s="261"/>
      <c r="AP40" s="261"/>
      <c r="AQ40" s="261"/>
      <c r="AR40" s="261"/>
      <c r="AS40" s="261"/>
      <c r="AT40" s="261"/>
      <c r="AU40" s="261"/>
      <c r="AV40" s="261"/>
      <c r="AW40" s="261"/>
      <c r="AX40" s="261"/>
    </row>
    <row r="41" spans="1:50" ht="15.75" thickTop="1">
      <c r="D41" s="269"/>
      <c r="F41" s="269"/>
      <c r="H41" s="269"/>
      <c r="J41" s="269"/>
      <c r="N41" s="269"/>
      <c r="P41" s="269"/>
      <c r="R41" s="269"/>
      <c r="S41" s="273"/>
      <c r="T41" s="269"/>
      <c r="V41" s="269"/>
      <c r="W41" s="261"/>
      <c r="Y41" s="261"/>
      <c r="AA41" s="273"/>
    </row>
    <row r="42" spans="1:50" ht="15.75">
      <c r="A42" s="391" t="str">
        <f>'Exh D Governmental  '!A52</f>
        <v xml:space="preserve">(*)   Source: 2025-26 Enacted Budget dated May 13, 2025.
</v>
      </c>
      <c r="D42" s="44"/>
      <c r="F42" s="44"/>
      <c r="G42" s="1836"/>
      <c r="H42" s="44"/>
      <c r="J42" s="44"/>
      <c r="N42" s="44"/>
      <c r="P42" s="44"/>
      <c r="R42" s="44"/>
      <c r="S42" s="1836"/>
      <c r="T42" s="44"/>
      <c r="U42" s="1837"/>
      <c r="V42" s="44"/>
    </row>
    <row r="43" spans="1:50">
      <c r="A43" s="391" t="str">
        <f>'Exh D Governmental  '!A53</f>
        <v>(**)  Source: 2025-26 Mid Year Update dated October 30, 2025.</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zoomScaleNormal="80" workbookViewId="0"/>
  </sheetViews>
  <sheetFormatPr defaultColWidth="9.88671875" defaultRowHeight="12.75"/>
  <cols>
    <col min="1" max="1" width="32.109375" style="1341" customWidth="1"/>
    <col min="2" max="2" width="10.88671875" style="1341" customWidth="1"/>
    <col min="3" max="3" width="3.44140625" style="1341" customWidth="1"/>
    <col min="4" max="4" width="12.88671875" style="1341" customWidth="1"/>
    <col min="5" max="5" width="1.88671875" style="1341" customWidth="1"/>
    <col min="6" max="6" width="12.88671875" style="1341" customWidth="1"/>
    <col min="7" max="7" width="1.88671875" style="1341" customWidth="1"/>
    <col min="8" max="8" width="12.88671875" style="1341" customWidth="1"/>
    <col min="9" max="9" width="1.88671875" style="1341" customWidth="1"/>
    <col min="10" max="10" width="12.88671875" style="1341" customWidth="1"/>
    <col min="11" max="11" width="1.88671875" style="1341" customWidth="1"/>
    <col min="12" max="12" width="12.88671875" style="1341" customWidth="1"/>
    <col min="13" max="13" width="1.88671875" style="1341" customWidth="1"/>
    <col min="14" max="14" width="12.88671875" style="1341" customWidth="1"/>
    <col min="15" max="15" width="1.88671875" style="1341" customWidth="1"/>
    <col min="16" max="16" width="12.88671875" style="1341" customWidth="1"/>
    <col min="17" max="17" width="1.88671875" style="1341" customWidth="1"/>
    <col min="18" max="18" width="12.88671875" style="1341" customWidth="1"/>
    <col min="19" max="19" width="1.88671875" style="1341" customWidth="1"/>
    <col min="20" max="20" width="1" style="1341" customWidth="1"/>
    <col min="21" max="21" width="1.88671875" style="1341" customWidth="1"/>
    <col min="22" max="22" width="12.88671875" style="1341" customWidth="1"/>
    <col min="23" max="23" width="1.88671875" style="1341" customWidth="1"/>
    <col min="24" max="24" width="12.88671875" style="1341" customWidth="1"/>
    <col min="25" max="25" width="1.88671875" style="1341" customWidth="1"/>
    <col min="26" max="26" width="1" style="1341" customWidth="1"/>
    <col min="27" max="27" width="1.88671875" style="1341" customWidth="1"/>
    <col min="28" max="28" width="12.88671875" style="1341" customWidth="1"/>
    <col min="29" max="29" width="2" style="1341" customWidth="1"/>
    <col min="30" max="30" width="12.88671875" style="1341" customWidth="1"/>
    <col min="31" max="31" width="1.5546875" style="1341" customWidth="1"/>
    <col min="32" max="32" width="0.44140625" style="1341" customWidth="1"/>
    <col min="33" max="33" width="1.5546875" style="1341" customWidth="1"/>
    <col min="34" max="34" width="11.88671875" style="1341" customWidth="1"/>
    <col min="35" max="35" width="1.88671875" style="1341" customWidth="1"/>
    <col min="36" max="36" width="11.88671875" style="1341" customWidth="1"/>
    <col min="37" max="37" width="2.109375" style="1341" customWidth="1"/>
    <col min="38" max="38" width="1.88671875" style="1341" customWidth="1"/>
    <col min="39" max="39" width="9.88671875" style="1341"/>
    <col min="40" max="40" width="9" style="1341" customWidth="1"/>
    <col min="41" max="16384" width="9.88671875" style="1341"/>
  </cols>
  <sheetData>
    <row r="1" spans="1:39" s="1335" customFormat="1" ht="15">
      <c r="A1" s="289" t="s">
        <v>97</v>
      </c>
    </row>
    <row r="2" spans="1:39" s="1338" customFormat="1">
      <c r="A2" s="1336"/>
      <c r="B2" s="1337"/>
      <c r="C2" s="1337"/>
      <c r="D2" s="1335"/>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row>
    <row r="3" spans="1:39" ht="18">
      <c r="A3" s="1339" t="s">
        <v>98</v>
      </c>
      <c r="B3" s="1340"/>
      <c r="C3" s="1340"/>
      <c r="D3" s="1335"/>
      <c r="E3" s="1340"/>
      <c r="F3" s="1340"/>
      <c r="G3" s="1340"/>
      <c r="H3" s="1340"/>
      <c r="I3" s="1340"/>
      <c r="J3" s="1340"/>
      <c r="K3" s="1340"/>
      <c r="L3" s="1871"/>
      <c r="M3" s="1871"/>
      <c r="N3" s="1871"/>
      <c r="O3" s="1871"/>
      <c r="P3" s="1340"/>
      <c r="Q3" s="1340"/>
      <c r="R3" s="1340"/>
      <c r="S3" s="1871"/>
      <c r="T3" s="1340"/>
      <c r="U3" s="1871"/>
      <c r="V3" s="1871"/>
      <c r="W3" s="1871"/>
      <c r="X3" s="1871"/>
      <c r="Y3" s="1871"/>
      <c r="Z3" s="1871"/>
      <c r="AA3" s="1871"/>
      <c r="AB3" s="1871"/>
      <c r="AC3" s="1871"/>
      <c r="AD3" s="1871"/>
      <c r="AE3" s="1871"/>
      <c r="AF3" s="1340"/>
      <c r="AG3" s="1340"/>
      <c r="AH3" s="1872"/>
      <c r="AI3" s="1872"/>
    </row>
    <row r="4" spans="1:39" ht="18">
      <c r="A4" s="1342" t="s">
        <v>100</v>
      </c>
      <c r="B4" s="1340"/>
      <c r="C4" s="1340"/>
      <c r="D4" s="1335"/>
      <c r="E4" s="1340"/>
      <c r="F4" s="1340"/>
      <c r="G4" s="1340"/>
      <c r="H4" s="1340"/>
      <c r="I4" s="1340"/>
      <c r="J4" s="1340"/>
      <c r="K4" s="1340"/>
      <c r="L4" s="1871"/>
      <c r="M4" s="1871"/>
      <c r="N4" s="1871"/>
      <c r="O4" s="1871"/>
      <c r="P4" s="1340"/>
      <c r="Q4" s="1340"/>
      <c r="R4" s="1340"/>
      <c r="S4" s="1871"/>
      <c r="T4" s="1340"/>
      <c r="U4" s="1871"/>
      <c r="V4" s="1871"/>
      <c r="W4" s="1871"/>
      <c r="X4" s="1871"/>
      <c r="Y4" s="1871"/>
      <c r="Z4" s="1871"/>
      <c r="AA4" s="1871"/>
      <c r="AB4" s="1871"/>
      <c r="AC4" s="1871"/>
      <c r="AD4" s="1871"/>
      <c r="AE4" s="1871"/>
      <c r="AF4" s="1340"/>
      <c r="AG4" s="1340"/>
      <c r="AH4" s="1872"/>
      <c r="AI4" s="1872"/>
    </row>
    <row r="5" spans="1:39" ht="18">
      <c r="A5" s="1339" t="s">
        <v>287</v>
      </c>
      <c r="B5" s="1340"/>
      <c r="C5" s="1340"/>
      <c r="D5" s="1335"/>
      <c r="E5" s="1340"/>
      <c r="F5" s="1340"/>
      <c r="G5" s="1340"/>
      <c r="H5" s="1871"/>
      <c r="I5" s="1871"/>
      <c r="J5" s="1871"/>
      <c r="K5" s="1340"/>
      <c r="L5" s="1871"/>
      <c r="M5" s="1871"/>
      <c r="N5" s="1871" t="s">
        <v>103</v>
      </c>
      <c r="O5" s="1871"/>
      <c r="P5" s="1340"/>
      <c r="Q5" s="1340"/>
      <c r="R5" s="1340"/>
      <c r="S5" s="1871"/>
      <c r="T5" s="1340"/>
      <c r="U5" s="1871"/>
      <c r="V5" s="1871"/>
      <c r="W5" s="1871"/>
      <c r="X5" s="1871"/>
      <c r="Y5" s="1871"/>
      <c r="Z5" s="1871"/>
      <c r="AA5" s="1871"/>
      <c r="AB5" s="1871"/>
      <c r="AC5" s="1871"/>
      <c r="AD5" s="1871"/>
      <c r="AE5" s="1871"/>
      <c r="AF5" s="1340"/>
      <c r="AG5" s="1340"/>
      <c r="AH5" s="1872"/>
      <c r="AI5" s="1872"/>
    </row>
    <row r="6" spans="1:39" ht="18">
      <c r="A6" s="1339" t="s">
        <v>102</v>
      </c>
      <c r="B6" s="1340"/>
      <c r="C6" s="1340"/>
      <c r="D6" s="1335"/>
      <c r="E6" s="1340"/>
      <c r="F6" s="1340"/>
      <c r="G6" s="1340"/>
      <c r="H6" s="1340"/>
      <c r="I6" s="1340"/>
      <c r="J6" s="1340"/>
      <c r="K6" s="1340"/>
      <c r="L6" s="1871"/>
      <c r="M6" s="1871"/>
      <c r="N6" s="1871"/>
      <c r="O6" s="1871"/>
      <c r="P6" s="1340"/>
      <c r="Q6" s="1340"/>
      <c r="R6" s="1340"/>
      <c r="S6" s="1871"/>
      <c r="T6" s="1340"/>
      <c r="U6" s="1871"/>
      <c r="V6" s="1871"/>
      <c r="W6" s="1871"/>
      <c r="X6" s="1871"/>
      <c r="Y6" s="1871"/>
      <c r="Z6" s="1871"/>
      <c r="AA6" s="1871"/>
      <c r="AB6" s="1871"/>
      <c r="AC6" s="1871"/>
      <c r="AD6" s="1871"/>
      <c r="AE6" s="1871"/>
      <c r="AF6" s="1340"/>
      <c r="AG6" s="1340"/>
      <c r="AH6" s="1872"/>
      <c r="AI6" s="1872"/>
    </row>
    <row r="7" spans="1:39" ht="18">
      <c r="A7" s="1340"/>
      <c r="B7" s="1340"/>
      <c r="C7" s="1340"/>
      <c r="D7" s="1335"/>
      <c r="E7" s="1340"/>
      <c r="F7" s="1340"/>
      <c r="G7" s="1340"/>
      <c r="H7" s="1340"/>
      <c r="I7" s="1340"/>
      <c r="J7" s="1340"/>
      <c r="K7" s="1340"/>
      <c r="L7" s="1871"/>
      <c r="M7" s="1871"/>
      <c r="N7" s="1871"/>
      <c r="O7" s="1871"/>
      <c r="P7" s="1871"/>
      <c r="Q7" s="1871"/>
      <c r="R7" s="1871"/>
      <c r="S7" s="1871"/>
      <c r="T7" s="1871"/>
      <c r="U7" s="1871"/>
      <c r="V7" s="1871"/>
      <c r="W7" s="1871"/>
      <c r="X7" s="1871"/>
      <c r="Y7" s="1871"/>
      <c r="Z7" s="1871"/>
      <c r="AA7" s="1871"/>
      <c r="AB7" s="1873"/>
      <c r="AC7" s="1873"/>
      <c r="AD7" s="1873"/>
      <c r="AE7" s="1873"/>
      <c r="AF7" s="1340"/>
      <c r="AG7" s="1340"/>
      <c r="AH7" s="1872"/>
      <c r="AI7" s="1872"/>
      <c r="AJ7" s="1874" t="s">
        <v>288</v>
      </c>
    </row>
    <row r="8" spans="1:39" ht="15.75">
      <c r="A8" s="289"/>
      <c r="B8" s="289"/>
      <c r="C8" s="289"/>
      <c r="D8" s="1335"/>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72"/>
      <c r="AI8" s="1872"/>
    </row>
    <row r="9" spans="1:39" ht="15.75">
      <c r="A9" s="289"/>
      <c r="B9" s="289"/>
      <c r="C9" s="289"/>
      <c r="D9" s="1335"/>
      <c r="E9" s="290"/>
      <c r="F9" s="290"/>
      <c r="G9" s="290"/>
      <c r="H9" s="290"/>
      <c r="I9" s="290"/>
      <c r="J9" s="290"/>
      <c r="K9" s="290"/>
      <c r="L9" s="290"/>
      <c r="M9" s="290"/>
      <c r="N9" s="290"/>
      <c r="O9" s="290"/>
      <c r="P9" s="290"/>
      <c r="Q9" s="290"/>
      <c r="R9" s="290"/>
      <c r="S9" s="290"/>
      <c r="T9" s="290"/>
      <c r="U9" s="290"/>
      <c r="V9" s="1871"/>
      <c r="W9" s="1871"/>
      <c r="X9" s="1871"/>
      <c r="Y9" s="1871"/>
      <c r="Z9" s="1871"/>
      <c r="AA9" s="1871"/>
      <c r="AB9" s="1871"/>
      <c r="AC9" s="1871"/>
      <c r="AD9" s="1871"/>
      <c r="AE9" s="1871"/>
      <c r="AF9" s="290"/>
      <c r="AG9" s="290"/>
      <c r="AH9" s="1875"/>
      <c r="AI9" s="1875"/>
    </row>
    <row r="10" spans="1:39" ht="4.3499999999999996"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72"/>
      <c r="AI10" s="1872"/>
    </row>
    <row r="11" spans="1:39" ht="15" customHeight="1">
      <c r="A11" s="289"/>
      <c r="B11" s="289"/>
      <c r="C11" s="289"/>
      <c r="D11" s="1343" t="s">
        <v>104</v>
      </c>
      <c r="E11" s="1343"/>
      <c r="F11" s="1343"/>
      <c r="G11" s="289"/>
      <c r="H11" s="1343" t="s">
        <v>289</v>
      </c>
      <c r="I11" s="1343"/>
      <c r="J11" s="1343"/>
      <c r="K11" s="289"/>
      <c r="L11" s="1343" t="s">
        <v>106</v>
      </c>
      <c r="M11" s="1343"/>
      <c r="N11" s="1343"/>
      <c r="O11" s="289"/>
      <c r="P11" s="1343" t="s">
        <v>290</v>
      </c>
      <c r="Q11" s="1343"/>
      <c r="R11" s="1343"/>
      <c r="S11" s="289"/>
      <c r="T11" s="289"/>
      <c r="U11" s="289"/>
      <c r="V11" s="1876" t="s">
        <v>291</v>
      </c>
      <c r="W11" s="1343"/>
      <c r="X11" s="1343"/>
      <c r="Y11" s="1343"/>
      <c r="Z11" s="1877"/>
      <c r="AA11" s="1877"/>
      <c r="AB11" s="1343"/>
      <c r="AC11" s="1343"/>
      <c r="AD11" s="1343"/>
      <c r="AE11" s="1878"/>
      <c r="AF11" s="1879"/>
      <c r="AG11" s="290"/>
      <c r="AH11" s="1876" t="s">
        <v>207</v>
      </c>
      <c r="AI11" s="1343"/>
      <c r="AJ11" s="1343"/>
    </row>
    <row r="12" spans="1:39" ht="15.75">
      <c r="A12" s="289"/>
      <c r="B12" s="289"/>
      <c r="C12" s="289"/>
      <c r="D12" s="1362" t="s">
        <v>109</v>
      </c>
      <c r="E12" s="1362"/>
      <c r="F12" s="1880" t="str">
        <f>'Exhibit A'!F11</f>
        <v>8 MOS. ENDED</v>
      </c>
      <c r="G12" s="290"/>
      <c r="H12" s="1362" t="s">
        <v>109</v>
      </c>
      <c r="I12" s="1881"/>
      <c r="J12" s="1362" t="str">
        <f>F12</f>
        <v>8 MOS. ENDED</v>
      </c>
      <c r="K12" s="290"/>
      <c r="L12" s="1362" t="s">
        <v>109</v>
      </c>
      <c r="M12" s="1881"/>
      <c r="N12" s="1362" t="str">
        <f>F12</f>
        <v>8 MOS. ENDED</v>
      </c>
      <c r="O12" s="290"/>
      <c r="P12" s="1362" t="s">
        <v>109</v>
      </c>
      <c r="Q12" s="1881"/>
      <c r="R12" s="1362" t="str">
        <f>F12</f>
        <v>8 MOS. ENDED</v>
      </c>
      <c r="S12" s="290"/>
      <c r="T12" s="290"/>
      <c r="U12" s="290"/>
      <c r="V12" s="1362" t="s">
        <v>109</v>
      </c>
      <c r="W12" s="1362"/>
      <c r="X12" s="1362" t="str">
        <f>F12</f>
        <v>8 MOS. ENDED</v>
      </c>
      <c r="Y12" s="1362"/>
      <c r="Z12" s="1882"/>
      <c r="AA12" s="1882"/>
      <c r="AB12" s="1362" t="s">
        <v>109</v>
      </c>
      <c r="AC12" s="1362"/>
      <c r="AD12" s="1362" t="str">
        <f>F12</f>
        <v>8 MOS. ENDED</v>
      </c>
      <c r="AE12" s="1882"/>
      <c r="AF12" s="1882"/>
      <c r="AG12" s="1883"/>
      <c r="AH12" s="1880" t="s">
        <v>110</v>
      </c>
      <c r="AI12" s="1881"/>
      <c r="AJ12" s="1880" t="s">
        <v>111</v>
      </c>
      <c r="AK12" s="1884"/>
      <c r="AL12" s="1872"/>
    </row>
    <row r="13" spans="1:39" ht="15.75">
      <c r="A13" s="289"/>
      <c r="B13" s="289"/>
      <c r="C13" s="289"/>
      <c r="D13" s="1344" t="str">
        <f>'Exhibit A'!D12</f>
        <v>NOV. 2025</v>
      </c>
      <c r="E13" s="1885"/>
      <c r="F13" s="1344" t="str">
        <f>'Exhibit A'!F12</f>
        <v>NOV. 30, 2025</v>
      </c>
      <c r="G13" s="290"/>
      <c r="H13" s="1344" t="str">
        <f>D13</f>
        <v>NOV. 2025</v>
      </c>
      <c r="I13" s="1885"/>
      <c r="J13" s="1344" t="str">
        <f>F13</f>
        <v>NOV. 30, 2025</v>
      </c>
      <c r="K13" s="290"/>
      <c r="L13" s="1344" t="str">
        <f>D13</f>
        <v>NOV. 2025</v>
      </c>
      <c r="M13" s="1885"/>
      <c r="N13" s="1344" t="str">
        <f>F13</f>
        <v>NOV. 30, 2025</v>
      </c>
      <c r="O13" s="290"/>
      <c r="P13" s="1344" t="str">
        <f>D13</f>
        <v>NOV. 2025</v>
      </c>
      <c r="Q13" s="1885"/>
      <c r="R13" s="1344" t="str">
        <f>F13</f>
        <v>NOV. 30, 2025</v>
      </c>
      <c r="S13" s="290"/>
      <c r="T13" s="290"/>
      <c r="U13" s="290"/>
      <c r="V13" s="1886" t="str">
        <f>D13</f>
        <v>NOV. 2025</v>
      </c>
      <c r="W13" s="1886"/>
      <c r="X13" s="1886" t="str">
        <f>F13</f>
        <v>NOV. 30, 2025</v>
      </c>
      <c r="Y13" s="1886"/>
      <c r="Z13" s="1882"/>
      <c r="AA13" s="1882"/>
      <c r="AB13" s="1885" t="str">
        <f>'Exhibit A'!AB12</f>
        <v>NOV. 2024</v>
      </c>
      <c r="AC13" s="1885"/>
      <c r="AD13" s="1885" t="str">
        <f>'Exhibit A'!AD12</f>
        <v>NOV. 30, 2024</v>
      </c>
      <c r="AE13" s="1885"/>
      <c r="AF13" s="1882"/>
      <c r="AG13" s="1886"/>
      <c r="AH13" s="1344" t="s">
        <v>112</v>
      </c>
      <c r="AI13" s="1885"/>
      <c r="AJ13" s="1344" t="s">
        <v>113</v>
      </c>
      <c r="AK13" s="1884"/>
      <c r="AL13" s="1872"/>
    </row>
    <row r="14" spans="1:39" ht="15">
      <c r="A14" s="289"/>
      <c r="B14" s="289"/>
      <c r="C14" s="289"/>
      <c r="D14" s="289"/>
      <c r="E14" s="289"/>
      <c r="F14" s="289"/>
      <c r="G14" s="289"/>
      <c r="H14" s="289"/>
      <c r="I14" s="289"/>
      <c r="J14" s="289"/>
      <c r="K14" s="289"/>
      <c r="L14" s="289"/>
      <c r="M14" s="289"/>
      <c r="N14" s="289"/>
      <c r="O14" s="289"/>
      <c r="P14" s="289"/>
      <c r="Q14" s="289"/>
      <c r="R14" s="289"/>
      <c r="S14" s="289"/>
      <c r="T14" s="1887"/>
      <c r="U14" s="1887"/>
      <c r="V14" s="1888"/>
      <c r="W14" s="289"/>
      <c r="X14" s="1888"/>
      <c r="Y14" s="289"/>
      <c r="Z14" s="1889"/>
      <c r="AA14" s="289"/>
      <c r="AB14" s="1888"/>
      <c r="AC14" s="289"/>
      <c r="AD14" s="1888"/>
      <c r="AE14" s="289"/>
      <c r="AF14" s="1975"/>
      <c r="AG14" s="289"/>
      <c r="AH14" s="289"/>
      <c r="AI14" s="289"/>
      <c r="AK14" s="1872"/>
      <c r="AL14" s="1872"/>
    </row>
    <row r="15" spans="1:39" ht="18" customHeight="1">
      <c r="A15" s="1345" t="s">
        <v>292</v>
      </c>
      <c r="B15" s="1346"/>
      <c r="C15" s="1346"/>
      <c r="D15" s="289"/>
      <c r="E15" s="289"/>
      <c r="F15" s="289"/>
      <c r="G15" s="289"/>
      <c r="H15" s="289"/>
      <c r="I15" s="289"/>
      <c r="J15" s="289"/>
      <c r="K15" s="289"/>
      <c r="L15" s="289"/>
      <c r="M15" s="289"/>
      <c r="N15" s="289"/>
      <c r="O15" s="289"/>
      <c r="P15" s="289"/>
      <c r="Q15" s="289"/>
      <c r="R15" s="289"/>
      <c r="S15" s="289"/>
      <c r="T15" s="1887"/>
      <c r="U15" s="1887"/>
      <c r="V15" s="289"/>
      <c r="W15" s="289"/>
      <c r="X15" s="289"/>
      <c r="Y15" s="289"/>
      <c r="Z15" s="1889"/>
      <c r="AA15" s="289"/>
      <c r="AB15" s="289"/>
      <c r="AC15" s="289"/>
      <c r="AD15" s="289"/>
      <c r="AE15" s="289"/>
      <c r="AF15" s="1975"/>
      <c r="AG15" s="289"/>
      <c r="AH15" s="289"/>
      <c r="AI15" s="289"/>
      <c r="AK15" s="1872"/>
      <c r="AL15" s="1872"/>
    </row>
    <row r="16" spans="1:39" ht="18" customHeight="1">
      <c r="A16" s="1346" t="s">
        <v>293</v>
      </c>
      <c r="B16" s="1346"/>
      <c r="C16" s="1329"/>
      <c r="D16" s="1363">
        <f>'Exhibit F'!R18</f>
        <v>4307.1999999999953</v>
      </c>
      <c r="E16" s="1363"/>
      <c r="F16" s="1363">
        <f>'Exhibit F'!AC18</f>
        <v>35499.9</v>
      </c>
      <c r="G16" s="1363"/>
      <c r="H16" s="1890">
        <v>0</v>
      </c>
      <c r="I16" s="1363"/>
      <c r="J16" s="1890">
        <v>0</v>
      </c>
      <c r="K16" s="1363"/>
      <c r="L16" s="1890">
        <v>0</v>
      </c>
      <c r="M16" s="1363"/>
      <c r="N16" s="1890">
        <v>0</v>
      </c>
      <c r="O16" s="1363"/>
      <c r="P16" s="1890">
        <v>0</v>
      </c>
      <c r="Q16" s="1363"/>
      <c r="R16" s="1890">
        <v>0</v>
      </c>
      <c r="S16" s="1363"/>
      <c r="T16" s="1891"/>
      <c r="U16" s="1892"/>
      <c r="V16" s="1893">
        <f>SUM(D16)+SUM(H16)+SUM(L16)+SUM(P16)</f>
        <v>4307.1999999999953</v>
      </c>
      <c r="W16" s="1363"/>
      <c r="X16" s="1893">
        <f>SUM(F16)+SUM(J16)+SUM(N16)+SUM(R16)</f>
        <v>35499.9</v>
      </c>
      <c r="Y16" s="1890"/>
      <c r="Z16" s="1894"/>
      <c r="AA16" s="1363"/>
      <c r="AB16" s="1999">
        <v>4178</v>
      </c>
      <c r="AC16" s="1363"/>
      <c r="AD16" s="1893">
        <f>'Cashflow Governmental'!AE21</f>
        <v>33166.199999999997</v>
      </c>
      <c r="AE16" s="1893"/>
      <c r="AF16" s="1975"/>
      <c r="AG16" s="1890"/>
      <c r="AH16" s="1893">
        <f>ROUND(SUM(X16)-SUM(AD16),1)</f>
        <v>2333.6999999999998</v>
      </c>
      <c r="AI16" s="1327"/>
      <c r="AJ16" s="1895">
        <f>ROUND(AH16/AD16,3)</f>
        <v>7.0000000000000007E-2</v>
      </c>
      <c r="AK16" s="1896"/>
      <c r="AL16" s="1872"/>
      <c r="AM16" s="1897"/>
    </row>
    <row r="17" spans="1:39" ht="18" customHeight="1">
      <c r="A17" s="1347" t="s">
        <v>294</v>
      </c>
      <c r="B17" s="1346"/>
      <c r="C17" s="770"/>
      <c r="D17" s="258">
        <f>'Exhibit F'!R19</f>
        <v>96.099999999998545</v>
      </c>
      <c r="E17" s="258"/>
      <c r="F17" s="258">
        <f>'Exhibit F'!AC19</f>
        <v>11102.8</v>
      </c>
      <c r="G17" s="258"/>
      <c r="H17" s="260">
        <v>0</v>
      </c>
      <c r="I17" s="1898"/>
      <c r="J17" s="260">
        <v>0</v>
      </c>
      <c r="K17" s="258"/>
      <c r="L17" s="260">
        <v>0</v>
      </c>
      <c r="M17" s="1898"/>
      <c r="N17" s="260">
        <v>0</v>
      </c>
      <c r="O17" s="258"/>
      <c r="P17" s="260">
        <v>0</v>
      </c>
      <c r="Q17" s="1898"/>
      <c r="R17" s="260">
        <v>0</v>
      </c>
      <c r="S17" s="258"/>
      <c r="T17" s="1899"/>
      <c r="U17" s="1899"/>
      <c r="V17" s="1898">
        <f t="shared" ref="V17:V20" si="0">SUM(D17)+SUM(H17)+SUM(L17)+SUM(P17)</f>
        <v>96.099999999998545</v>
      </c>
      <c r="W17" s="258"/>
      <c r="X17" s="1898">
        <f t="shared" ref="X17:X23" si="1">SUM(F17)+SUM(J17)+SUM(N17)+SUM(R17)</f>
        <v>11102.8</v>
      </c>
      <c r="Y17" s="1900"/>
      <c r="Z17" s="1901"/>
      <c r="AA17" s="258"/>
      <c r="AB17" s="518">
        <v>93.5</v>
      </c>
      <c r="AC17" s="258"/>
      <c r="AD17" s="1898">
        <f>'Cashflow Governmental'!AE22</f>
        <v>9308</v>
      </c>
      <c r="AE17" s="1898"/>
      <c r="AF17" s="1975"/>
      <c r="AG17" s="1900"/>
      <c r="AH17" s="1898">
        <f>ROUND(SUM(X17)-SUM(AD17),1)</f>
        <v>1794.8</v>
      </c>
      <c r="AI17" s="1332"/>
      <c r="AJ17" s="1896">
        <f>ROUND(AH17/AD17,3)</f>
        <v>0.193</v>
      </c>
      <c r="AK17" s="1896"/>
      <c r="AL17" s="1872"/>
      <c r="AM17" s="1897"/>
    </row>
    <row r="18" spans="1:39" ht="18" customHeight="1">
      <c r="A18" s="1346" t="s">
        <v>295</v>
      </c>
      <c r="B18" s="1346" t="s">
        <v>103</v>
      </c>
      <c r="C18" s="1346"/>
      <c r="D18" s="258">
        <f>'Exhibit F'!R20</f>
        <v>48.5</v>
      </c>
      <c r="E18" s="258"/>
      <c r="F18" s="258">
        <f>'Exhibit F'!AC20</f>
        <v>4191.6000000000004</v>
      </c>
      <c r="G18" s="258"/>
      <c r="H18" s="260">
        <v>0</v>
      </c>
      <c r="I18" s="1898"/>
      <c r="J18" s="260">
        <v>0</v>
      </c>
      <c r="K18" s="258"/>
      <c r="L18" s="260">
        <v>0</v>
      </c>
      <c r="M18" s="1898"/>
      <c r="N18" s="260">
        <v>0</v>
      </c>
      <c r="O18" s="258"/>
      <c r="P18" s="260">
        <v>0</v>
      </c>
      <c r="Q18" s="1898"/>
      <c r="R18" s="260">
        <v>0</v>
      </c>
      <c r="S18" s="258"/>
      <c r="T18" s="1899"/>
      <c r="U18" s="1899"/>
      <c r="V18" s="1898">
        <f t="shared" si="0"/>
        <v>48.5</v>
      </c>
      <c r="W18" s="258"/>
      <c r="X18" s="1898">
        <f t="shared" si="1"/>
        <v>4191.6000000000004</v>
      </c>
      <c r="Y18" s="1900"/>
      <c r="Z18" s="1901"/>
      <c r="AA18" s="258"/>
      <c r="AB18" s="518">
        <v>54.5</v>
      </c>
      <c r="AC18" s="258"/>
      <c r="AD18" s="1898">
        <f>'Cashflow Governmental'!AE23</f>
        <v>3286.7</v>
      </c>
      <c r="AE18" s="1898"/>
      <c r="AF18" s="1975"/>
      <c r="AG18" s="1900"/>
      <c r="AH18" s="1898">
        <f>ROUND(SUM(X18)-SUM(AD18),1)</f>
        <v>904.9</v>
      </c>
      <c r="AI18" s="1332"/>
      <c r="AJ18" s="1896">
        <f>ROUND(AH18/AD18,3)</f>
        <v>0.27500000000000002</v>
      </c>
      <c r="AK18" s="1896"/>
      <c r="AL18" s="1872"/>
      <c r="AM18" s="1897"/>
    </row>
    <row r="19" spans="1:39" ht="18" customHeight="1">
      <c r="A19" s="1347" t="s">
        <v>296</v>
      </c>
      <c r="B19" s="1346"/>
      <c r="C19" s="1346"/>
      <c r="D19" s="258">
        <f>'Exhibit F'!R21</f>
        <v>-35.5</v>
      </c>
      <c r="E19" s="258"/>
      <c r="F19" s="258">
        <f>'Exhibit F'!AC21</f>
        <v>-1311.5</v>
      </c>
      <c r="G19" s="258"/>
      <c r="H19" s="260">
        <v>0</v>
      </c>
      <c r="I19" s="1898"/>
      <c r="J19" s="260">
        <v>0</v>
      </c>
      <c r="K19" s="258"/>
      <c r="L19" s="260">
        <v>0</v>
      </c>
      <c r="M19" s="1898"/>
      <c r="N19" s="260">
        <v>0</v>
      </c>
      <c r="O19" s="258"/>
      <c r="P19" s="260">
        <v>0</v>
      </c>
      <c r="Q19" s="1898"/>
      <c r="R19" s="260">
        <v>0</v>
      </c>
      <c r="S19" s="258"/>
      <c r="T19" s="1899"/>
      <c r="U19" s="1899"/>
      <c r="V19" s="1898">
        <f t="shared" si="0"/>
        <v>-35.5</v>
      </c>
      <c r="W19" s="258"/>
      <c r="X19" s="1898">
        <f t="shared" si="1"/>
        <v>-1311.5</v>
      </c>
      <c r="Y19" s="1900"/>
      <c r="Z19" s="1901"/>
      <c r="AA19" s="258"/>
      <c r="AB19" s="518">
        <v>-64.099999999999994</v>
      </c>
      <c r="AC19" s="258"/>
      <c r="AD19" s="1898">
        <f>'Cashflow Governmental'!AE24</f>
        <v>-1223</v>
      </c>
      <c r="AE19" s="1898"/>
      <c r="AF19" s="1975"/>
      <c r="AG19" s="1900"/>
      <c r="AH19" s="1898">
        <f>-ROUND(SUM(X19)-SUM(AD19),1)</f>
        <v>88.5</v>
      </c>
      <c r="AI19" s="1332"/>
      <c r="AJ19" s="1896">
        <f>-ROUND(AH19/AD19,3)</f>
        <v>7.1999999999999995E-2</v>
      </c>
      <c r="AK19" s="1896"/>
      <c r="AL19" s="1872"/>
      <c r="AM19" s="1897"/>
    </row>
    <row r="20" spans="1:39" ht="18" customHeight="1">
      <c r="A20" s="1347" t="s">
        <v>297</v>
      </c>
      <c r="B20" s="1346" t="s">
        <v>103</v>
      </c>
      <c r="C20" s="1346"/>
      <c r="D20" s="258">
        <f>'Exhibit F'!R22</f>
        <v>128.59999999999991</v>
      </c>
      <c r="E20" s="258"/>
      <c r="F20" s="258">
        <f>'Exhibit F'!AC22</f>
        <v>1241</v>
      </c>
      <c r="G20" s="258"/>
      <c r="H20" s="260">
        <v>0</v>
      </c>
      <c r="I20" s="1898"/>
      <c r="J20" s="260">
        <v>0</v>
      </c>
      <c r="K20" s="258"/>
      <c r="L20" s="260">
        <v>0</v>
      </c>
      <c r="M20" s="1898"/>
      <c r="N20" s="260">
        <v>0</v>
      </c>
      <c r="O20" s="258"/>
      <c r="P20" s="260">
        <v>0</v>
      </c>
      <c r="Q20" s="1898"/>
      <c r="R20" s="260">
        <v>0</v>
      </c>
      <c r="S20" s="258"/>
      <c r="T20" s="1899"/>
      <c r="U20" s="1899"/>
      <c r="V20" s="1898">
        <f t="shared" si="0"/>
        <v>128.59999999999991</v>
      </c>
      <c r="W20" s="258"/>
      <c r="X20" s="1898">
        <f t="shared" si="1"/>
        <v>1241</v>
      </c>
      <c r="Y20" s="1900"/>
      <c r="Z20" s="1901"/>
      <c r="AA20" s="258"/>
      <c r="AB20" s="518">
        <v>190</v>
      </c>
      <c r="AC20" s="258"/>
      <c r="AD20" s="1898">
        <f>'Cashflow Governmental'!AE25</f>
        <v>1173.5</v>
      </c>
      <c r="AE20" s="1898"/>
      <c r="AF20" s="1975"/>
      <c r="AG20" s="1900"/>
      <c r="AH20" s="1898">
        <f>ROUND(SUM(X20)-SUM(AD20),1)</f>
        <v>67.5</v>
      </c>
      <c r="AI20" s="1332"/>
      <c r="AJ20" s="1902">
        <f>ROUND(AH20/AD20,3)</f>
        <v>5.8000000000000003E-2</v>
      </c>
      <c r="AK20" s="1896"/>
      <c r="AL20" s="1872"/>
      <c r="AM20" s="1897"/>
    </row>
    <row r="21" spans="1:39" s="1348" customFormat="1" ht="18" customHeight="1">
      <c r="A21" s="1345" t="s">
        <v>298</v>
      </c>
      <c r="B21" s="1345"/>
      <c r="C21" s="1345"/>
      <c r="D21" s="1364">
        <f>ROUND(SUM(D16:D20),1)</f>
        <v>4544.8999999999996</v>
      </c>
      <c r="E21" s="1"/>
      <c r="F21" s="1364">
        <f>ROUND(SUM(F16:F20),1)</f>
        <v>50723.8</v>
      </c>
      <c r="G21" s="1"/>
      <c r="H21" s="1364">
        <f>ROUND(SUM(H16:H20),1)</f>
        <v>0</v>
      </c>
      <c r="I21" s="1903"/>
      <c r="J21" s="1364">
        <f>ROUND(SUM(J16:J20),1)</f>
        <v>0</v>
      </c>
      <c r="K21" s="1"/>
      <c r="L21" s="1364">
        <f>ROUND(SUM(L16:L20),1)</f>
        <v>0</v>
      </c>
      <c r="M21" s="1903"/>
      <c r="N21" s="1364">
        <f>ROUND(SUM(N16:N20),1)</f>
        <v>0</v>
      </c>
      <c r="O21" s="1"/>
      <c r="P21" s="1364">
        <f>ROUND(SUM(P16:P20),1)</f>
        <v>0</v>
      </c>
      <c r="Q21" s="1903"/>
      <c r="R21" s="1364">
        <f>ROUND(SUM(R16:R20),1)</f>
        <v>0</v>
      </c>
      <c r="S21" s="1"/>
      <c r="T21" s="1904"/>
      <c r="U21" s="1904"/>
      <c r="V21" s="1905">
        <f>ROUND(SUM(V16:V20),1)</f>
        <v>4544.8999999999996</v>
      </c>
      <c r="W21" s="1"/>
      <c r="X21" s="1905">
        <f>ROUND(SUM(X16:X20),1)</f>
        <v>50723.8</v>
      </c>
      <c r="Y21" s="1906"/>
      <c r="Z21" s="1907"/>
      <c r="AA21" s="1"/>
      <c r="AB21" s="71">
        <f>ROUND(SUM(AB16:AB20),1)</f>
        <v>4451.8999999999996</v>
      </c>
      <c r="AC21" s="1"/>
      <c r="AD21" s="1908">
        <f>ROUND(SUM(AD16:AD20),1)</f>
        <v>45711.4</v>
      </c>
      <c r="AE21" s="1903"/>
      <c r="AF21" s="1975"/>
      <c r="AG21" s="1906"/>
      <c r="AH21" s="1908">
        <f>ROUND(SUM(X21)-SUM(AD21),1)</f>
        <v>5012.3999999999996</v>
      </c>
      <c r="AI21" s="1331"/>
      <c r="AJ21" s="1909">
        <f>ROUND(AH21/AD21,3)</f>
        <v>0.11</v>
      </c>
      <c r="AK21" s="1910"/>
      <c r="AL21" s="1911"/>
      <c r="AM21" s="1912"/>
    </row>
    <row r="22" spans="1:39" ht="18" customHeight="1">
      <c r="A22" s="1347" t="s">
        <v>299</v>
      </c>
      <c r="B22" s="1346"/>
      <c r="C22" s="1346"/>
      <c r="D22" s="518">
        <f>'Exhibit F'!R24</f>
        <v>0</v>
      </c>
      <c r="E22" s="1898"/>
      <c r="F22" s="518">
        <f>'Exhibit F'!AC24</f>
        <v>0</v>
      </c>
      <c r="G22" s="258"/>
      <c r="H22" s="258">
        <f>'Exhibit G'!R17</f>
        <v>0</v>
      </c>
      <c r="I22" s="1898"/>
      <c r="J22" s="518">
        <f>'Exhibit G'!AE17</f>
        <v>0</v>
      </c>
      <c r="K22" s="258"/>
      <c r="L22" s="1025">
        <v>0</v>
      </c>
      <c r="M22" s="1898"/>
      <c r="N22" s="1025">
        <v>0</v>
      </c>
      <c r="O22" s="258"/>
      <c r="P22" s="1025">
        <v>0</v>
      </c>
      <c r="Q22" s="1898"/>
      <c r="R22" s="1025">
        <v>0</v>
      </c>
      <c r="S22" s="258"/>
      <c r="T22" s="1899"/>
      <c r="U22" s="1899"/>
      <c r="V22" s="1913">
        <f>SUM(D22)+SUM(H22)+SUM(L22)+SUM(P22)</f>
        <v>0</v>
      </c>
      <c r="W22" s="258"/>
      <c r="X22" s="1913">
        <f t="shared" si="1"/>
        <v>0</v>
      </c>
      <c r="Y22" s="1900"/>
      <c r="Z22" s="1901"/>
      <c r="AA22" s="258"/>
      <c r="AB22" s="518">
        <v>0</v>
      </c>
      <c r="AC22" s="258"/>
      <c r="AD22" s="1898">
        <f>'Cashflow Governmental'!AE27</f>
        <v>0</v>
      </c>
      <c r="AE22" s="260"/>
      <c r="AF22" s="1975"/>
      <c r="AG22" s="1900"/>
      <c r="AH22" s="260">
        <f>ROUND(SUM(X22)-SUM(AD22),1)</f>
        <v>0</v>
      </c>
      <c r="AI22" s="1332"/>
      <c r="AJ22" s="271">
        <f>ROUND(IF(AD22=0,0,AH22/(AD22)),3)</f>
        <v>0</v>
      </c>
      <c r="AK22" s="1914"/>
      <c r="AL22" s="1872"/>
      <c r="AM22" s="1897"/>
    </row>
    <row r="23" spans="1:39" ht="18" customHeight="1">
      <c r="A23" s="1347" t="s">
        <v>300</v>
      </c>
      <c r="B23" s="1346"/>
      <c r="C23" s="1346"/>
      <c r="D23" s="1124">
        <f>'Exhibit F'!R25</f>
        <v>-1348</v>
      </c>
      <c r="E23" s="258"/>
      <c r="F23" s="518">
        <f>'Exhibit F'!AC25</f>
        <v>-19115.599999999999</v>
      </c>
      <c r="G23" s="258"/>
      <c r="H23" s="260">
        <v>0</v>
      </c>
      <c r="I23" s="1898"/>
      <c r="J23" s="260">
        <v>0</v>
      </c>
      <c r="K23" s="258"/>
      <c r="L23" s="1898">
        <f>'Exhibit H'!P17</f>
        <v>1348</v>
      </c>
      <c r="M23" s="1898"/>
      <c r="N23" s="1898">
        <f>'Exhibit H'!AA17</f>
        <v>19115.599999999999</v>
      </c>
      <c r="O23" s="258"/>
      <c r="P23" s="260">
        <v>0</v>
      </c>
      <c r="Q23" s="1898"/>
      <c r="R23" s="260">
        <v>0</v>
      </c>
      <c r="S23" s="258"/>
      <c r="T23" s="1899"/>
      <c r="U23" s="1899"/>
      <c r="V23" s="1898">
        <f>ROUND(SUM(D23)+SUM(H23)+SUM(L23)+SUM(P23),1)</f>
        <v>0</v>
      </c>
      <c r="W23" s="258"/>
      <c r="X23" s="1898">
        <f t="shared" si="1"/>
        <v>0</v>
      </c>
      <c r="Y23" s="1900"/>
      <c r="Z23" s="1901"/>
      <c r="AA23" s="258"/>
      <c r="AB23" s="518">
        <v>0</v>
      </c>
      <c r="AC23" s="258"/>
      <c r="AD23" s="1898">
        <f>'Cashflow Governmental'!AE28</f>
        <v>0</v>
      </c>
      <c r="AE23" s="260"/>
      <c r="AF23" s="1975"/>
      <c r="AG23" s="1900"/>
      <c r="AH23" s="260">
        <f>ROUND(SUM(X23)-SUM(AD23),1)</f>
        <v>0</v>
      </c>
      <c r="AI23" s="1332"/>
      <c r="AJ23" s="271">
        <f>ROUND(IF(AD23=0,0,AH23/(AD23)),3)</f>
        <v>0</v>
      </c>
      <c r="AK23" s="1914"/>
      <c r="AL23" s="1872"/>
      <c r="AM23" s="1897"/>
    </row>
    <row r="24" spans="1:39" ht="18" customHeight="1">
      <c r="A24" s="1346" t="s">
        <v>301</v>
      </c>
      <c r="B24" s="1346"/>
      <c r="C24" s="1346"/>
      <c r="D24" s="1124">
        <f>'Exhibit F'!R26</f>
        <v>-1848.8000000000011</v>
      </c>
      <c r="E24" s="258"/>
      <c r="F24" s="518">
        <f>'Exhibit F'!AC26</f>
        <v>-12492.6</v>
      </c>
      <c r="G24" s="258"/>
      <c r="H24" s="260">
        <v>0</v>
      </c>
      <c r="I24" s="1898"/>
      <c r="J24" s="260">
        <v>0</v>
      </c>
      <c r="K24" s="258"/>
      <c r="L24" s="260">
        <v>0</v>
      </c>
      <c r="M24" s="1898"/>
      <c r="N24" s="260">
        <v>0</v>
      </c>
      <c r="O24" s="258"/>
      <c r="P24" s="260">
        <v>0</v>
      </c>
      <c r="Q24" s="1898"/>
      <c r="R24" s="260">
        <v>0</v>
      </c>
      <c r="S24" s="258"/>
      <c r="T24" s="1899"/>
      <c r="U24" s="1899"/>
      <c r="V24" s="1898">
        <f>SUM(D24)+SUM(H24)+SUM(L24)+SUM(P24)</f>
        <v>-1848.8000000000011</v>
      </c>
      <c r="W24" s="258"/>
      <c r="X24" s="1898">
        <f>SUM(F24)+SUM(J24)+SUM(N24)+SUM(R24)</f>
        <v>-12492.6</v>
      </c>
      <c r="Y24" s="1900"/>
      <c r="Z24" s="1901"/>
      <c r="AA24" s="258"/>
      <c r="AB24" s="518">
        <v>-791.3</v>
      </c>
      <c r="AC24" s="258"/>
      <c r="AD24" s="1898">
        <f>'Cashflow Governmental'!AE29</f>
        <v>-10382.200000000001</v>
      </c>
      <c r="AE24" s="1898"/>
      <c r="AF24" s="1975"/>
      <c r="AG24" s="1900"/>
      <c r="AH24" s="1898">
        <f>-ROUND(SUM(X24)-SUM(AD24),1)</f>
        <v>2110.4</v>
      </c>
      <c r="AI24" s="1332"/>
      <c r="AJ24" s="1915">
        <f>-ROUND(AH24/AD24,3)</f>
        <v>0.20300000000000001</v>
      </c>
      <c r="AK24" s="1896"/>
      <c r="AL24" s="1872"/>
      <c r="AM24" s="1897"/>
    </row>
    <row r="25" spans="1:39" ht="18" customHeight="1">
      <c r="A25" s="1349" t="s">
        <v>302</v>
      </c>
      <c r="B25" s="1346"/>
      <c r="C25" s="1346"/>
      <c r="D25" s="1365">
        <f>ROUND(SUM(D21:D24),1)</f>
        <v>1348.1</v>
      </c>
      <c r="E25" s="1"/>
      <c r="F25" s="1365">
        <f>ROUND(SUM(F21:F24),1)</f>
        <v>19115.599999999999</v>
      </c>
      <c r="G25" s="1"/>
      <c r="H25" s="1026">
        <f>ROUND(SUM(H21:H24),1)</f>
        <v>0</v>
      </c>
      <c r="I25" s="1903"/>
      <c r="J25" s="1026">
        <f>ROUND(SUM(J21:J24),1)</f>
        <v>0</v>
      </c>
      <c r="K25" s="1"/>
      <c r="L25" s="1026">
        <f>ROUND(SUM(L21:L24),1)</f>
        <v>1348</v>
      </c>
      <c r="M25" s="1903"/>
      <c r="N25" s="1026">
        <f>ROUND(SUM(N21:N24),1)</f>
        <v>19115.599999999999</v>
      </c>
      <c r="O25" s="1"/>
      <c r="P25" s="1026">
        <f>ROUND(SUM(P21:P24),1)</f>
        <v>0</v>
      </c>
      <c r="Q25" s="1903"/>
      <c r="R25" s="1026">
        <f>ROUND(SUM(R21:R24),1)</f>
        <v>0</v>
      </c>
      <c r="S25" s="1"/>
      <c r="T25" s="1904"/>
      <c r="U25" s="1904"/>
      <c r="V25" s="1905">
        <f>ROUND(SUM(V21:V24),1)</f>
        <v>2696.1</v>
      </c>
      <c r="W25" s="1"/>
      <c r="X25" s="1905">
        <f>ROUND(SUM(X21:X24),1)</f>
        <v>38231.199999999997</v>
      </c>
      <c r="Y25" s="1916"/>
      <c r="Z25" s="1907"/>
      <c r="AA25" s="1"/>
      <c r="AB25" s="2000">
        <f>ROUND(SUM(AB21:AB24),1)</f>
        <v>3660.6</v>
      </c>
      <c r="AC25" s="1"/>
      <c r="AD25" s="1905">
        <f>ROUND(SUM(AD21:AD24),1)</f>
        <v>35329.199999999997</v>
      </c>
      <c r="AE25" s="1" t="s">
        <v>103</v>
      </c>
      <c r="AF25" s="1975"/>
      <c r="AG25" s="1906"/>
      <c r="AH25" s="1917">
        <f>ROUND(SUM(X25)-SUM(AD25),1)</f>
        <v>2902</v>
      </c>
      <c r="AI25" s="1331"/>
      <c r="AJ25" s="1918">
        <f>ROUND(AH25/AD25,3)</f>
        <v>8.2000000000000003E-2</v>
      </c>
      <c r="AK25" s="1910"/>
      <c r="AL25" s="1911"/>
      <c r="AM25" s="1897"/>
    </row>
    <row r="26" spans="1:39" ht="18" customHeight="1">
      <c r="A26" s="1346"/>
      <c r="B26" s="1346"/>
      <c r="C26" s="1346"/>
      <c r="D26" s="1366"/>
      <c r="E26" s="258"/>
      <c r="F26" s="1366" t="s">
        <v>103</v>
      </c>
      <c r="G26" s="258"/>
      <c r="H26" s="1366"/>
      <c r="I26" s="258"/>
      <c r="J26" s="1366" t="s">
        <v>233</v>
      </c>
      <c r="K26" s="258"/>
      <c r="L26" s="1366" t="s">
        <v>103</v>
      </c>
      <c r="M26" s="258"/>
      <c r="N26" s="1366" t="s">
        <v>103</v>
      </c>
      <c r="O26" s="258"/>
      <c r="P26" s="1366"/>
      <c r="Q26" s="258"/>
      <c r="R26" s="1366"/>
      <c r="S26" s="258"/>
      <c r="T26" s="1899"/>
      <c r="U26" s="1899"/>
      <c r="V26" s="1366"/>
      <c r="W26" s="258"/>
      <c r="X26" s="1366"/>
      <c r="Y26" s="258"/>
      <c r="Z26" s="1901"/>
      <c r="AA26" s="258"/>
      <c r="AB26" s="1366"/>
      <c r="AC26" s="258"/>
      <c r="AD26" s="1366"/>
      <c r="AE26" s="258"/>
      <c r="AF26" s="1975"/>
      <c r="AG26" s="258"/>
      <c r="AH26" s="258"/>
      <c r="AI26" s="1327"/>
      <c r="AJ26" s="1919"/>
      <c r="AK26" s="1914"/>
      <c r="AL26" s="1872"/>
      <c r="AM26" s="1897"/>
    </row>
    <row r="27" spans="1:39" ht="18" customHeight="1">
      <c r="A27" s="1349" t="s">
        <v>303</v>
      </c>
      <c r="B27" s="1346"/>
      <c r="C27" s="770"/>
      <c r="D27" s="1367"/>
      <c r="E27" s="258"/>
      <c r="F27" s="258"/>
      <c r="G27" s="258"/>
      <c r="H27" s="258"/>
      <c r="I27" s="258"/>
      <c r="J27" s="258"/>
      <c r="K27" s="258"/>
      <c r="L27" s="258"/>
      <c r="M27" s="258"/>
      <c r="N27" s="258"/>
      <c r="O27" s="258"/>
      <c r="P27" s="258"/>
      <c r="Q27" s="258"/>
      <c r="R27" s="258"/>
      <c r="S27" s="258"/>
      <c r="T27" s="1899"/>
      <c r="U27" s="1899"/>
      <c r="V27" s="258"/>
      <c r="W27" s="258"/>
      <c r="X27" s="258"/>
      <c r="Y27" s="258"/>
      <c r="Z27" s="1901"/>
      <c r="AA27" s="258"/>
      <c r="AB27" s="258"/>
      <c r="AC27" s="258"/>
      <c r="AD27" s="258"/>
      <c r="AE27" s="258"/>
      <c r="AF27" s="1975"/>
      <c r="AG27" s="258"/>
      <c r="AH27" s="258"/>
      <c r="AI27" s="1327"/>
      <c r="AJ27" s="1919"/>
      <c r="AK27" s="1914"/>
      <c r="AL27" s="1872"/>
      <c r="AM27" s="1897"/>
    </row>
    <row r="28" spans="1:39" ht="18" customHeight="1">
      <c r="A28" s="1346" t="s">
        <v>304</v>
      </c>
      <c r="B28" s="1346"/>
      <c r="C28" s="1346"/>
      <c r="D28" s="258">
        <f>'Exhibit F'!R29</f>
        <v>813.29999999999905</v>
      </c>
      <c r="E28" s="258"/>
      <c r="F28" s="258">
        <f>'Exhibit F'!AC29</f>
        <v>6675.7</v>
      </c>
      <c r="G28" s="258"/>
      <c r="H28" s="258">
        <f>'Exhibit G'!R20</f>
        <v>115.20000000000007</v>
      </c>
      <c r="I28" s="258"/>
      <c r="J28" s="258">
        <f>'Exhibit G'!AE20</f>
        <v>970.2</v>
      </c>
      <c r="K28" s="258"/>
      <c r="L28" s="1898">
        <f>'Exhibit H'!P20</f>
        <v>813.099999999999</v>
      </c>
      <c r="M28" s="1898"/>
      <c r="N28" s="1898">
        <f>'Exhibit H'!AA20</f>
        <v>6671.7</v>
      </c>
      <c r="O28" s="258"/>
      <c r="P28" s="260">
        <v>0</v>
      </c>
      <c r="Q28" s="1898"/>
      <c r="R28" s="260">
        <v>0</v>
      </c>
      <c r="S28" s="258"/>
      <c r="T28" s="1899"/>
      <c r="U28" s="1899"/>
      <c r="V28" s="1898">
        <f t="shared" ref="V28:V34" si="2">SUM(D28)+SUM(H28)+SUM(L28)+SUM(P28)</f>
        <v>1741.5999999999981</v>
      </c>
      <c r="W28" s="258"/>
      <c r="X28" s="1898">
        <f t="shared" ref="X28:X35" si="3">SUM(F28)+SUM(J28)+SUM(N28)+SUM(R28)</f>
        <v>14317.599999999999</v>
      </c>
      <c r="Y28" s="258"/>
      <c r="Z28" s="1901"/>
      <c r="AA28" s="258"/>
      <c r="AB28" s="2001">
        <v>1608.7</v>
      </c>
      <c r="AC28" s="258"/>
      <c r="AD28" s="1898">
        <f>'Cashflow Governmental'!AE32</f>
        <v>13452</v>
      </c>
      <c r="AE28" s="1898"/>
      <c r="AF28" s="1975"/>
      <c r="AG28" s="258"/>
      <c r="AH28" s="258">
        <f t="shared" ref="AH28:AH38" si="4">ROUND(SUM(X28)-SUM(AD28),1)</f>
        <v>865.6</v>
      </c>
      <c r="AI28" s="1332"/>
      <c r="AJ28" s="1896">
        <f t="shared" ref="AJ28:AJ38" si="5">ROUND(AH28/AD28,3)</f>
        <v>6.4000000000000001E-2</v>
      </c>
      <c r="AK28" s="1896"/>
      <c r="AL28" s="1872"/>
      <c r="AM28" s="1897"/>
    </row>
    <row r="29" spans="1:39" ht="18" customHeight="1">
      <c r="A29" s="1347" t="s">
        <v>305</v>
      </c>
      <c r="B29" s="1346"/>
      <c r="C29" s="291"/>
      <c r="D29" s="258">
        <f>'Exhibit F'!R30</f>
        <v>0</v>
      </c>
      <c r="E29" s="1898"/>
      <c r="F29" s="258">
        <f>'Exhibit F'!AC30</f>
        <v>0</v>
      </c>
      <c r="G29" s="258"/>
      <c r="H29" s="258">
        <f>'Exhibit G'!R21</f>
        <v>9.9999999999996092E-2</v>
      </c>
      <c r="I29" s="1898"/>
      <c r="J29" s="258">
        <f>'Exhibit G'!AE21</f>
        <v>27.2</v>
      </c>
      <c r="K29" s="258"/>
      <c r="L29" s="260">
        <v>0</v>
      </c>
      <c r="M29" s="1898"/>
      <c r="N29" s="260">
        <v>0</v>
      </c>
      <c r="O29" s="258"/>
      <c r="P29" s="518">
        <f>'Exhibit I'!S18</f>
        <v>0.10000000000000142</v>
      </c>
      <c r="Q29" s="258"/>
      <c r="R29" s="518">
        <f>'Exhibit I'!AF18</f>
        <v>60.1</v>
      </c>
      <c r="S29" s="258"/>
      <c r="T29" s="1899"/>
      <c r="U29" s="1899"/>
      <c r="V29" s="1898">
        <f t="shared" si="2"/>
        <v>0.19999999999999751</v>
      </c>
      <c r="W29" s="258"/>
      <c r="X29" s="1898">
        <f t="shared" si="3"/>
        <v>87.3</v>
      </c>
      <c r="Y29" s="1900"/>
      <c r="Z29" s="1901"/>
      <c r="AA29" s="258"/>
      <c r="AB29" s="518">
        <v>0</v>
      </c>
      <c r="AC29" s="258"/>
      <c r="AD29" s="1898">
        <f>'Cashflow Governmental'!AE33</f>
        <v>81.599999999999994</v>
      </c>
      <c r="AE29" s="1898"/>
      <c r="AF29" s="1975"/>
      <c r="AG29" s="1900"/>
      <c r="AH29" s="1898">
        <f t="shared" si="4"/>
        <v>5.7</v>
      </c>
      <c r="AI29" s="1333"/>
      <c r="AJ29" s="1896">
        <f t="shared" si="5"/>
        <v>7.0000000000000007E-2</v>
      </c>
      <c r="AK29" s="1896"/>
      <c r="AL29" s="1872"/>
      <c r="AM29" s="1897"/>
    </row>
    <row r="30" spans="1:39" ht="18" customHeight="1">
      <c r="A30" s="1346" t="s">
        <v>306</v>
      </c>
      <c r="B30" s="1346"/>
      <c r="C30" s="1346"/>
      <c r="D30" s="258">
        <f>'Exhibit F'!R31</f>
        <v>17.900000000000002</v>
      </c>
      <c r="E30" s="258"/>
      <c r="F30" s="258">
        <f>'Exhibit F'!AC31</f>
        <v>165.5</v>
      </c>
      <c r="G30" s="258"/>
      <c r="H30" s="258">
        <f>'Exhibit G'!R22</f>
        <v>39.200000000000017</v>
      </c>
      <c r="I30" s="1898"/>
      <c r="J30" s="258">
        <f>'Exhibit G'!AE22</f>
        <v>371.7</v>
      </c>
      <c r="K30" s="258"/>
      <c r="L30" s="260">
        <v>0</v>
      </c>
      <c r="M30" s="1898"/>
      <c r="N30" s="260">
        <v>0</v>
      </c>
      <c r="O30" s="258"/>
      <c r="P30" s="260">
        <v>0</v>
      </c>
      <c r="Q30" s="1898"/>
      <c r="R30" s="260">
        <v>0</v>
      </c>
      <c r="S30" s="258"/>
      <c r="T30" s="1899"/>
      <c r="U30" s="1899"/>
      <c r="V30" s="1898">
        <f t="shared" si="2"/>
        <v>57.100000000000023</v>
      </c>
      <c r="W30" s="258"/>
      <c r="X30" s="1898">
        <f t="shared" si="3"/>
        <v>537.20000000000005</v>
      </c>
      <c r="Y30" s="1900"/>
      <c r="Z30" s="1901"/>
      <c r="AA30" s="258"/>
      <c r="AB30" s="518">
        <v>59.1</v>
      </c>
      <c r="AC30" s="258"/>
      <c r="AD30" s="1898">
        <f>'Cashflow Governmental'!AE34</f>
        <v>582</v>
      </c>
      <c r="AE30" s="518"/>
      <c r="AF30" s="1976"/>
      <c r="AG30" s="1900"/>
      <c r="AH30" s="1898">
        <f t="shared" si="4"/>
        <v>-44.8</v>
      </c>
      <c r="AI30" s="1332"/>
      <c r="AJ30" s="1896">
        <f t="shared" si="5"/>
        <v>-7.6999999999999999E-2</v>
      </c>
      <c r="AK30" s="1896"/>
      <c r="AL30" s="1872"/>
      <c r="AM30" s="1897"/>
    </row>
    <row r="31" spans="1:39" ht="18" customHeight="1">
      <c r="A31" s="1346" t="s">
        <v>307</v>
      </c>
      <c r="B31" s="258"/>
      <c r="C31" s="1346"/>
      <c r="D31" s="258">
        <v>0</v>
      </c>
      <c r="E31" s="258"/>
      <c r="F31" s="258">
        <v>0</v>
      </c>
      <c r="G31" s="258"/>
      <c r="H31" s="258">
        <f>'Exhibit G'!R23</f>
        <v>5.3000000000000158</v>
      </c>
      <c r="I31" s="1898"/>
      <c r="J31" s="258">
        <f>'Exhibit G'!AE23</f>
        <v>96.4</v>
      </c>
      <c r="K31" s="258"/>
      <c r="L31" s="260">
        <v>0</v>
      </c>
      <c r="M31" s="1898"/>
      <c r="N31" s="260">
        <v>0</v>
      </c>
      <c r="O31" s="258"/>
      <c r="P31" s="260">
        <v>0</v>
      </c>
      <c r="Q31" s="1898"/>
      <c r="R31" s="260">
        <v>0</v>
      </c>
      <c r="S31" s="258"/>
      <c r="T31" s="1899"/>
      <c r="U31" s="1899"/>
      <c r="V31" s="1898">
        <f>SUM(D31)+SUM(H31)+SUM(L31)+SUM(P31)</f>
        <v>5.3000000000000158</v>
      </c>
      <c r="W31" s="258"/>
      <c r="X31" s="1898">
        <f>SUM(F31)+SUM(J31)+SUM(N31)+SUM(R31)</f>
        <v>96.4</v>
      </c>
      <c r="Y31" s="1900"/>
      <c r="Z31" s="1901"/>
      <c r="AA31" s="258"/>
      <c r="AB31" s="518">
        <v>1.2</v>
      </c>
      <c r="AC31" s="258"/>
      <c r="AD31" s="1898">
        <f>'Cashflow Governmental'!AE35</f>
        <v>54.1</v>
      </c>
      <c r="AE31" s="518"/>
      <c r="AF31" s="1976"/>
      <c r="AG31" s="1900"/>
      <c r="AH31" s="1898">
        <f>ROUND(SUM(X31)-SUM(AD31),1)</f>
        <v>42.3</v>
      </c>
      <c r="AI31" s="1332"/>
      <c r="AJ31" s="271">
        <f>ROUND(IF(AD31=0,0,AH31/(AD31)),3)</f>
        <v>0.78200000000000003</v>
      </c>
      <c r="AK31" s="1896"/>
      <c r="AL31" s="1872"/>
      <c r="AM31" s="1897"/>
    </row>
    <row r="32" spans="1:39" ht="18" customHeight="1">
      <c r="A32" s="1346" t="s">
        <v>308</v>
      </c>
      <c r="B32" s="1346"/>
      <c r="C32" s="1346"/>
      <c r="D32" s="258">
        <f>'Exhibit F'!R32</f>
        <v>0</v>
      </c>
      <c r="E32" s="1898"/>
      <c r="F32" s="258">
        <f>'Exhibit F'!AC32</f>
        <v>0</v>
      </c>
      <c r="G32" s="258"/>
      <c r="H32" s="258">
        <f>'Exhibit G'!R24</f>
        <v>8.4000000000000075</v>
      </c>
      <c r="I32" s="1898"/>
      <c r="J32" s="258">
        <f>'Exhibit G'!AE24</f>
        <v>70.7</v>
      </c>
      <c r="K32" s="258"/>
      <c r="L32" s="260">
        <v>0</v>
      </c>
      <c r="M32" s="1898"/>
      <c r="N32" s="260">
        <v>0</v>
      </c>
      <c r="O32" s="258"/>
      <c r="P32" s="258">
        <f>'Exhibit I'!S19</f>
        <v>29.899999999999988</v>
      </c>
      <c r="Q32" s="1898"/>
      <c r="R32" s="258">
        <f>'Exhibit I'!AF19</f>
        <v>260.39999999999998</v>
      </c>
      <c r="S32" s="258"/>
      <c r="T32" s="1899"/>
      <c r="U32" s="1899"/>
      <c r="V32" s="1898">
        <f t="shared" si="2"/>
        <v>38.299999999999997</v>
      </c>
      <c r="W32" s="258"/>
      <c r="X32" s="1898">
        <f t="shared" si="3"/>
        <v>331.09999999999997</v>
      </c>
      <c r="Y32" s="258"/>
      <c r="Z32" s="1901"/>
      <c r="AA32" s="258"/>
      <c r="AB32" s="518">
        <v>43</v>
      </c>
      <c r="AC32" s="258"/>
      <c r="AD32" s="1898">
        <f>'Cashflow Governmental'!AE36</f>
        <v>333.7</v>
      </c>
      <c r="AE32" s="1898"/>
      <c r="AF32" s="1976"/>
      <c r="AG32" s="258"/>
      <c r="AH32" s="1898">
        <f t="shared" si="4"/>
        <v>-2.6</v>
      </c>
      <c r="AI32" s="1327"/>
      <c r="AJ32" s="1896">
        <f t="shared" si="5"/>
        <v>-8.0000000000000002E-3</v>
      </c>
      <c r="AK32" s="1896"/>
      <c r="AL32" s="1872"/>
      <c r="AM32" s="1897"/>
    </row>
    <row r="33" spans="1:39" ht="18" customHeight="1">
      <c r="A33" s="427" t="s">
        <v>309</v>
      </c>
      <c r="B33" s="1346"/>
      <c r="C33" s="1346"/>
      <c r="D33" s="258">
        <f>'Exhibit F'!R33</f>
        <v>0</v>
      </c>
      <c r="E33" s="1898"/>
      <c r="F33" s="258">
        <f>'Exhibit F'!AC33</f>
        <v>0.8</v>
      </c>
      <c r="G33" s="258"/>
      <c r="H33" s="258">
        <f>'Exhibit G'!R25</f>
        <v>0</v>
      </c>
      <c r="I33" s="1898"/>
      <c r="J33" s="258">
        <f>'Exhibit G'!AE25</f>
        <v>0</v>
      </c>
      <c r="K33" s="258"/>
      <c r="L33" s="260">
        <v>0</v>
      </c>
      <c r="M33" s="1898"/>
      <c r="N33" s="260">
        <v>0</v>
      </c>
      <c r="O33" s="258"/>
      <c r="P33" s="258">
        <v>0</v>
      </c>
      <c r="Q33" s="1898"/>
      <c r="R33" s="258">
        <v>0</v>
      </c>
      <c r="S33" s="258"/>
      <c r="T33" s="1899"/>
      <c r="U33" s="1899"/>
      <c r="V33" s="1898">
        <f t="shared" si="2"/>
        <v>0</v>
      </c>
      <c r="W33" s="258"/>
      <c r="X33" s="1898">
        <f t="shared" si="3"/>
        <v>0.8</v>
      </c>
      <c r="Y33" s="258"/>
      <c r="Z33" s="1901"/>
      <c r="AA33" s="258"/>
      <c r="AB33" s="518">
        <v>0.1</v>
      </c>
      <c r="AC33" s="258"/>
      <c r="AD33" s="1898">
        <f>'Cashflow Governmental'!AE37</f>
        <v>1.2</v>
      </c>
      <c r="AE33" s="1898"/>
      <c r="AF33" s="1976"/>
      <c r="AG33" s="258"/>
      <c r="AH33" s="1898">
        <f t="shared" ref="AH33" si="6">ROUND(SUM(X33)-SUM(AD33),1)</f>
        <v>-0.4</v>
      </c>
      <c r="AI33" s="1327"/>
      <c r="AJ33" s="1896">
        <f t="shared" si="5"/>
        <v>-0.33300000000000002</v>
      </c>
      <c r="AK33" s="1896"/>
      <c r="AL33" s="1872"/>
      <c r="AM33" s="1897"/>
    </row>
    <row r="34" spans="1:39" ht="18" customHeight="1">
      <c r="A34" s="1346" t="s">
        <v>310</v>
      </c>
      <c r="B34" s="1346"/>
      <c r="C34" s="1346"/>
      <c r="D34" s="258">
        <f>'Exhibit F'!R34</f>
        <v>22.099999999999984</v>
      </c>
      <c r="E34" s="258"/>
      <c r="F34" s="258">
        <f>'Exhibit F'!AC34</f>
        <v>185</v>
      </c>
      <c r="G34" s="258"/>
      <c r="H34" s="258">
        <f>'Exhibit G'!R26</f>
        <v>0</v>
      </c>
      <c r="I34" s="1898"/>
      <c r="J34" s="258">
        <f>'Exhibit G'!AE26</f>
        <v>0</v>
      </c>
      <c r="K34" s="258"/>
      <c r="L34" s="260">
        <v>0</v>
      </c>
      <c r="M34" s="1898"/>
      <c r="N34" s="260">
        <v>0</v>
      </c>
      <c r="O34" s="258"/>
      <c r="P34" s="260">
        <v>0</v>
      </c>
      <c r="Q34" s="1898"/>
      <c r="R34" s="260">
        <v>0</v>
      </c>
      <c r="S34" s="258"/>
      <c r="T34" s="1899"/>
      <c r="U34" s="1899"/>
      <c r="V34" s="1898">
        <f t="shared" si="2"/>
        <v>22.099999999999984</v>
      </c>
      <c r="W34" s="258"/>
      <c r="X34" s="1898">
        <f t="shared" si="3"/>
        <v>185</v>
      </c>
      <c r="Y34" s="1900"/>
      <c r="Z34" s="1901"/>
      <c r="AA34" s="258"/>
      <c r="AB34" s="518">
        <v>24.4</v>
      </c>
      <c r="AC34" s="258"/>
      <c r="AD34" s="1898">
        <f>'Cashflow Governmental'!AE38</f>
        <v>184.6</v>
      </c>
      <c r="AE34" s="1898"/>
      <c r="AF34" s="1976"/>
      <c r="AG34" s="1900"/>
      <c r="AH34" s="1898">
        <f t="shared" si="4"/>
        <v>0.4</v>
      </c>
      <c r="AI34" s="1332"/>
      <c r="AJ34" s="271">
        <f t="shared" ref="AJ34:AJ35" si="7">ROUND(IF(AD34=0,1,AH34/(AD34)),3)</f>
        <v>2E-3</v>
      </c>
      <c r="AK34" s="1896"/>
      <c r="AL34" s="1872"/>
      <c r="AM34" s="1897"/>
    </row>
    <row r="35" spans="1:39" ht="18" customHeight="1">
      <c r="A35" s="1346" t="s">
        <v>311</v>
      </c>
      <c r="B35" s="1346"/>
      <c r="C35" s="1346"/>
      <c r="D35" s="258">
        <f>'Exhibit F'!R35</f>
        <v>0</v>
      </c>
      <c r="E35" s="1898"/>
      <c r="F35" s="258">
        <f>'Exhibit F'!AC35</f>
        <v>0</v>
      </c>
      <c r="G35" s="258"/>
      <c r="H35" s="258">
        <f>'Exhibit G'!R27</f>
        <v>0</v>
      </c>
      <c r="I35" s="1898"/>
      <c r="J35" s="258">
        <f>'Exhibit G'!AE27</f>
        <v>0.4</v>
      </c>
      <c r="K35" s="258"/>
      <c r="L35" s="260">
        <v>0</v>
      </c>
      <c r="M35" s="1898"/>
      <c r="N35" s="260">
        <v>0</v>
      </c>
      <c r="O35" s="258"/>
      <c r="P35" s="258">
        <f>'Exhibit I'!S20</f>
        <v>9.3000000000000096</v>
      </c>
      <c r="Q35" s="1898"/>
      <c r="R35" s="258">
        <f>'Exhibit I'!AF20</f>
        <v>86.4</v>
      </c>
      <c r="S35" s="258"/>
      <c r="T35" s="1899"/>
      <c r="U35" s="1899"/>
      <c r="V35" s="1898">
        <f>SUM(D35)+SUM(H35)+SUM(L35)+SUM(P35)</f>
        <v>9.3000000000000096</v>
      </c>
      <c r="W35" s="258"/>
      <c r="X35" s="1898">
        <f t="shared" si="3"/>
        <v>86.800000000000011</v>
      </c>
      <c r="Y35" s="1900"/>
      <c r="Z35" s="1901"/>
      <c r="AA35" s="258"/>
      <c r="AB35" s="518">
        <v>9.6999999999999993</v>
      </c>
      <c r="AC35" s="258"/>
      <c r="AD35" s="1898">
        <f>'Cashflow Governmental'!AE39</f>
        <v>88.5</v>
      </c>
      <c r="AE35" s="518"/>
      <c r="AF35" s="1976"/>
      <c r="AG35" s="1900"/>
      <c r="AH35" s="260">
        <f t="shared" si="4"/>
        <v>-1.7</v>
      </c>
      <c r="AI35" s="1333"/>
      <c r="AJ35" s="271">
        <f t="shared" si="7"/>
        <v>-1.9E-2</v>
      </c>
      <c r="AK35" s="1896"/>
      <c r="AL35" s="1872"/>
      <c r="AM35" s="1897"/>
    </row>
    <row r="36" spans="1:39" ht="18" customHeight="1">
      <c r="A36" s="1346" t="s">
        <v>312</v>
      </c>
      <c r="B36" s="1346"/>
      <c r="C36" s="1346"/>
      <c r="D36" s="258">
        <f>'Exhibit F'!R36</f>
        <v>0</v>
      </c>
      <c r="E36" s="1898"/>
      <c r="F36" s="258">
        <f>'Exhibit F'!AC36</f>
        <v>0</v>
      </c>
      <c r="G36" s="258"/>
      <c r="H36" s="258">
        <f>'Exhibit G'!R28</f>
        <v>9.9999999999999811E-2</v>
      </c>
      <c r="I36" s="1898"/>
      <c r="J36" s="258">
        <f>'Exhibit G'!AE28</f>
        <v>10.199999999999999</v>
      </c>
      <c r="K36" s="258"/>
      <c r="L36" s="260">
        <v>0</v>
      </c>
      <c r="M36" s="1898"/>
      <c r="N36" s="260">
        <v>0</v>
      </c>
      <c r="O36" s="258"/>
      <c r="P36" s="258">
        <v>0</v>
      </c>
      <c r="Q36" s="1898"/>
      <c r="R36" s="258">
        <v>0</v>
      </c>
      <c r="S36" s="258"/>
      <c r="T36" s="1899"/>
      <c r="U36" s="1899"/>
      <c r="V36" s="1898">
        <f>SUM(D36)+SUM(H36)+SUM(L36)+SUM(P36)</f>
        <v>9.9999999999999811E-2</v>
      </c>
      <c r="W36" s="258"/>
      <c r="X36" s="1898">
        <f>SUM(F36)+SUM(J36)+SUM(N36)+SUM(R36)</f>
        <v>10.199999999999999</v>
      </c>
      <c r="Y36" s="1900"/>
      <c r="Z36" s="1901"/>
      <c r="AA36" s="258"/>
      <c r="AB36" s="518">
        <v>0.1</v>
      </c>
      <c r="AC36" s="258"/>
      <c r="AD36" s="1898">
        <f>'Cashflow Governmental'!AE40</f>
        <v>10.9</v>
      </c>
      <c r="AE36" s="518"/>
      <c r="AF36" s="1976"/>
      <c r="AG36" s="1900"/>
      <c r="AH36" s="260">
        <f>ROUND(SUM(X36)-SUM(AD36),1)</f>
        <v>-0.7</v>
      </c>
      <c r="AI36" s="1333"/>
      <c r="AJ36" s="271">
        <f>ROUND(IF(AD36=0,1,AH36/(AD36)),3)</f>
        <v>-6.4000000000000001E-2</v>
      </c>
      <c r="AK36" s="1896"/>
      <c r="AL36" s="1872"/>
      <c r="AM36" s="1897"/>
    </row>
    <row r="37" spans="1:39" ht="18" customHeight="1">
      <c r="A37" s="1346" t="s">
        <v>313</v>
      </c>
      <c r="B37" s="1346"/>
      <c r="C37" s="1346"/>
      <c r="D37" s="258">
        <f>'Exhibit F'!R37</f>
        <v>9.9999999999999645E-2</v>
      </c>
      <c r="E37" s="1898"/>
      <c r="F37" s="258">
        <f>'Exhibit F'!AC37</f>
        <v>17.3</v>
      </c>
      <c r="G37" s="258"/>
      <c r="H37" s="258">
        <v>0</v>
      </c>
      <c r="I37" s="1898"/>
      <c r="J37" s="258">
        <v>0</v>
      </c>
      <c r="K37" s="258"/>
      <c r="L37" s="260">
        <v>0</v>
      </c>
      <c r="M37" s="1898"/>
      <c r="N37" s="260">
        <v>0</v>
      </c>
      <c r="O37" s="258"/>
      <c r="P37" s="258">
        <v>0</v>
      </c>
      <c r="Q37" s="1898"/>
      <c r="R37" s="258">
        <v>0</v>
      </c>
      <c r="S37" s="258"/>
      <c r="T37" s="1899"/>
      <c r="U37" s="1899"/>
      <c r="V37" s="1898">
        <f>SUM(D37)+SUM(H37)+SUM(L37)+SUM(P37)</f>
        <v>9.9999999999999645E-2</v>
      </c>
      <c r="W37" s="258"/>
      <c r="X37" s="1898">
        <f t="shared" ref="X37" si="8">SUM(F37)+SUM(J37)+SUM(N37)+SUM(R37)</f>
        <v>17.3</v>
      </c>
      <c r="Y37" s="1900"/>
      <c r="Z37" s="1901"/>
      <c r="AA37" s="258"/>
      <c r="AB37" s="518">
        <v>0.5</v>
      </c>
      <c r="AC37" s="258"/>
      <c r="AD37" s="1898">
        <f>'Cashflow Governmental'!AE41</f>
        <v>15.6</v>
      </c>
      <c r="AE37" s="518"/>
      <c r="AF37" s="1976"/>
      <c r="AG37" s="1900"/>
      <c r="AH37" s="260">
        <f t="shared" ref="AH37" si="9">ROUND(SUM(X37)-SUM(AD37),1)</f>
        <v>1.7</v>
      </c>
      <c r="AI37" s="1333"/>
      <c r="AJ37" s="271">
        <f>ROUND(IF(AD37=0,1,AH37/(AD37)),3)</f>
        <v>0.109</v>
      </c>
      <c r="AK37" s="1896"/>
      <c r="AL37" s="1872"/>
      <c r="AM37" s="1897"/>
    </row>
    <row r="38" spans="1:39" ht="18" customHeight="1">
      <c r="A38" s="1345" t="s">
        <v>314</v>
      </c>
      <c r="B38" s="1346"/>
      <c r="C38" s="1346"/>
      <c r="D38" s="1026">
        <f>ROUND(SUM(D28:D37),1)</f>
        <v>853.4</v>
      </c>
      <c r="E38" s="1"/>
      <c r="F38" s="1026">
        <f>ROUND(SUM(F28:F37),1)</f>
        <v>7044.3</v>
      </c>
      <c r="G38" s="1"/>
      <c r="H38" s="1026">
        <f>ROUND(SUM(H28:H37),1)</f>
        <v>168.3</v>
      </c>
      <c r="I38" s="1"/>
      <c r="J38" s="1026">
        <f>ROUND(SUM(J28:J37),1)</f>
        <v>1546.8</v>
      </c>
      <c r="K38" s="1"/>
      <c r="L38" s="1026">
        <f>ROUND(SUM(L28:L37),1)</f>
        <v>813.1</v>
      </c>
      <c r="M38" s="1"/>
      <c r="N38" s="1026">
        <f>ROUND(SUM(N28:N37),1)</f>
        <v>6671.7</v>
      </c>
      <c r="O38" s="1"/>
      <c r="P38" s="1026">
        <f>ROUND(SUM(P28:P37),1)</f>
        <v>39.299999999999997</v>
      </c>
      <c r="Q38" s="1"/>
      <c r="R38" s="1026">
        <f>ROUND(SUM(R28:R37),1)</f>
        <v>406.9</v>
      </c>
      <c r="S38" s="1"/>
      <c r="T38" s="1904"/>
      <c r="U38" s="1904"/>
      <c r="V38" s="1026">
        <f>ROUND(SUM(V28:V37),1)</f>
        <v>1874.1</v>
      </c>
      <c r="W38" s="1"/>
      <c r="X38" s="1026">
        <f>ROUND(SUM(X28:X37),1)</f>
        <v>15669.7</v>
      </c>
      <c r="Y38" s="1920"/>
      <c r="Z38" s="1907"/>
      <c r="AA38" s="1"/>
      <c r="AB38" s="1026">
        <f>ROUND(SUM(AB28:AB37),1)</f>
        <v>1746.8</v>
      </c>
      <c r="AC38" s="1"/>
      <c r="AD38" s="1026">
        <f>ROUND(SUM(AD28:AD37),1)</f>
        <v>14804.2</v>
      </c>
      <c r="AE38" s="1"/>
      <c r="AF38" s="1977"/>
      <c r="AG38" s="1"/>
      <c r="AH38" s="1917">
        <f t="shared" si="4"/>
        <v>865.5</v>
      </c>
      <c r="AI38" s="1328"/>
      <c r="AJ38" s="1918">
        <f t="shared" si="5"/>
        <v>5.8000000000000003E-2</v>
      </c>
      <c r="AK38" s="1910"/>
      <c r="AL38" s="1911"/>
      <c r="AM38" s="1897"/>
    </row>
    <row r="39" spans="1:39" ht="18" customHeight="1">
      <c r="A39" s="1346"/>
      <c r="B39" s="1346"/>
      <c r="C39" s="1346"/>
      <c r="D39" s="1366"/>
      <c r="E39" s="258"/>
      <c r="F39" s="1366"/>
      <c r="G39" s="258"/>
      <c r="H39" s="1366"/>
      <c r="I39" s="258"/>
      <c r="J39" s="1366"/>
      <c r="K39" s="258"/>
      <c r="L39" s="1366"/>
      <c r="M39" s="258"/>
      <c r="N39" s="1366"/>
      <c r="O39" s="258"/>
      <c r="P39" s="1366"/>
      <c r="Q39" s="258"/>
      <c r="R39" s="1366"/>
      <c r="S39" s="258"/>
      <c r="T39" s="1899"/>
      <c r="U39" s="1899"/>
      <c r="V39" s="1366"/>
      <c r="W39" s="258"/>
      <c r="X39" s="1366"/>
      <c r="Y39" s="258"/>
      <c r="Z39" s="1901"/>
      <c r="AA39" s="258"/>
      <c r="AB39" s="1366"/>
      <c r="AC39" s="258"/>
      <c r="AD39" s="1366"/>
      <c r="AE39" s="258"/>
      <c r="AF39" s="1976"/>
      <c r="AG39" s="258"/>
      <c r="AH39" s="258"/>
      <c r="AI39" s="1327"/>
      <c r="AJ39" s="1919"/>
      <c r="AK39" s="1914"/>
      <c r="AL39" s="1872"/>
      <c r="AM39" s="1897"/>
    </row>
    <row r="40" spans="1:39" ht="18" customHeight="1">
      <c r="A40" s="1345" t="s">
        <v>315</v>
      </c>
      <c r="B40" s="1346"/>
      <c r="C40" s="1346"/>
      <c r="D40" s="258"/>
      <c r="E40" s="258"/>
      <c r="F40" s="258"/>
      <c r="G40" s="258"/>
      <c r="H40" s="258"/>
      <c r="I40" s="258"/>
      <c r="J40" s="258"/>
      <c r="K40" s="258"/>
      <c r="L40" s="258"/>
      <c r="M40" s="258"/>
      <c r="N40" s="258"/>
      <c r="O40" s="258"/>
      <c r="P40" s="258"/>
      <c r="Q40" s="258"/>
      <c r="R40" s="258"/>
      <c r="S40" s="258"/>
      <c r="T40" s="1899"/>
      <c r="U40" s="1899"/>
      <c r="V40" s="258"/>
      <c r="W40" s="258"/>
      <c r="X40" s="258"/>
      <c r="Y40" s="258"/>
      <c r="Z40" s="1901"/>
      <c r="AA40" s="258"/>
      <c r="AB40" s="537"/>
      <c r="AC40" s="258"/>
      <c r="AD40" s="537"/>
      <c r="AE40" s="258"/>
      <c r="AF40" s="1976"/>
      <c r="AG40" s="258"/>
      <c r="AH40" s="258"/>
      <c r="AI40" s="1327"/>
      <c r="AJ40" s="1896"/>
      <c r="AK40" s="1914"/>
      <c r="AL40" s="1872"/>
      <c r="AM40" s="1897"/>
    </row>
    <row r="41" spans="1:39" ht="18" customHeight="1">
      <c r="A41" s="1346" t="s">
        <v>316</v>
      </c>
      <c r="B41" s="1346"/>
      <c r="C41" s="1346"/>
      <c r="D41" s="258">
        <f>'Exhibit F'!R40</f>
        <v>-6.1999999999998181</v>
      </c>
      <c r="E41" s="258"/>
      <c r="F41" s="258">
        <f>'Exhibit F'!AC40</f>
        <v>3381.7</v>
      </c>
      <c r="G41" s="258"/>
      <c r="H41" s="258">
        <f>'Exhibit G'!R31</f>
        <v>32.5</v>
      </c>
      <c r="I41" s="258"/>
      <c r="J41" s="258">
        <f>'Exhibit G'!AE31</f>
        <v>964.5</v>
      </c>
      <c r="K41" s="258"/>
      <c r="L41" s="260">
        <v>0</v>
      </c>
      <c r="M41" s="1898"/>
      <c r="N41" s="260">
        <v>0</v>
      </c>
      <c r="O41" s="258"/>
      <c r="P41" s="260">
        <f>'Exhibit I'!S23</f>
        <v>0</v>
      </c>
      <c r="Q41" s="1898"/>
      <c r="R41" s="260">
        <f>'Exhibit I'!AF23</f>
        <v>0</v>
      </c>
      <c r="S41" s="258"/>
      <c r="T41" s="1899"/>
      <c r="U41" s="1899"/>
      <c r="V41" s="1898">
        <f t="shared" ref="V41:V46" si="10">SUM(D41)+SUM(H41)+SUM(L41)+SUM(P41)</f>
        <v>26.300000000000182</v>
      </c>
      <c r="W41" s="258"/>
      <c r="X41" s="1898">
        <f t="shared" ref="X41:X46" si="11">SUM(F41)+SUM(J41)+SUM(N41)+SUM(R41)</f>
        <v>4346.2</v>
      </c>
      <c r="Y41" s="258"/>
      <c r="Z41" s="1901"/>
      <c r="AA41" s="258"/>
      <c r="AB41" s="518">
        <v>-8.6</v>
      </c>
      <c r="AC41" s="258"/>
      <c r="AD41" s="518">
        <f>'Cashflow Governmental'!AE44</f>
        <v>4676.8</v>
      </c>
      <c r="AE41" s="1898"/>
      <c r="AF41" s="1976"/>
      <c r="AG41" s="258"/>
      <c r="AH41" s="1898">
        <f t="shared" ref="AH41:AH47" si="12">ROUND(SUM(X41)-SUM(AD41),1)</f>
        <v>-330.6</v>
      </c>
      <c r="AI41" s="1332"/>
      <c r="AJ41" s="1896">
        <f t="shared" ref="AJ41:AJ47" si="13">ROUND(AH41/AD41,3)</f>
        <v>-7.0999999999999994E-2</v>
      </c>
      <c r="AK41" s="1896"/>
      <c r="AL41" s="1872"/>
      <c r="AM41" s="1897"/>
    </row>
    <row r="42" spans="1:39" ht="18" customHeight="1">
      <c r="A42" s="1346" t="s">
        <v>317</v>
      </c>
      <c r="B42" s="1346"/>
      <c r="C42" s="1346"/>
      <c r="D42" s="258">
        <f>'Exhibit F'!R41</f>
        <v>16.299999999999979</v>
      </c>
      <c r="E42" s="258"/>
      <c r="F42" s="258">
        <f>'Exhibit F'!AC41</f>
        <v>173.7</v>
      </c>
      <c r="G42" s="258"/>
      <c r="H42" s="258">
        <f>'Exhibit G'!R32</f>
        <v>6.6999999999999957</v>
      </c>
      <c r="I42" s="258"/>
      <c r="J42" s="1898">
        <f>'Exhibit G'!AE32</f>
        <v>61.4</v>
      </c>
      <c r="K42" s="258"/>
      <c r="L42" s="260">
        <v>0</v>
      </c>
      <c r="M42" s="1898"/>
      <c r="N42" s="260">
        <v>0</v>
      </c>
      <c r="O42" s="258"/>
      <c r="P42" s="258">
        <f>'Exhibit I'!S24</f>
        <v>0.70000000000000018</v>
      </c>
      <c r="Q42" s="1898"/>
      <c r="R42" s="258">
        <f>'Exhibit I'!AF24</f>
        <v>5.3</v>
      </c>
      <c r="S42" s="258"/>
      <c r="T42" s="1899"/>
      <c r="U42" s="1899"/>
      <c r="V42" s="1898">
        <f t="shared" si="10"/>
        <v>23.699999999999974</v>
      </c>
      <c r="W42" s="258"/>
      <c r="X42" s="1898">
        <f t="shared" si="11"/>
        <v>240.4</v>
      </c>
      <c r="Y42" s="258"/>
      <c r="Z42" s="1901"/>
      <c r="AA42" s="258"/>
      <c r="AB42" s="518">
        <v>0.9</v>
      </c>
      <c r="AC42" s="258"/>
      <c r="AD42" s="518">
        <f>'Cashflow Governmental'!AE45</f>
        <v>235.70000000000002</v>
      </c>
      <c r="AE42" s="1898"/>
      <c r="AF42" s="1976"/>
      <c r="AG42" s="258"/>
      <c r="AH42" s="1898">
        <f t="shared" si="12"/>
        <v>4.7</v>
      </c>
      <c r="AI42" s="1332"/>
      <c r="AJ42" s="1921">
        <f t="shared" si="13"/>
        <v>0.02</v>
      </c>
      <c r="AK42" s="1896"/>
      <c r="AL42" s="1872"/>
      <c r="AM42" s="1897"/>
    </row>
    <row r="43" spans="1:39" ht="18" customHeight="1">
      <c r="A43" s="1346" t="s">
        <v>318</v>
      </c>
      <c r="B43" s="1346"/>
      <c r="C43" s="1346"/>
      <c r="D43" s="258">
        <f>'Exhibit F'!R42</f>
        <v>4.9999999999999716</v>
      </c>
      <c r="E43" s="258"/>
      <c r="F43" s="258">
        <f>'Exhibit F'!AC42</f>
        <v>1015.3</v>
      </c>
      <c r="G43" s="258"/>
      <c r="H43" s="258">
        <f>'Exhibit G'!R33</f>
        <v>0.40000000000000302</v>
      </c>
      <c r="I43" s="258"/>
      <c r="J43" s="258">
        <f>'Exhibit G'!AE33</f>
        <v>96.8</v>
      </c>
      <c r="K43" s="258"/>
      <c r="L43" s="260">
        <v>0</v>
      </c>
      <c r="M43" s="1898"/>
      <c r="N43" s="260">
        <v>0</v>
      </c>
      <c r="O43" s="258"/>
      <c r="P43" s="260">
        <v>0</v>
      </c>
      <c r="Q43" s="1898"/>
      <c r="R43" s="260">
        <v>0</v>
      </c>
      <c r="S43" s="258"/>
      <c r="T43" s="1899"/>
      <c r="U43" s="1899"/>
      <c r="V43" s="1898">
        <f t="shared" si="10"/>
        <v>5.3999999999999746</v>
      </c>
      <c r="W43" s="258"/>
      <c r="X43" s="1898">
        <f t="shared" si="11"/>
        <v>1112.0999999999999</v>
      </c>
      <c r="Y43" s="258"/>
      <c r="Z43" s="1901"/>
      <c r="AA43" s="258"/>
      <c r="AB43" s="518">
        <v>7.8999999999999995</v>
      </c>
      <c r="AC43" s="258"/>
      <c r="AD43" s="518">
        <f>'Cashflow Governmental'!AE46</f>
        <v>1267.4000000000001</v>
      </c>
      <c r="AE43" s="1898"/>
      <c r="AF43" s="1976"/>
      <c r="AG43" s="258"/>
      <c r="AH43" s="1898">
        <f t="shared" si="12"/>
        <v>-155.30000000000001</v>
      </c>
      <c r="AI43" s="1332"/>
      <c r="AJ43" s="1896">
        <f>ROUND(AH43/AD43,3)</f>
        <v>-0.123</v>
      </c>
      <c r="AK43" s="1896"/>
      <c r="AL43" s="1872"/>
      <c r="AM43" s="1897"/>
    </row>
    <row r="44" spans="1:39" ht="18" customHeight="1">
      <c r="A44" s="1346" t="s">
        <v>319</v>
      </c>
      <c r="B44" s="1346"/>
      <c r="C44" s="1346"/>
      <c r="D44" s="258">
        <f>'Exhibit F'!R43</f>
        <v>-7.5000000000000053</v>
      </c>
      <c r="E44" s="258"/>
      <c r="F44" s="258">
        <f>'Exhibit F'!AC43</f>
        <v>-21</v>
      </c>
      <c r="G44" s="258"/>
      <c r="H44" s="258">
        <f>'Exhibit G'!R34</f>
        <v>-1.3</v>
      </c>
      <c r="I44" s="258"/>
      <c r="J44" s="258">
        <f>'Exhibit G'!AE34</f>
        <v>-3.8</v>
      </c>
      <c r="K44" s="258"/>
      <c r="L44" s="260">
        <v>0</v>
      </c>
      <c r="M44" s="1898"/>
      <c r="N44" s="260">
        <v>0</v>
      </c>
      <c r="O44" s="258"/>
      <c r="P44" s="260">
        <v>0</v>
      </c>
      <c r="Q44" s="1898"/>
      <c r="R44" s="260">
        <v>0</v>
      </c>
      <c r="S44" s="258"/>
      <c r="T44" s="1899"/>
      <c r="U44" s="1899"/>
      <c r="V44" s="1898">
        <f>ROUND(SUM(D44)+SUM(H44)+SUM(L44)+SUM(P44),1)</f>
        <v>-8.8000000000000007</v>
      </c>
      <c r="W44" s="258"/>
      <c r="X44" s="1898">
        <f t="shared" si="11"/>
        <v>-24.8</v>
      </c>
      <c r="Y44" s="258"/>
      <c r="Z44" s="1901"/>
      <c r="AA44" s="258"/>
      <c r="AB44" s="518">
        <v>0</v>
      </c>
      <c r="AC44" s="258"/>
      <c r="AD44" s="518">
        <f>'Cashflow Governmental'!AE47</f>
        <v>-0.4</v>
      </c>
      <c r="AE44" s="1898"/>
      <c r="AF44" s="1976"/>
      <c r="AG44" s="258"/>
      <c r="AH44" s="1898">
        <f>ROUND(SUM(X44)-SUM(AD44),1)</f>
        <v>-24.4</v>
      </c>
      <c r="AI44" s="1332"/>
      <c r="AJ44" s="2064">
        <f>ROUND(IF(AD44=0,1,AH44/ABS(AD44)),3)</f>
        <v>-61</v>
      </c>
      <c r="AK44" s="1896"/>
      <c r="AL44" s="1872"/>
      <c r="AM44" s="1897"/>
    </row>
    <row r="45" spans="1:39" ht="18" customHeight="1">
      <c r="A45" s="1346" t="s">
        <v>320</v>
      </c>
      <c r="B45" s="1346"/>
      <c r="C45" s="1346"/>
      <c r="D45" s="258">
        <f>'Exhibit F'!R44</f>
        <v>-11.300000000000225</v>
      </c>
      <c r="E45" s="258"/>
      <c r="F45" s="258">
        <f>'Exhibit F'!AC44</f>
        <v>3084.7</v>
      </c>
      <c r="G45" s="258"/>
      <c r="H45" s="258">
        <v>0</v>
      </c>
      <c r="I45" s="258"/>
      <c r="J45" s="258">
        <v>0</v>
      </c>
      <c r="K45" s="258"/>
      <c r="L45" s="260">
        <f>'Exhibit H'!P23</f>
        <v>-11.300000000000466</v>
      </c>
      <c r="M45" s="1898"/>
      <c r="N45" s="260">
        <f>'Exhibit H'!AA23</f>
        <v>3084.7</v>
      </c>
      <c r="O45" s="258"/>
      <c r="P45" s="260">
        <v>0</v>
      </c>
      <c r="Q45" s="1898"/>
      <c r="R45" s="260">
        <v>0</v>
      </c>
      <c r="S45" s="258"/>
      <c r="T45" s="1899"/>
      <c r="U45" s="1899"/>
      <c r="V45" s="1898">
        <f t="shared" si="10"/>
        <v>-22.600000000000691</v>
      </c>
      <c r="W45" s="258"/>
      <c r="X45" s="1898">
        <f t="shared" si="11"/>
        <v>6169.4</v>
      </c>
      <c r="Y45" s="258"/>
      <c r="Z45" s="1901"/>
      <c r="AA45" s="258"/>
      <c r="AB45" s="518">
        <v>108</v>
      </c>
      <c r="AC45" s="258"/>
      <c r="AD45" s="518">
        <f>'Cashflow Governmental'!AE48</f>
        <v>5585.2</v>
      </c>
      <c r="AE45" s="1898"/>
      <c r="AF45" s="1976"/>
      <c r="AG45" s="258"/>
      <c r="AH45" s="1898">
        <f>ROUND(SUM(X45)-SUM(AD45),1)</f>
        <v>584.20000000000005</v>
      </c>
      <c r="AI45" s="1332"/>
      <c r="AJ45" s="271">
        <f>ROUND(IF(AD45=0,1,AH45/(AD45)),3)</f>
        <v>0.105</v>
      </c>
      <c r="AK45" s="1896"/>
      <c r="AL45" s="1872"/>
      <c r="AM45" s="1897"/>
    </row>
    <row r="46" spans="1:39" ht="18" customHeight="1">
      <c r="A46" s="1346" t="s">
        <v>321</v>
      </c>
      <c r="B46" s="1346"/>
      <c r="C46" s="1346"/>
      <c r="D46" s="258">
        <f>'Exhibit F'!R45</f>
        <v>0</v>
      </c>
      <c r="E46" s="1898"/>
      <c r="F46" s="258">
        <f>'Exhibit F'!AC45</f>
        <v>0</v>
      </c>
      <c r="G46" s="258"/>
      <c r="H46" s="258">
        <f>'Exhibit G'!R35</f>
        <v>34.200000000000024</v>
      </c>
      <c r="I46" s="1898"/>
      <c r="J46" s="258">
        <f>'Exhibit G'!AE35</f>
        <v>303.60000000000002</v>
      </c>
      <c r="K46" s="258"/>
      <c r="L46" s="260">
        <v>0</v>
      </c>
      <c r="M46" s="1898"/>
      <c r="N46" s="260">
        <v>0</v>
      </c>
      <c r="O46" s="258"/>
      <c r="P46" s="258">
        <f>'Exhibit I'!S25</f>
        <v>43.699999999999996</v>
      </c>
      <c r="Q46" s="1898"/>
      <c r="R46" s="258">
        <f>'Exhibit I'!AF25</f>
        <v>388.7</v>
      </c>
      <c r="S46" s="258"/>
      <c r="T46" s="1899"/>
      <c r="U46" s="1899"/>
      <c r="V46" s="1898">
        <f t="shared" si="10"/>
        <v>77.90000000000002</v>
      </c>
      <c r="W46" s="258"/>
      <c r="X46" s="1898">
        <f t="shared" si="11"/>
        <v>692.3</v>
      </c>
      <c r="Y46" s="258"/>
      <c r="Z46" s="1901"/>
      <c r="AA46" s="258"/>
      <c r="AB46" s="518">
        <v>92.7</v>
      </c>
      <c r="AC46" s="258"/>
      <c r="AD46" s="518">
        <f>'Cashflow Governmental'!AE49</f>
        <v>738</v>
      </c>
      <c r="AE46" s="1898"/>
      <c r="AF46" s="1976"/>
      <c r="AG46" s="258"/>
      <c r="AH46" s="1898">
        <f t="shared" si="12"/>
        <v>-45.7</v>
      </c>
      <c r="AI46" s="1333"/>
      <c r="AJ46" s="1896">
        <f t="shared" si="13"/>
        <v>-6.2E-2</v>
      </c>
      <c r="AK46" s="1896"/>
      <c r="AL46" s="1872"/>
      <c r="AM46" s="1897"/>
    </row>
    <row r="47" spans="1:39" ht="18" customHeight="1">
      <c r="A47" s="1345" t="s">
        <v>314</v>
      </c>
      <c r="B47" s="1346"/>
      <c r="C47" s="1346"/>
      <c r="D47" s="1026">
        <f>ROUND(SUM(D41:D46),1)</f>
        <v>-3.7</v>
      </c>
      <c r="E47" s="1"/>
      <c r="F47" s="1026">
        <f>ROUND(SUM(F41:F46),1)</f>
        <v>7634.4</v>
      </c>
      <c r="G47" s="1"/>
      <c r="H47" s="1026">
        <f>ROUND(SUM(H41:H46),1)</f>
        <v>72.5</v>
      </c>
      <c r="I47" s="1"/>
      <c r="J47" s="1026">
        <f>ROUND(SUM(J41:J46),1)</f>
        <v>1422.5</v>
      </c>
      <c r="K47" s="1"/>
      <c r="L47" s="2065">
        <f>ROUND(SUM(L41:L46),1)</f>
        <v>-11.3</v>
      </c>
      <c r="M47" s="1903"/>
      <c r="N47" s="2065">
        <f>ROUND(SUM(N41:N46),1)</f>
        <v>3084.7</v>
      </c>
      <c r="O47" s="1"/>
      <c r="P47" s="1026">
        <f>ROUND(SUM(P41:P46),1)</f>
        <v>44.4</v>
      </c>
      <c r="Q47" s="1"/>
      <c r="R47" s="1026">
        <f>ROUND(SUM(R41:R46),1)</f>
        <v>394</v>
      </c>
      <c r="S47" s="1"/>
      <c r="T47" s="1904"/>
      <c r="U47" s="1904"/>
      <c r="V47" s="1026">
        <f>ROUND(SUM(V41:V46),1)</f>
        <v>101.9</v>
      </c>
      <c r="W47" s="1"/>
      <c r="X47" s="1026">
        <f>ROUND(SUM(X41:X46),1)</f>
        <v>12535.6</v>
      </c>
      <c r="Y47" s="1920"/>
      <c r="Z47" s="1907"/>
      <c r="AA47" s="1"/>
      <c r="AB47" s="1026">
        <f>ROUND(SUM(AB41:AB46),1)</f>
        <v>200.9</v>
      </c>
      <c r="AC47" s="1"/>
      <c r="AD47" s="1026">
        <f>ROUND(SUM(AD41:AD46),1)</f>
        <v>12502.7</v>
      </c>
      <c r="AE47" s="1"/>
      <c r="AF47" s="1977"/>
      <c r="AG47" s="1"/>
      <c r="AH47" s="1922">
        <f t="shared" si="12"/>
        <v>32.9</v>
      </c>
      <c r="AI47" s="1328"/>
      <c r="AJ47" s="1918">
        <f t="shared" si="13"/>
        <v>3.0000000000000001E-3</v>
      </c>
      <c r="AK47" s="1910"/>
      <c r="AL47" s="1911"/>
      <c r="AM47" s="1897"/>
    </row>
    <row r="48" spans="1:39" ht="18" customHeight="1">
      <c r="A48" s="1346"/>
      <c r="B48" s="1346"/>
      <c r="C48" s="1346"/>
      <c r="D48" s="1366"/>
      <c r="E48" s="258"/>
      <c r="F48" s="1366"/>
      <c r="G48" s="258"/>
      <c r="H48" s="1366"/>
      <c r="I48" s="258"/>
      <c r="J48" s="1366" t="s">
        <v>103</v>
      </c>
      <c r="K48" s="258"/>
      <c r="L48" s="1366"/>
      <c r="M48" s="258"/>
      <c r="N48" s="1366"/>
      <c r="O48" s="258"/>
      <c r="P48" s="1366"/>
      <c r="Q48" s="258"/>
      <c r="R48" s="1366"/>
      <c r="S48" s="258"/>
      <c r="T48" s="1899"/>
      <c r="U48" s="1899"/>
      <c r="V48" s="1366"/>
      <c r="W48" s="258"/>
      <c r="X48" s="1366" t="s">
        <v>103</v>
      </c>
      <c r="Y48" s="258"/>
      <c r="Z48" s="1901"/>
      <c r="AA48" s="258"/>
      <c r="AB48" s="1366"/>
      <c r="AC48" s="258"/>
      <c r="AD48" s="1366"/>
      <c r="AE48" s="258"/>
      <c r="AF48" s="1976"/>
      <c r="AG48" s="258"/>
      <c r="AH48" s="258"/>
      <c r="AI48" s="1327"/>
      <c r="AJ48" s="1919"/>
      <c r="AK48" s="1914"/>
      <c r="AL48" s="1872"/>
      <c r="AM48" s="1897"/>
    </row>
    <row r="49" spans="1:39" ht="18" customHeight="1">
      <c r="A49" s="1349" t="s">
        <v>322</v>
      </c>
      <c r="B49" s="1346"/>
      <c r="C49" s="1346"/>
      <c r="D49" s="258"/>
      <c r="E49" s="258"/>
      <c r="F49" s="258"/>
      <c r="G49" s="258"/>
      <c r="H49" s="258" t="s">
        <v>103</v>
      </c>
      <c r="I49" s="258"/>
      <c r="J49" s="258"/>
      <c r="K49" s="258"/>
      <c r="L49" s="258"/>
      <c r="M49" s="258"/>
      <c r="N49" s="258"/>
      <c r="O49" s="258"/>
      <c r="P49" s="258"/>
      <c r="Q49" s="258"/>
      <c r="R49" s="258"/>
      <c r="S49" s="258"/>
      <c r="T49" s="1899"/>
      <c r="U49" s="1899"/>
      <c r="V49" s="258"/>
      <c r="W49" s="258"/>
      <c r="X49" s="258"/>
      <c r="Y49" s="258"/>
      <c r="Z49" s="1901"/>
      <c r="AA49" s="258"/>
      <c r="AB49" s="258"/>
      <c r="AC49" s="258"/>
      <c r="AD49" s="258"/>
      <c r="AE49" s="258"/>
      <c r="AF49" s="1976"/>
      <c r="AG49" s="258"/>
      <c r="AH49" s="258"/>
      <c r="AI49" s="1327"/>
      <c r="AJ49" s="1896"/>
      <c r="AK49" s="1914"/>
      <c r="AL49" s="1872"/>
      <c r="AM49" s="1897"/>
    </row>
    <row r="50" spans="1:39" ht="18" customHeight="1">
      <c r="A50" s="1346" t="s">
        <v>323</v>
      </c>
      <c r="B50" s="1346"/>
      <c r="C50" s="1346"/>
      <c r="D50" s="260">
        <f>'Exhibit F'!R48</f>
        <v>0</v>
      </c>
      <c r="E50" s="258"/>
      <c r="F50" s="258">
        <f>'Exhibit F'!AC48</f>
        <v>0</v>
      </c>
      <c r="G50" s="258"/>
      <c r="H50" s="260">
        <v>0</v>
      </c>
      <c r="I50" s="1898"/>
      <c r="J50" s="260">
        <v>0</v>
      </c>
      <c r="K50" s="258"/>
      <c r="L50" s="260">
        <v>0</v>
      </c>
      <c r="M50" s="260"/>
      <c r="N50" s="260">
        <v>0</v>
      </c>
      <c r="O50" s="258"/>
      <c r="P50" s="260">
        <v>0</v>
      </c>
      <c r="Q50" s="1898"/>
      <c r="R50" s="260">
        <v>0</v>
      </c>
      <c r="S50" s="258"/>
      <c r="T50" s="1899"/>
      <c r="U50" s="1899"/>
      <c r="V50" s="260">
        <f t="shared" ref="V50:V54" si="14">SUM(D50)+SUM(H50)+SUM(L50)+SUM(P50)</f>
        <v>0</v>
      </c>
      <c r="W50" s="258"/>
      <c r="X50" s="1898">
        <f t="shared" ref="X50:X54" si="15">SUM(F50)+SUM(J50)+SUM(N50)+SUM(R50)</f>
        <v>0</v>
      </c>
      <c r="Y50" s="1900"/>
      <c r="Z50" s="1901"/>
      <c r="AA50" s="258"/>
      <c r="AB50" s="518">
        <v>0</v>
      </c>
      <c r="AC50" s="258"/>
      <c r="AD50" s="518">
        <f>'Cashflow Governmental'!AE52</f>
        <v>0</v>
      </c>
      <c r="AE50" s="1898"/>
      <c r="AF50" s="1976"/>
      <c r="AG50" s="1900"/>
      <c r="AH50" s="1898">
        <f t="shared" ref="AH50:AH56" si="16">ROUND(SUM(X50)-SUM(AD50),1)</f>
        <v>0</v>
      </c>
      <c r="AI50" s="1332"/>
      <c r="AJ50" s="271">
        <f>ROUND(IF(AD50=0,0,-AH50/(AD50)),3)</f>
        <v>0</v>
      </c>
      <c r="AK50" s="1896"/>
      <c r="AL50" s="1872"/>
      <c r="AM50" s="1897"/>
    </row>
    <row r="51" spans="1:39" ht="18" customHeight="1">
      <c r="A51" s="1346" t="s">
        <v>324</v>
      </c>
      <c r="B51" s="1346"/>
      <c r="C51" s="1346"/>
      <c r="D51" s="260">
        <f>'Exhibit F'!R49</f>
        <v>132.49999999999994</v>
      </c>
      <c r="E51" s="258"/>
      <c r="F51" s="258">
        <f>'Exhibit F'!AC49</f>
        <v>1084.8</v>
      </c>
      <c r="G51" s="258"/>
      <c r="H51" s="260">
        <v>0</v>
      </c>
      <c r="I51" s="1898"/>
      <c r="J51" s="260">
        <v>0</v>
      </c>
      <c r="K51" s="258"/>
      <c r="L51" s="260">
        <v>0</v>
      </c>
      <c r="M51" s="260"/>
      <c r="N51" s="260">
        <v>0</v>
      </c>
      <c r="O51" s="258"/>
      <c r="P51" s="260">
        <v>0</v>
      </c>
      <c r="Q51" s="1898"/>
      <c r="R51" s="260">
        <v>0</v>
      </c>
      <c r="S51" s="258"/>
      <c r="T51" s="1899"/>
      <c r="U51" s="1899"/>
      <c r="V51" s="1898">
        <f t="shared" si="14"/>
        <v>132.49999999999994</v>
      </c>
      <c r="W51" s="258"/>
      <c r="X51" s="1898">
        <f t="shared" si="15"/>
        <v>1084.8</v>
      </c>
      <c r="Y51" s="1900"/>
      <c r="Z51" s="1901"/>
      <c r="AA51" s="258"/>
      <c r="AB51" s="518">
        <v>106.8</v>
      </c>
      <c r="AC51" s="258"/>
      <c r="AD51" s="518">
        <f>'Cashflow Governmental'!AE53</f>
        <v>916.1</v>
      </c>
      <c r="AE51" s="518"/>
      <c r="AF51" s="1976"/>
      <c r="AG51" s="1900"/>
      <c r="AH51" s="1898">
        <f t="shared" si="16"/>
        <v>168.7</v>
      </c>
      <c r="AI51" s="1332"/>
      <c r="AJ51" s="1896">
        <f>ROUND(AH51/AD51,3)</f>
        <v>0.184</v>
      </c>
      <c r="AK51" s="1896"/>
      <c r="AL51" s="1872"/>
      <c r="AM51" s="1897"/>
    </row>
    <row r="52" spans="1:39" ht="18" customHeight="1">
      <c r="A52" s="1346" t="s">
        <v>325</v>
      </c>
      <c r="B52" s="1346"/>
      <c r="C52" s="1346"/>
      <c r="D52" s="260">
        <f>'Exhibit F'!R50</f>
        <v>0.49999999999999956</v>
      </c>
      <c r="E52" s="258"/>
      <c r="F52" s="258">
        <f>'Exhibit F'!AC50</f>
        <v>10.1</v>
      </c>
      <c r="G52" s="258"/>
      <c r="H52" s="260">
        <v>0</v>
      </c>
      <c r="I52" s="1898"/>
      <c r="J52" s="260">
        <v>0</v>
      </c>
      <c r="K52" s="258"/>
      <c r="L52" s="260">
        <v>0</v>
      </c>
      <c r="M52" s="260"/>
      <c r="N52" s="260">
        <v>0</v>
      </c>
      <c r="O52" s="258"/>
      <c r="P52" s="260">
        <v>0</v>
      </c>
      <c r="Q52" s="1898"/>
      <c r="R52" s="260">
        <v>0</v>
      </c>
      <c r="S52" s="258"/>
      <c r="T52" s="1899"/>
      <c r="U52" s="1899"/>
      <c r="V52" s="1898">
        <f t="shared" si="14"/>
        <v>0.49999999999999956</v>
      </c>
      <c r="W52" s="258"/>
      <c r="X52" s="1898">
        <f t="shared" si="15"/>
        <v>10.1</v>
      </c>
      <c r="Y52" s="1900"/>
      <c r="Z52" s="1901"/>
      <c r="AA52" s="258"/>
      <c r="AB52" s="518">
        <v>1.2</v>
      </c>
      <c r="AC52" s="258"/>
      <c r="AD52" s="518">
        <f>'Cashflow Governmental'!AE54</f>
        <v>9.6999999999999993</v>
      </c>
      <c r="AE52" s="518"/>
      <c r="AF52" s="1976"/>
      <c r="AG52" s="1900"/>
      <c r="AH52" s="1898">
        <f t="shared" si="16"/>
        <v>0.4</v>
      </c>
      <c r="AI52" s="1332"/>
      <c r="AJ52" s="1896">
        <f>ROUND(AH52/AD52,3)</f>
        <v>4.1000000000000002E-2</v>
      </c>
      <c r="AK52" s="1896"/>
      <c r="AL52" s="1872"/>
      <c r="AM52" s="1897"/>
    </row>
    <row r="53" spans="1:39" ht="18" customHeight="1">
      <c r="A53" s="1346" t="s">
        <v>326</v>
      </c>
      <c r="B53" s="1346"/>
      <c r="C53" s="1346"/>
      <c r="D53" s="260">
        <f>'Exhibit F'!R51</f>
        <v>0</v>
      </c>
      <c r="E53" s="1898"/>
      <c r="F53" s="258">
        <f>'Exhibit F'!AC51</f>
        <v>0</v>
      </c>
      <c r="G53" s="258"/>
      <c r="H53" s="260">
        <v>0</v>
      </c>
      <c r="I53" s="1898"/>
      <c r="J53" s="260">
        <v>0</v>
      </c>
      <c r="K53" s="258"/>
      <c r="L53" s="1898">
        <f>'Exhibit H'!P26</f>
        <v>94.799999999999983</v>
      </c>
      <c r="M53" s="1898"/>
      <c r="N53" s="1898">
        <f>'Exhibit H'!AA26</f>
        <v>804.4</v>
      </c>
      <c r="O53" s="258"/>
      <c r="P53" s="518">
        <f>'Exhibit I'!S28</f>
        <v>25.700000000000006</v>
      </c>
      <c r="Q53" s="1898"/>
      <c r="R53" s="518">
        <f>'Exhibit I'!AF28</f>
        <v>154.4</v>
      </c>
      <c r="S53" s="258"/>
      <c r="T53" s="1899"/>
      <c r="U53" s="1899"/>
      <c r="V53" s="1898">
        <f t="shared" si="14"/>
        <v>120.49999999999999</v>
      </c>
      <c r="W53" s="258"/>
      <c r="X53" s="1898">
        <f t="shared" si="15"/>
        <v>958.8</v>
      </c>
      <c r="Y53" s="1900"/>
      <c r="Z53" s="1901"/>
      <c r="AA53" s="258"/>
      <c r="AB53" s="518">
        <v>107</v>
      </c>
      <c r="AC53" s="258"/>
      <c r="AD53" s="518">
        <f>'Cashflow Governmental'!AE55</f>
        <v>832.1</v>
      </c>
      <c r="AE53" s="1898"/>
      <c r="AF53" s="1976"/>
      <c r="AG53" s="1900"/>
      <c r="AH53" s="1898">
        <f t="shared" si="16"/>
        <v>126.7</v>
      </c>
      <c r="AI53" s="1923"/>
      <c r="AJ53" s="1896">
        <f>ROUND(AH53/AD53,3)</f>
        <v>0.152</v>
      </c>
      <c r="AK53" s="1896"/>
      <c r="AL53" s="1872"/>
      <c r="AM53" s="1897"/>
    </row>
    <row r="54" spans="1:39" ht="18" customHeight="1">
      <c r="A54" s="1346" t="s">
        <v>327</v>
      </c>
      <c r="B54" s="1346"/>
      <c r="C54" s="1346"/>
      <c r="D54" s="260">
        <f>'Exhibit F'!R52</f>
        <v>0.4</v>
      </c>
      <c r="E54" s="258"/>
      <c r="F54" s="258">
        <f>'Exhibit F'!AC52</f>
        <v>0.7</v>
      </c>
      <c r="G54" s="258"/>
      <c r="H54" s="260">
        <v>0</v>
      </c>
      <c r="I54" s="1898"/>
      <c r="J54" s="260">
        <v>0</v>
      </c>
      <c r="K54" s="258"/>
      <c r="L54" s="260">
        <v>0</v>
      </c>
      <c r="M54" s="260"/>
      <c r="N54" s="260">
        <v>0</v>
      </c>
      <c r="O54" s="258"/>
      <c r="P54" s="260">
        <v>0</v>
      </c>
      <c r="Q54" s="1898"/>
      <c r="R54" s="260">
        <v>0</v>
      </c>
      <c r="S54" s="258"/>
      <c r="T54" s="1899"/>
      <c r="U54" s="1899"/>
      <c r="V54" s="1898">
        <f t="shared" si="14"/>
        <v>0.4</v>
      </c>
      <c r="W54" s="258"/>
      <c r="X54" s="1898">
        <f t="shared" si="15"/>
        <v>0.7</v>
      </c>
      <c r="Y54" s="1900"/>
      <c r="Z54" s="1901"/>
      <c r="AA54" s="258"/>
      <c r="AB54" s="518">
        <v>0</v>
      </c>
      <c r="AC54" s="258"/>
      <c r="AD54" s="518">
        <f>'Cashflow Governmental'!AE56</f>
        <v>0.4</v>
      </c>
      <c r="AE54" s="1898"/>
      <c r="AF54" s="1976"/>
      <c r="AG54" s="1900"/>
      <c r="AH54" s="1898">
        <f t="shared" si="16"/>
        <v>0.3</v>
      </c>
      <c r="AI54" s="1923"/>
      <c r="AJ54" s="271">
        <f>ROUND(IF(AD54=0,1,AH54/(AD54)),3)</f>
        <v>0.75</v>
      </c>
      <c r="AK54" s="1896"/>
      <c r="AL54" s="1872"/>
      <c r="AM54" s="1897"/>
    </row>
    <row r="55" spans="1:39" ht="18" customHeight="1">
      <c r="A55" s="426" t="s">
        <v>328</v>
      </c>
      <c r="B55" s="1346"/>
      <c r="C55" s="1346"/>
      <c r="D55" s="260">
        <f>'Exhibit F'!R53</f>
        <v>0.20000000000000046</v>
      </c>
      <c r="E55" s="258"/>
      <c r="F55" s="258">
        <f>'Exhibit F'!AC53</f>
        <v>1.6</v>
      </c>
      <c r="G55" s="258"/>
      <c r="H55" s="258">
        <v>0</v>
      </c>
      <c r="I55" s="1898"/>
      <c r="J55" s="1898">
        <v>0</v>
      </c>
      <c r="K55" s="258"/>
      <c r="L55" s="260">
        <f>'Exhibit H'!P27</f>
        <v>0.20000000000000023</v>
      </c>
      <c r="M55" s="1898"/>
      <c r="N55" s="260">
        <f>'Exhibit H'!AA27</f>
        <v>1.6</v>
      </c>
      <c r="O55" s="258"/>
      <c r="P55" s="260">
        <v>0</v>
      </c>
      <c r="Q55" s="1898"/>
      <c r="R55" s="260">
        <v>0</v>
      </c>
      <c r="S55" s="258"/>
      <c r="T55" s="1899"/>
      <c r="U55" s="1899"/>
      <c r="V55" s="1898">
        <f t="shared" ref="V55" si="17">SUM(D55)+SUM(H55)+SUM(L55)+SUM(P55)</f>
        <v>0.40000000000000069</v>
      </c>
      <c r="W55" s="258"/>
      <c r="X55" s="1898">
        <f t="shared" ref="X55" si="18">SUM(F55)+SUM(J55)+SUM(N55)+SUM(R55)</f>
        <v>3.2</v>
      </c>
      <c r="Y55" s="1900"/>
      <c r="Z55" s="1901"/>
      <c r="AA55" s="258"/>
      <c r="AB55" s="518">
        <v>0.6</v>
      </c>
      <c r="AC55" s="258"/>
      <c r="AD55" s="518">
        <f>'Cashflow Governmental'!AE57</f>
        <v>3.6</v>
      </c>
      <c r="AE55" s="1898"/>
      <c r="AF55" s="1976"/>
      <c r="AG55" s="1900"/>
      <c r="AH55" s="260">
        <f t="shared" ref="AH55" si="19">ROUND(SUM(X55)-SUM(AD55),1)</f>
        <v>-0.4</v>
      </c>
      <c r="AI55" s="1923"/>
      <c r="AJ55" s="271">
        <f>ROUND(IF(AD55=0,1,AH55/(AD55)),3)</f>
        <v>-0.111</v>
      </c>
      <c r="AK55" s="1896"/>
      <c r="AL55" s="1872"/>
      <c r="AM55" s="1897"/>
    </row>
    <row r="56" spans="1:39" ht="18" customHeight="1">
      <c r="A56" s="1345" t="s">
        <v>314</v>
      </c>
      <c r="B56" s="1346"/>
      <c r="C56" s="1346"/>
      <c r="D56" s="1026">
        <f>ROUND(SUM(D50:D55),1)</f>
        <v>133.6</v>
      </c>
      <c r="E56" s="1"/>
      <c r="F56" s="1026">
        <f>ROUND(SUM(F50:F55),1)</f>
        <v>1097.2</v>
      </c>
      <c r="G56" s="1"/>
      <c r="H56" s="1905">
        <f>ROUND(SUM(H50:H55),1)</f>
        <v>0</v>
      </c>
      <c r="I56" s="1903"/>
      <c r="J56" s="1905">
        <f>ROUND(SUM(J50:J55),1)</f>
        <v>0</v>
      </c>
      <c r="K56" s="1"/>
      <c r="L56" s="1026">
        <f>ROUND(SUM(L50:L55),1)</f>
        <v>95</v>
      </c>
      <c r="M56" s="1"/>
      <c r="N56" s="1026">
        <f>ROUND(SUM(N50:N55),1)</f>
        <v>806</v>
      </c>
      <c r="O56" s="1" t="s">
        <v>103</v>
      </c>
      <c r="P56" s="1026">
        <f>ROUND(SUM(P50:P55),1)</f>
        <v>25.7</v>
      </c>
      <c r="Q56" s="1"/>
      <c r="R56" s="1026">
        <f>ROUND(SUM(R50:R55),1)</f>
        <v>154.4</v>
      </c>
      <c r="S56" s="1"/>
      <c r="T56" s="1904"/>
      <c r="U56" s="1904"/>
      <c r="V56" s="1905">
        <f>ROUND(SUM(V50:V55),1)</f>
        <v>254.3</v>
      </c>
      <c r="W56" s="1"/>
      <c r="X56" s="1905">
        <f>ROUND(SUM(X50:X55),1)</f>
        <v>2057.6</v>
      </c>
      <c r="Y56" s="1916"/>
      <c r="Z56" s="1907"/>
      <c r="AA56" s="1"/>
      <c r="AB56" s="1905">
        <f>ROUND(SUM(AB50:AB55),1)</f>
        <v>215.6</v>
      </c>
      <c r="AC56" s="1"/>
      <c r="AD56" s="1905">
        <f>ROUND(SUM(AD50:AD55),1)</f>
        <v>1761.9</v>
      </c>
      <c r="AE56" s="1903"/>
      <c r="AF56" s="1977"/>
      <c r="AG56" s="1906"/>
      <c r="AH56" s="1917">
        <f t="shared" si="16"/>
        <v>295.7</v>
      </c>
      <c r="AI56" s="1328"/>
      <c r="AJ56" s="1918">
        <f>ROUND(AH56/AD56,3)</f>
        <v>0.16800000000000001</v>
      </c>
      <c r="AK56" s="1910"/>
      <c r="AL56" s="1911"/>
      <c r="AM56" s="1897"/>
    </row>
    <row r="57" spans="1:39" ht="18" customHeight="1">
      <c r="A57" s="1346"/>
      <c r="B57" s="1346"/>
      <c r="C57" s="1346"/>
      <c r="D57" s="1368"/>
      <c r="E57" s="1328"/>
      <c r="F57" s="1368"/>
      <c r="G57" s="290"/>
      <c r="H57" s="1368"/>
      <c r="I57" s="1328"/>
      <c r="J57" s="1368"/>
      <c r="K57" s="290"/>
      <c r="L57" s="1368"/>
      <c r="M57" s="1328"/>
      <c r="N57" s="1368"/>
      <c r="O57" s="290"/>
      <c r="P57" s="1368"/>
      <c r="Q57" s="1328"/>
      <c r="R57" s="1368"/>
      <c r="S57" s="290"/>
      <c r="T57" s="2026"/>
      <c r="U57" s="2026"/>
      <c r="V57" s="1368"/>
      <c r="W57" s="290"/>
      <c r="X57" s="1368"/>
      <c r="Y57" s="1328"/>
      <c r="Z57" s="1924"/>
      <c r="AA57" s="290"/>
      <c r="AB57" s="1368"/>
      <c r="AC57" s="290"/>
      <c r="AD57" s="1368"/>
      <c r="AE57" s="1328"/>
      <c r="AF57" s="1978"/>
      <c r="AG57" s="1328"/>
      <c r="AH57" s="1925"/>
      <c r="AI57" s="1328"/>
      <c r="AJ57" s="1926"/>
      <c r="AK57" s="1911"/>
      <c r="AL57" s="1911"/>
      <c r="AM57" s="1897"/>
    </row>
    <row r="58" spans="1:39" ht="18" customHeight="1" thickBot="1">
      <c r="A58" s="1345" t="s">
        <v>329</v>
      </c>
      <c r="B58" s="1346"/>
      <c r="C58" s="1346"/>
      <c r="D58" s="1330">
        <f>ROUND(SUM(D25)+SUM(D38)+SUM(D47)+SUM(D56),1)</f>
        <v>2331.4</v>
      </c>
      <c r="E58" s="1334"/>
      <c r="F58" s="1330">
        <f>ROUND(SUM(F25)+SUM(F38)+SUM(F47)+SUM(F56),1)</f>
        <v>34891.5</v>
      </c>
      <c r="G58" s="2014"/>
      <c r="H58" s="1330">
        <f>ROUND(SUM(H25)+SUM(H38)+SUM(H47)+SUM(H56),1)</f>
        <v>240.8</v>
      </c>
      <c r="I58" s="1334"/>
      <c r="J58" s="1330">
        <f>ROUND(SUM(J25)+SUM(J38)+SUM(J47)+SUM(J56),1)</f>
        <v>2969.3</v>
      </c>
      <c r="K58" s="1334"/>
      <c r="L58" s="1330">
        <f>ROUND(SUM(L25)+SUM(L38)+SUM(L47)+SUM(L56),1)</f>
        <v>2244.8000000000002</v>
      </c>
      <c r="M58" s="1334"/>
      <c r="N58" s="1330">
        <f>ROUND(SUM(N25)+SUM(N38)+SUM(N47)+SUM(N56),1)</f>
        <v>29678</v>
      </c>
      <c r="O58" s="1334"/>
      <c r="P58" s="1330">
        <f>ROUND(SUM(P25)+SUM(P38)+SUM(P47)+SUM(P56),1)</f>
        <v>109.4</v>
      </c>
      <c r="Q58" s="1334"/>
      <c r="R58" s="1330">
        <f>ROUND(SUM(R25)+SUM(R38)+SUM(R47)+SUM(R56),1)</f>
        <v>955.3</v>
      </c>
      <c r="S58" s="1334"/>
      <c r="T58" s="2027"/>
      <c r="U58" s="1334"/>
      <c r="V58" s="1927">
        <f>ROUND(SUM(V25)+SUM(V38)+SUM(V47)+SUM(V56),1)</f>
        <v>4926.3999999999996</v>
      </c>
      <c r="W58" s="1334"/>
      <c r="X58" s="1927">
        <f>ROUND(SUM(X25)+SUM(X38)+SUM(X47)+SUM(X56),1)</f>
        <v>68494.100000000006</v>
      </c>
      <c r="Y58" s="1928"/>
      <c r="Z58" s="1929"/>
      <c r="AA58" s="1334"/>
      <c r="AB58" s="1927">
        <f>ROUND(SUM(AB25)+SUM(AB38)+SUM(AB47)+SUM(AB56),1)</f>
        <v>5823.9</v>
      </c>
      <c r="AC58" s="1334"/>
      <c r="AD58" s="1927">
        <f>ROUND(SUM(AD25)+SUM(AD38)+SUM(AD47)+SUM(AD56),1)</f>
        <v>64398</v>
      </c>
      <c r="AE58" s="1334"/>
      <c r="AF58" s="1979"/>
      <c r="AG58" s="1334"/>
      <c r="AH58" s="1330">
        <f>ROUND(SUM(X58)-SUM(AD58),1)</f>
        <v>4096.1000000000004</v>
      </c>
      <c r="AI58" s="1328"/>
      <c r="AJ58" s="1930">
        <f>ROUND(AH58/AD58,3)</f>
        <v>6.4000000000000001E-2</v>
      </c>
      <c r="AK58" s="1910"/>
      <c r="AL58" s="1911"/>
      <c r="AM58" s="1897"/>
    </row>
    <row r="59" spans="1:39" ht="15" customHeight="1" thickTop="1">
      <c r="F59" s="1341" t="s">
        <v>103</v>
      </c>
      <c r="J59" s="1341" t="s">
        <v>103</v>
      </c>
      <c r="M59" s="1341" t="s">
        <v>103</v>
      </c>
      <c r="N59" s="1341" t="s">
        <v>103</v>
      </c>
      <c r="R59" s="1341" t="s">
        <v>103</v>
      </c>
      <c r="X59" s="1341" t="s">
        <v>103</v>
      </c>
    </row>
    <row r="60" spans="1:39" ht="15" customHeight="1">
      <c r="F60" s="1341" t="s">
        <v>103</v>
      </c>
    </row>
    <row r="61" spans="1:39">
      <c r="H61" s="1341" t="s">
        <v>103</v>
      </c>
      <c r="V61" s="1341" t="s">
        <v>103</v>
      </c>
    </row>
    <row r="62" spans="1:39">
      <c r="H62" s="1341" t="s">
        <v>103</v>
      </c>
    </row>
    <row r="63" spans="1:39">
      <c r="H63" s="1341" t="s">
        <v>103</v>
      </c>
    </row>
    <row r="65" ht="15" customHeight="1"/>
  </sheetData>
  <printOptions horizontalCentered="1"/>
  <pageMargins left="0.4" right="0.25" top="0.5" bottom="0.40277777777777801" header="0" footer="0.25"/>
  <pageSetup scale="43"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88671875" defaultRowHeight="16.5" customHeight="1"/>
  <cols>
    <col min="1" max="1" width="43.88671875" style="61" customWidth="1"/>
    <col min="2" max="2" width="1.88671875" style="61" customWidth="1"/>
    <col min="3" max="3" width="13.44140625" style="61" customWidth="1"/>
    <col min="4" max="4" width="1.88671875" style="61" customWidth="1"/>
    <col min="5" max="5" width="13.109375" style="61" customWidth="1"/>
    <col min="6" max="6" width="1.88671875" style="61" customWidth="1"/>
    <col min="7" max="7" width="15.109375" style="61" customWidth="1"/>
    <col min="8" max="8" width="1.88671875" style="61" customWidth="1"/>
    <col min="9" max="9" width="14.88671875" style="61" customWidth="1"/>
    <col min="10" max="10" width="1.88671875" style="61" customWidth="1"/>
    <col min="11" max="11" width="13.109375" style="61" customWidth="1"/>
    <col min="12" max="12" width="1.88671875" style="61" customWidth="1"/>
    <col min="13" max="13" width="13.109375" style="61" customWidth="1"/>
    <col min="14" max="14" width="1.88671875" style="61" customWidth="1"/>
    <col min="15" max="15" width="13.109375" style="61" customWidth="1"/>
    <col min="16" max="16" width="1.88671875" style="61" customWidth="1"/>
    <col min="17" max="17" width="13.44140625" style="61" customWidth="1"/>
    <col min="18" max="18" width="1.88671875" style="61" customWidth="1"/>
    <col min="19" max="19" width="13.109375" style="61" customWidth="1"/>
    <col min="20" max="20" width="1.88671875" style="61" customWidth="1"/>
    <col min="21" max="21" width="13" style="61" customWidth="1"/>
    <col min="22" max="22" width="1.88671875" style="61" customWidth="1"/>
    <col min="23" max="23" width="13.88671875" style="61" customWidth="1"/>
    <col min="24" max="24" width="1.88671875" style="61" customWidth="1"/>
    <col min="25" max="25" width="12.88671875" style="61" customWidth="1"/>
    <col min="26" max="27" width="0.88671875" style="61" customWidth="1"/>
    <col min="28" max="28" width="15.109375" style="61" customWidth="1"/>
    <col min="29" max="30" width="0.88671875" style="61" customWidth="1"/>
    <col min="31" max="31" width="15.109375" style="61" customWidth="1"/>
    <col min="32" max="33" width="0.88671875" style="61" customWidth="1"/>
    <col min="34" max="34" width="12.88671875" style="61" bestFit="1" customWidth="1"/>
    <col min="35" max="35" width="1.109375" style="61" customWidth="1"/>
    <col min="36" max="36" width="12.44140625" style="61" customWidth="1"/>
    <col min="37" max="16384" width="8.88671875" style="61"/>
  </cols>
  <sheetData>
    <row r="1" spans="1:37" ht="16.5" customHeight="1">
      <c r="A1" s="270" t="s">
        <v>97</v>
      </c>
    </row>
    <row r="2" spans="1:37" ht="16.5" customHeight="1">
      <c r="A2" s="359"/>
    </row>
    <row r="3" spans="1:37" ht="23.1"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8"/>
      <c r="AD5" s="2099"/>
      <c r="AE5" s="2099"/>
      <c r="AF5" s="2099"/>
      <c r="AG5" s="2099"/>
      <c r="AH5" s="2099"/>
      <c r="AI5" s="2099"/>
      <c r="AJ5" s="2099"/>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100" t="str">
        <f>_xlfn.CONCAT(_xlfn.TEXTBEFORE('Exhibit A'!F11," ")," Months Ended ",PROPER(LEFT(_xlfn.TEXTAFTER('Exh D Governmental  '!A6," ",4),FIND(",",_xlfn.TEXTAFTER('Exh D Governmental  '!A6," ",4))-1)))</f>
        <v>8 Months Ended November 30</v>
      </c>
      <c r="AC12" s="2096"/>
      <c r="AD12" s="2096"/>
      <c r="AE12" s="2096"/>
      <c r="AF12" s="2096"/>
      <c r="AG12" s="2096"/>
      <c r="AH12" s="2096"/>
      <c r="AI12" s="2096"/>
      <c r="AJ12" s="2096"/>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70"/>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6" t="str">
        <f>RIGHT('Exhibit A'!D12,4)</f>
        <v>2025</v>
      </c>
      <c r="AC14" s="191"/>
      <c r="AD14" s="191"/>
      <c r="AE14" s="866" t="str">
        <f>RIGHT('Exhibit A'!AB12,4)</f>
        <v>2024</v>
      </c>
      <c r="AF14" s="191"/>
      <c r="AG14" s="191"/>
      <c r="AH14" s="882" t="s">
        <v>112</v>
      </c>
      <c r="AI14" s="870"/>
      <c r="AJ14" s="882" t="s">
        <v>113</v>
      </c>
    </row>
    <row r="15" spans="1:37" ht="6" customHeight="1">
      <c r="A15" s="65"/>
      <c r="B15" s="65"/>
      <c r="C15" s="1027"/>
      <c r="D15" s="65"/>
      <c r="E15" s="1027"/>
      <c r="F15" s="65"/>
      <c r="G15" s="1027"/>
      <c r="H15" s="65"/>
      <c r="I15" s="1027"/>
      <c r="J15" s="65"/>
      <c r="K15" s="1027"/>
      <c r="L15" s="65"/>
      <c r="M15" s="1027"/>
      <c r="N15" s="65"/>
      <c r="O15" s="1027" t="s">
        <v>103</v>
      </c>
      <c r="P15" s="65"/>
      <c r="Q15" s="1027"/>
      <c r="R15" s="65"/>
      <c r="S15" s="1027"/>
      <c r="T15" s="65"/>
      <c r="U15" s="1027" t="s">
        <v>103</v>
      </c>
      <c r="V15" s="65"/>
      <c r="W15" s="1027"/>
      <c r="X15" s="65"/>
      <c r="Y15" s="1027"/>
      <c r="Z15" s="65"/>
      <c r="AA15" s="65"/>
      <c r="AB15" s="1027"/>
      <c r="AC15" s="65"/>
      <c r="AD15" s="65"/>
      <c r="AE15" s="1027"/>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f>M148</f>
        <v>75214.5</v>
      </c>
      <c r="P16" s="194"/>
      <c r="Q16" s="194">
        <f>O148</f>
        <v>71891.100000000006</v>
      </c>
      <c r="R16" s="194"/>
      <c r="S16" s="194"/>
      <c r="T16" s="194"/>
      <c r="U16" s="194"/>
      <c r="V16" s="194"/>
      <c r="W16" s="194"/>
      <c r="X16" s="194"/>
      <c r="Y16" s="194"/>
      <c r="Z16" s="194"/>
      <c r="AA16" s="195"/>
      <c r="AB16" s="194">
        <f>C16</f>
        <v>73696.399999999994</v>
      </c>
      <c r="AC16" s="194"/>
      <c r="AD16" s="871"/>
      <c r="AE16" s="194">
        <f>'Exhibit F'!AF13+'Exhibit G'!AH13+'Exhibit H'!AD13+'Exhibit I'!AI13</f>
        <v>65912.2</v>
      </c>
      <c r="AF16" s="1586"/>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2"/>
      <c r="AE17" s="65" t="s">
        <v>103</v>
      </c>
      <c r="AF17" s="1585"/>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2"/>
      <c r="AE18" s="65"/>
      <c r="AF18" s="1585"/>
      <c r="AG18" s="65"/>
      <c r="AH18" s="273"/>
      <c r="AI18" s="65"/>
      <c r="AJ18" s="273"/>
    </row>
    <row r="19" spans="1:37" ht="16.5" customHeight="1">
      <c r="A19" s="1235"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1585"/>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2"/>
      <c r="AE20" s="65"/>
      <c r="AF20" s="1585"/>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f>'Exhibit F'!P18</f>
        <v>4449.7000000000025</v>
      </c>
      <c r="P21" s="65"/>
      <c r="Q21" s="109">
        <f>'Exhibit F'!R18</f>
        <v>4307.1999999999953</v>
      </c>
      <c r="R21" s="109"/>
      <c r="S21" s="109"/>
      <c r="T21" s="109"/>
      <c r="U21" s="109"/>
      <c r="V21" s="109"/>
      <c r="W21" s="109"/>
      <c r="X21" s="109"/>
      <c r="Y21" s="109"/>
      <c r="Z21" s="65"/>
      <c r="AA21" s="396"/>
      <c r="AB21" s="198">
        <f>ROUND(SUM(C21:Y21),1)</f>
        <v>35499.9</v>
      </c>
      <c r="AC21" s="65"/>
      <c r="AD21" s="872"/>
      <c r="AE21" s="109">
        <f>+'Exhibit F'!AF18</f>
        <v>33166.199999999997</v>
      </c>
      <c r="AF21" s="1585"/>
      <c r="AG21" s="65"/>
      <c r="AH21" s="269">
        <f>ROUND(SUM(+AB21-AE21),1)</f>
        <v>2333.6999999999998</v>
      </c>
      <c r="AI21" s="66"/>
      <c r="AJ21" s="379">
        <f>ROUND(IF(AE21=0,0,AH21/ABS(AE21)),3)</f>
        <v>7.0000000000000007E-2</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f>'Exhibit F'!P19</f>
        <v>166.90000000000146</v>
      </c>
      <c r="P22" s="65"/>
      <c r="Q22" s="109">
        <f>'Exhibit F'!R19</f>
        <v>96.099999999998545</v>
      </c>
      <c r="R22" s="65"/>
      <c r="S22" s="109"/>
      <c r="T22" s="65"/>
      <c r="U22" s="109"/>
      <c r="V22" s="109"/>
      <c r="W22" s="109"/>
      <c r="X22" s="109"/>
      <c r="Y22" s="109"/>
      <c r="Z22" s="65"/>
      <c r="AA22" s="396"/>
      <c r="AB22" s="198">
        <f>ROUND(SUM(C22:Y22),1)</f>
        <v>11102.8</v>
      </c>
      <c r="AC22" s="65"/>
      <c r="AD22" s="872"/>
      <c r="AE22" s="109">
        <f>+'Exhibit F'!AF19</f>
        <v>9308</v>
      </c>
      <c r="AF22" s="1585"/>
      <c r="AG22" s="65"/>
      <c r="AH22" s="269">
        <f>ROUND(SUM(+AB22-AE22),1)</f>
        <v>1794.8</v>
      </c>
      <c r="AI22" s="66"/>
      <c r="AJ22" s="873">
        <f>ROUND(IF(AE22=0,0,AH22/ABS(AE22)),3)</f>
        <v>0.193</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f>'Exhibit F'!P20</f>
        <v>817.20000000000027</v>
      </c>
      <c r="P23" s="65"/>
      <c r="Q23" s="109">
        <f>'Exhibit F'!R20</f>
        <v>48.5</v>
      </c>
      <c r="R23" s="65"/>
      <c r="S23" s="109"/>
      <c r="T23" s="65"/>
      <c r="U23" s="109"/>
      <c r="V23" s="109"/>
      <c r="W23" s="109"/>
      <c r="X23" s="109"/>
      <c r="Y23" s="109"/>
      <c r="Z23" s="65"/>
      <c r="AA23" s="396"/>
      <c r="AB23" s="198">
        <f>ROUND(SUM(C23:Y23),1)</f>
        <v>4191.6000000000004</v>
      </c>
      <c r="AC23" s="65"/>
      <c r="AD23" s="872"/>
      <c r="AE23" s="109">
        <f>+'Exhibit F'!AF20</f>
        <v>3286.7</v>
      </c>
      <c r="AF23" s="1585"/>
      <c r="AG23" s="65"/>
      <c r="AH23" s="269">
        <f>ROUND(SUM(+AB23-AE23),1)</f>
        <v>904.9</v>
      </c>
      <c r="AI23" s="66"/>
      <c r="AJ23" s="379">
        <f>ROUND(IF(AE23=0,0,AH23/ABS(AE23)),3)</f>
        <v>0.27500000000000002</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f>'Exhibit F'!P21</f>
        <v>-448.1</v>
      </c>
      <c r="P24" s="65"/>
      <c r="Q24" s="109">
        <f>'Exhibit F'!R21</f>
        <v>-35.5</v>
      </c>
      <c r="R24" s="65"/>
      <c r="S24" s="109"/>
      <c r="T24" s="65"/>
      <c r="U24" s="109"/>
      <c r="V24" s="109"/>
      <c r="W24" s="109"/>
      <c r="X24" s="109"/>
      <c r="Y24" s="109"/>
      <c r="Z24" s="65"/>
      <c r="AA24" s="396"/>
      <c r="AB24" s="198">
        <f t="shared" ref="AB24:AB29" si="0">ROUND(SUM(C24:Y24),1)</f>
        <v>-1311.5</v>
      </c>
      <c r="AC24" s="65"/>
      <c r="AD24" s="872"/>
      <c r="AE24" s="109">
        <f>+'Exhibit F'!AF21</f>
        <v>-1223</v>
      </c>
      <c r="AF24" s="1585"/>
      <c r="AG24" s="65"/>
      <c r="AH24" s="269">
        <f>-ROUND(SUM(+AB24-AE24),1)</f>
        <v>88.5</v>
      </c>
      <c r="AI24" s="66"/>
      <c r="AJ24" s="271">
        <f>ROUND(IF(AE24=0,0,AH24/ABS(AE24)),3)</f>
        <v>7.1999999999999995E-2</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f>'Exhibit F'!P22</f>
        <v>131.80000000000007</v>
      </c>
      <c r="P25" s="65"/>
      <c r="Q25" s="109">
        <f>'Exhibit F'!R22</f>
        <v>128.59999999999991</v>
      </c>
      <c r="R25" s="65"/>
      <c r="S25" s="109"/>
      <c r="T25" s="65"/>
      <c r="U25" s="109"/>
      <c r="V25" s="109"/>
      <c r="W25" s="109"/>
      <c r="X25" s="109"/>
      <c r="Y25" s="109"/>
      <c r="Z25" s="65"/>
      <c r="AA25" s="396"/>
      <c r="AB25" s="198">
        <f t="shared" si="0"/>
        <v>1241</v>
      </c>
      <c r="AC25" s="65"/>
      <c r="AD25" s="872"/>
      <c r="AE25" s="109">
        <f>+'Exhibit F'!AF22</f>
        <v>1173.5</v>
      </c>
      <c r="AF25" s="1585"/>
      <c r="AG25" s="65"/>
      <c r="AH25" s="269">
        <f>ROUND(SUM(+AB25-AE25),1)</f>
        <v>67.5</v>
      </c>
      <c r="AI25" s="66"/>
      <c r="AJ25" s="271">
        <f t="shared" ref="AJ25:AJ30" si="1">ROUND(IF(AE25=0,0,AH25/ABS(AE25)),3)</f>
        <v>5.8000000000000003E-2</v>
      </c>
    </row>
    <row r="26" spans="1:37" ht="16.5" customHeight="1">
      <c r="A26" s="290" t="s">
        <v>352</v>
      </c>
      <c r="B26" s="290"/>
      <c r="C26" s="1026">
        <f>ROUND(SUM(C21:C25),1)</f>
        <v>14076.2</v>
      </c>
      <c r="D26" s="1"/>
      <c r="E26" s="1026">
        <f>ROUND(SUM(E21:E25),1)</f>
        <v>4706.7</v>
      </c>
      <c r="F26" s="1"/>
      <c r="G26" s="1026">
        <f>ROUND(SUM(G21:G25),1)</f>
        <v>6155.5</v>
      </c>
      <c r="H26" s="65"/>
      <c r="I26" s="1028">
        <f>ROUND(SUM(I21:I25),1)</f>
        <v>4905.2</v>
      </c>
      <c r="J26" s="65"/>
      <c r="K26" s="1028">
        <f>ROUND(SUM(K21:K25),1)</f>
        <v>4581.5</v>
      </c>
      <c r="L26" s="65"/>
      <c r="M26" s="1028">
        <f>ROUND(SUM(M21:M25),1)</f>
        <v>6636.3</v>
      </c>
      <c r="N26" s="65"/>
      <c r="O26" s="1028">
        <f>ROUND(SUM(O21:O25),1)</f>
        <v>5117.5</v>
      </c>
      <c r="P26" s="65"/>
      <c r="Q26" s="1028">
        <f>ROUND(SUM(Q21:Q25),1)</f>
        <v>4544.8999999999996</v>
      </c>
      <c r="R26" s="65"/>
      <c r="S26" s="1028">
        <f>ROUND(SUM(S21:S25),1)</f>
        <v>0</v>
      </c>
      <c r="T26" s="65"/>
      <c r="U26" s="1028">
        <f>ROUND(SUM(U21:U25),1)</f>
        <v>0</v>
      </c>
      <c r="V26" s="65"/>
      <c r="W26" s="1028">
        <f>ROUND(SUM(W21:W25),1)</f>
        <v>0</v>
      </c>
      <c r="X26" s="65"/>
      <c r="Y26" s="1028">
        <f>ROUND(SUM(Y21:Y25),1)</f>
        <v>0</v>
      </c>
      <c r="Z26" s="65"/>
      <c r="AA26" s="396"/>
      <c r="AB26" s="1029">
        <f>ROUND(SUM(C26:Y26),1)</f>
        <v>50723.8</v>
      </c>
      <c r="AC26" s="65"/>
      <c r="AD26" s="872"/>
      <c r="AE26" s="1028">
        <f>ROUND(SUM(AE21:AE25),1)</f>
        <v>45711.4</v>
      </c>
      <c r="AF26" s="1585"/>
      <c r="AG26" s="65"/>
      <c r="AH26" s="680">
        <f>ROUND(SUM(AB26-AE26),1)</f>
        <v>5012.3999999999996</v>
      </c>
      <c r="AI26" s="66"/>
      <c r="AJ26" s="998">
        <f t="shared" si="1"/>
        <v>0.11</v>
      </c>
      <c r="AK26" s="61" t="s">
        <v>103</v>
      </c>
    </row>
    <row r="27" spans="1:37" ht="16.5" customHeight="1">
      <c r="A27" s="426" t="s">
        <v>353</v>
      </c>
      <c r="B27" s="289"/>
      <c r="C27" s="1025">
        <v>0</v>
      </c>
      <c r="D27" s="1025"/>
      <c r="E27" s="1025">
        <v>0</v>
      </c>
      <c r="F27" s="1025"/>
      <c r="G27" s="1025">
        <v>0</v>
      </c>
      <c r="H27" s="198"/>
      <c r="I27" s="1025">
        <v>0</v>
      </c>
      <c r="J27" s="198"/>
      <c r="K27" s="1025">
        <v>0</v>
      </c>
      <c r="L27" s="65"/>
      <c r="M27" s="1025">
        <v>0</v>
      </c>
      <c r="N27" s="65"/>
      <c r="O27" s="1025">
        <v>0</v>
      </c>
      <c r="P27" s="65"/>
      <c r="Q27" s="1025">
        <v>0</v>
      </c>
      <c r="R27" s="260"/>
      <c r="S27" s="1025"/>
      <c r="T27" s="260"/>
      <c r="U27" s="1025"/>
      <c r="V27" s="260"/>
      <c r="W27" s="1025"/>
      <c r="X27" s="260"/>
      <c r="Y27" s="1025"/>
      <c r="Z27" s="65"/>
      <c r="AA27" s="396"/>
      <c r="AB27" s="198">
        <f t="shared" si="0"/>
        <v>0</v>
      </c>
      <c r="AC27" s="65"/>
      <c r="AD27" s="872"/>
      <c r="AE27" s="1025">
        <f>+'Exhibit F'!AF24+'Exhibit G'!AH17</f>
        <v>0</v>
      </c>
      <c r="AF27" s="1585"/>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f>'Exhibit F'!L25+'Exhibit H'!J17</f>
        <v>0</v>
      </c>
      <c r="L28" s="65"/>
      <c r="M28" s="260">
        <f>'Exhibit F'!N25+'Exhibit H'!L17</f>
        <v>0</v>
      </c>
      <c r="N28" s="65"/>
      <c r="O28" s="260">
        <f>'Exhibit F'!P25+'Exhibit H'!N17</f>
        <v>0</v>
      </c>
      <c r="P28" s="65"/>
      <c r="Q28" s="260">
        <f>'Exhibit F'!R25+'Exhibit H'!P17</f>
        <v>0</v>
      </c>
      <c r="R28" s="260"/>
      <c r="S28" s="260"/>
      <c r="T28" s="260"/>
      <c r="U28" s="260"/>
      <c r="V28" s="260"/>
      <c r="W28" s="260"/>
      <c r="X28" s="260"/>
      <c r="Y28" s="260"/>
      <c r="Z28" s="65"/>
      <c r="AA28" s="396"/>
      <c r="AB28" s="198">
        <f>ROUND(SUM(C28:Y28),1)</f>
        <v>0</v>
      </c>
      <c r="AC28" s="65"/>
      <c r="AD28" s="872"/>
      <c r="AE28" s="260">
        <f>+'Exhibit F'!AF25+'Exhibit H'!AD17</f>
        <v>0</v>
      </c>
      <c r="AF28" s="1585"/>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f>'Exhibit F'!P26</f>
        <v>-3095.8999999999996</v>
      </c>
      <c r="P29" s="65"/>
      <c r="Q29" s="109">
        <f>'Exhibit F'!R26</f>
        <v>-1848.8000000000011</v>
      </c>
      <c r="R29" s="109"/>
      <c r="S29" s="109"/>
      <c r="T29" s="109"/>
      <c r="U29" s="109"/>
      <c r="V29" s="65"/>
      <c r="W29" s="109"/>
      <c r="X29" s="109"/>
      <c r="Y29" s="109"/>
      <c r="Z29" s="65"/>
      <c r="AA29" s="396"/>
      <c r="AB29" s="198">
        <f t="shared" si="0"/>
        <v>-12492.6</v>
      </c>
      <c r="AC29" s="65"/>
      <c r="AD29" s="872"/>
      <c r="AE29" s="109">
        <f>+'Exhibit F'!AF26</f>
        <v>-10382.200000000001</v>
      </c>
      <c r="AF29" s="1585"/>
      <c r="AG29" s="65"/>
      <c r="AH29" s="269">
        <f>-ROUND(SUM(+AB29-AE29),1)</f>
        <v>2110.4</v>
      </c>
      <c r="AI29" s="66"/>
      <c r="AJ29" s="271">
        <f t="shared" si="1"/>
        <v>0.20300000000000001</v>
      </c>
    </row>
    <row r="30" spans="1:37" ht="16.5" customHeight="1">
      <c r="A30" s="87" t="s">
        <v>356</v>
      </c>
      <c r="B30" s="289"/>
      <c r="C30" s="1028">
        <f>ROUND(SUM(C26)+SUM(C27)+SUM(C28)+SUM(C29),1)</f>
        <v>9693.6</v>
      </c>
      <c r="D30" s="1"/>
      <c r="E30" s="1028">
        <f>ROUND(SUM(E26)+SUM(E27)+SUM(E28)+SUM(E29),1)</f>
        <v>3824.4</v>
      </c>
      <c r="F30" s="1"/>
      <c r="G30" s="1028">
        <f>ROUND(SUM(G26)+SUM(G27)+SUM(G28)+SUM(G29),1)</f>
        <v>5691.3</v>
      </c>
      <c r="H30" s="65"/>
      <c r="I30" s="1028">
        <f>ROUND(SUM(I26)+SUM(I27)+SUM(I28)+SUM(I29),1)</f>
        <v>4496.5</v>
      </c>
      <c r="J30" s="65"/>
      <c r="K30" s="1028">
        <f>ROUND(SUM(K26)+SUM(K27)+SUM(K28)+SUM(K29),1)</f>
        <v>4250.2</v>
      </c>
      <c r="L30" s="65"/>
      <c r="M30" s="1028">
        <f>ROUND(SUM(M26)+SUM(M27)+SUM(M28)+SUM(M29),1)</f>
        <v>5557.5</v>
      </c>
      <c r="N30" s="65"/>
      <c r="O30" s="1028">
        <f>ROUND(SUM(O26)+SUM(O27)+SUM(O28)+SUM(O29),1)</f>
        <v>2021.6</v>
      </c>
      <c r="P30" s="65"/>
      <c r="Q30" s="1028">
        <f>ROUND(SUM(Q26)+SUM(Q27)+SUM(Q28)+SUM(Q29),1)</f>
        <v>2696.1</v>
      </c>
      <c r="R30" s="65"/>
      <c r="S30" s="1028">
        <f>ROUND(SUM(S26)+SUM(S27)+SUM(S28)+SUM(S29),1)</f>
        <v>0</v>
      </c>
      <c r="T30" s="65"/>
      <c r="U30" s="1028">
        <f>ROUND(SUM(U26)+SUM(U27)+SUM(U28)+SUM(U29),1)</f>
        <v>0</v>
      </c>
      <c r="V30" s="65"/>
      <c r="W30" s="1028">
        <f>ROUND(SUM(W26)+SUM(W27)+SUM(W28)+SUM(W29),1)</f>
        <v>0</v>
      </c>
      <c r="X30" s="65"/>
      <c r="Y30" s="1028">
        <f>ROUND(SUM(Y26)+SUM(Y27)+SUM(Y28)+SUM(Y29),1)</f>
        <v>0</v>
      </c>
      <c r="Z30" s="65"/>
      <c r="AA30" s="396"/>
      <c r="AB30" s="1029">
        <f>ROUND(SUM(C30:Y30),1)</f>
        <v>38231.199999999997</v>
      </c>
      <c r="AC30" s="65"/>
      <c r="AD30" s="872"/>
      <c r="AE30" s="1028">
        <f>ROUND(SUM(AE26)+SUM(AE27)+SUM(AE28)+SUM(AE29),1)</f>
        <v>35329.199999999997</v>
      </c>
      <c r="AF30" s="1585"/>
      <c r="AG30" s="65"/>
      <c r="AH30" s="680">
        <f>ROUND(SUM(AH26+AH27+AH28-AH29),1)</f>
        <v>2902</v>
      </c>
      <c r="AI30" s="269"/>
      <c r="AJ30" s="998">
        <f t="shared" si="1"/>
        <v>8.2000000000000003E-2</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2"/>
      <c r="AE31" s="196"/>
      <c r="AF31" s="1585"/>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f>'Exhibit F'!P29+'Exhibit G'!P20+'Exhibit H'!N20</f>
        <v>1790.4</v>
      </c>
      <c r="P32" s="65"/>
      <c r="Q32" s="109">
        <f>'Exhibit F'!R29+'Exhibit G'!R20+'Exhibit H'!P20</f>
        <v>1741.5999999999981</v>
      </c>
      <c r="R32" s="109"/>
      <c r="S32" s="109"/>
      <c r="T32" s="109"/>
      <c r="U32" s="109"/>
      <c r="V32" s="109"/>
      <c r="W32" s="109"/>
      <c r="X32" s="109"/>
      <c r="Y32" s="109"/>
      <c r="Z32" s="65"/>
      <c r="AA32" s="396"/>
      <c r="AB32" s="198">
        <f t="shared" ref="AB32:AB41" si="2">ROUND(SUM(C32:Y32),1)</f>
        <v>14317.6</v>
      </c>
      <c r="AC32" s="65"/>
      <c r="AD32" s="872"/>
      <c r="AE32" s="109">
        <f>+'Exhibit F'!AF29+'Exhibit G'!AH20+'Exhibit H'!AD20</f>
        <v>13452</v>
      </c>
      <c r="AF32" s="1585"/>
      <c r="AG32" s="65"/>
      <c r="AH32" s="269">
        <f t="shared" ref="AH32:AH39" si="3">ROUND(SUM(+AB32-AE32),1)</f>
        <v>865.6</v>
      </c>
      <c r="AI32" s="269"/>
      <c r="AJ32" s="379">
        <f t="shared" ref="AJ32:AJ42" si="4">ROUND(IF(AE32=0,0,AH32/ABS(AE32)),3)</f>
        <v>6.4000000000000001E-2</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f>'Exhibit F'!P30+'Exhibit G'!P21+'Exhibit I'!Q18</f>
        <v>0.20000000000000284</v>
      </c>
      <c r="P33" s="65"/>
      <c r="Q33" s="109">
        <f>'Exhibit F'!R30+'Exhibit G'!R21+'Exhibit I'!S18</f>
        <v>0.19999999999999751</v>
      </c>
      <c r="R33" s="109"/>
      <c r="S33" s="109"/>
      <c r="T33" s="109"/>
      <c r="U33" s="109"/>
      <c r="V33" s="109"/>
      <c r="W33" s="109"/>
      <c r="X33" s="109"/>
      <c r="Y33" s="109"/>
      <c r="Z33" s="65"/>
      <c r="AA33" s="396"/>
      <c r="AB33" s="198">
        <f>ROUND(SUM(C33:Y33),1)</f>
        <v>87.3</v>
      </c>
      <c r="AC33" s="65"/>
      <c r="AD33" s="872"/>
      <c r="AE33" s="109">
        <f>+'Exhibit F'!AF30+'Exhibit G'!AH21+'Exhibit I'!AI18</f>
        <v>81.599999999999994</v>
      </c>
      <c r="AF33" s="1585"/>
      <c r="AG33" s="65"/>
      <c r="AH33" s="269">
        <f t="shared" si="3"/>
        <v>5.7</v>
      </c>
      <c r="AI33" s="269"/>
      <c r="AJ33" s="379">
        <f t="shared" si="4"/>
        <v>7.0000000000000007E-2</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f>'Exhibit F'!P31+'Exhibit G'!P22</f>
        <v>61.599999999999937</v>
      </c>
      <c r="P34" s="65"/>
      <c r="Q34" s="109">
        <f>'Exhibit F'!R31+'Exhibit G'!R22</f>
        <v>57.100000000000023</v>
      </c>
      <c r="R34" s="109"/>
      <c r="S34" s="109"/>
      <c r="T34" s="109"/>
      <c r="U34" s="109"/>
      <c r="V34" s="109"/>
      <c r="W34" s="109"/>
      <c r="X34" s="109"/>
      <c r="Y34" s="109"/>
      <c r="Z34" s="65"/>
      <c r="AA34" s="396"/>
      <c r="AB34" s="198">
        <f t="shared" si="2"/>
        <v>537.20000000000005</v>
      </c>
      <c r="AC34" s="65"/>
      <c r="AD34" s="872"/>
      <c r="AE34" s="109">
        <f>+'Exhibit F'!AF31+'Exhibit G'!AH22</f>
        <v>582</v>
      </c>
      <c r="AF34" s="1585"/>
      <c r="AG34" s="65"/>
      <c r="AH34" s="269">
        <f t="shared" si="3"/>
        <v>-44.8</v>
      </c>
      <c r="AI34" s="269"/>
      <c r="AJ34" s="379">
        <f t="shared" si="4"/>
        <v>-7.6999999999999999E-2</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f>'Exhibit G'!P23</f>
        <v>2.7</v>
      </c>
      <c r="P35" s="65"/>
      <c r="Q35" s="109">
        <f>'Exhibit G'!R23</f>
        <v>5.3000000000000158</v>
      </c>
      <c r="R35" s="109"/>
      <c r="S35" s="109"/>
      <c r="T35" s="109"/>
      <c r="U35" s="109"/>
      <c r="V35" s="109"/>
      <c r="W35" s="109"/>
      <c r="X35" s="109"/>
      <c r="Y35" s="109"/>
      <c r="Z35" s="65"/>
      <c r="AA35" s="396"/>
      <c r="AB35" s="198">
        <f>ROUND(SUM(C35:Y35),1)</f>
        <v>96.4</v>
      </c>
      <c r="AC35" s="65"/>
      <c r="AD35" s="872"/>
      <c r="AE35" s="109">
        <f>'Exhibit G'!AH23</f>
        <v>54.1</v>
      </c>
      <c r="AF35" s="1585"/>
      <c r="AG35" s="65"/>
      <c r="AH35" s="269">
        <f>ROUND(SUM(+AB35-AE35),1)</f>
        <v>42.3</v>
      </c>
      <c r="AI35" s="269"/>
      <c r="AJ35" s="379">
        <f>ROUND(IF(AE35=0,0,AH35/ABS(AE35)),3)</f>
        <v>0.78200000000000003</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f>'Exhibit F'!P32+'Exhibit G'!P24+'Exhibit I'!Q19</f>
        <v>43.700000000000024</v>
      </c>
      <c r="P36" s="65"/>
      <c r="Q36" s="109">
        <f>'Exhibit F'!R32+'Exhibit G'!R24+'Exhibit I'!S19</f>
        <v>38.299999999999997</v>
      </c>
      <c r="R36" s="109"/>
      <c r="S36" s="109"/>
      <c r="T36" s="109"/>
      <c r="U36" s="109"/>
      <c r="V36" s="109"/>
      <c r="W36" s="109"/>
      <c r="X36" s="109"/>
      <c r="Y36" s="109"/>
      <c r="Z36" s="65"/>
      <c r="AA36" s="396"/>
      <c r="AB36" s="198">
        <f t="shared" si="2"/>
        <v>331.1</v>
      </c>
      <c r="AC36" s="65"/>
      <c r="AD36" s="872"/>
      <c r="AE36" s="109">
        <f>+'Exhibit F'!AF32+'Exhibit G'!AH24+'Exhibit I'!AI19</f>
        <v>333.7</v>
      </c>
      <c r="AF36" s="1585"/>
      <c r="AG36" s="65"/>
      <c r="AH36" s="269">
        <f t="shared" si="3"/>
        <v>-2.6</v>
      </c>
      <c r="AI36" s="269"/>
      <c r="AJ36" s="379">
        <f t="shared" si="4"/>
        <v>-8.0000000000000002E-3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f>'Exhibit F'!P33+'Exhibit G'!P25</f>
        <v>0</v>
      </c>
      <c r="P37" s="65"/>
      <c r="Q37" s="109">
        <f>'Exhibit F'!R33+'Exhibit G'!R25</f>
        <v>0</v>
      </c>
      <c r="R37" s="109"/>
      <c r="S37" s="109"/>
      <c r="T37" s="109"/>
      <c r="U37" s="109"/>
      <c r="V37" s="109"/>
      <c r="W37" s="109"/>
      <c r="X37" s="109"/>
      <c r="Y37" s="109"/>
      <c r="Z37" s="65"/>
      <c r="AA37" s="396"/>
      <c r="AB37" s="198">
        <f t="shared" ref="AB37" si="5">ROUND(SUM(C37:Y37),1)</f>
        <v>0.8</v>
      </c>
      <c r="AC37" s="65"/>
      <c r="AD37" s="872"/>
      <c r="AE37" s="109">
        <f>+'Exhibit F'!AF33+'Exhibit G'!AH25</f>
        <v>1.2</v>
      </c>
      <c r="AF37" s="1585"/>
      <c r="AG37" s="65"/>
      <c r="AH37" s="269">
        <f t="shared" si="3"/>
        <v>-0.4</v>
      </c>
      <c r="AI37" s="269"/>
      <c r="AJ37" s="379">
        <f t="shared" si="4"/>
        <v>-0.33300000000000002</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f>'Exhibit F'!P34+'Exhibit G'!P26</f>
        <v>22.400000000000009</v>
      </c>
      <c r="P38" s="65"/>
      <c r="Q38" s="109">
        <f>'Exhibit F'!R34+'Exhibit G'!R26</f>
        <v>22.099999999999984</v>
      </c>
      <c r="R38" s="109"/>
      <c r="S38" s="109"/>
      <c r="T38" s="109"/>
      <c r="U38" s="109"/>
      <c r="V38" s="109"/>
      <c r="W38" s="109"/>
      <c r="X38" s="109"/>
      <c r="Y38" s="109"/>
      <c r="Z38" s="65"/>
      <c r="AA38" s="396"/>
      <c r="AB38" s="198">
        <f t="shared" si="2"/>
        <v>185</v>
      </c>
      <c r="AC38" s="65"/>
      <c r="AD38" s="872"/>
      <c r="AE38" s="109">
        <f>+'Exhibit F'!AF34+'Exhibit G'!AH26</f>
        <v>184.6</v>
      </c>
      <c r="AF38" s="1585"/>
      <c r="AG38" s="65"/>
      <c r="AH38" s="269">
        <f t="shared" si="3"/>
        <v>0.4</v>
      </c>
      <c r="AI38" s="269"/>
      <c r="AJ38" s="379">
        <f t="shared" si="4"/>
        <v>2E-3</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f>'Exhibit F'!P35+'Exhibit G'!P27+'Exhibit I'!Q20</f>
        <v>12.499999999999989</v>
      </c>
      <c r="P39" s="65"/>
      <c r="Q39" s="109">
        <f>'Exhibit F'!R35+'Exhibit G'!R27+'Exhibit I'!S20</f>
        <v>9.3000000000000096</v>
      </c>
      <c r="R39" s="109"/>
      <c r="S39" s="109"/>
      <c r="T39" s="109"/>
      <c r="U39" s="109"/>
      <c r="V39" s="109"/>
      <c r="W39" s="109"/>
      <c r="X39" s="109"/>
      <c r="Y39" s="109"/>
      <c r="Z39" s="65"/>
      <c r="AA39" s="396"/>
      <c r="AB39" s="198">
        <f t="shared" si="2"/>
        <v>86.8</v>
      </c>
      <c r="AC39" s="65"/>
      <c r="AD39" s="872"/>
      <c r="AE39" s="109">
        <f>+'Exhibit F'!AF35+'Exhibit G'!AH27+'Exhibit I'!AI20</f>
        <v>88.5</v>
      </c>
      <c r="AF39" s="1585"/>
      <c r="AG39" s="65"/>
      <c r="AH39" s="269">
        <f t="shared" si="3"/>
        <v>-1.7</v>
      </c>
      <c r="AI39" s="269"/>
      <c r="AJ39" s="873">
        <f t="shared" si="4"/>
        <v>-1.9E-2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f>'Exhibit F'!P36+'Exhibit G'!P28</f>
        <v>0.19999999999999946</v>
      </c>
      <c r="P40" s="65"/>
      <c r="Q40" s="109">
        <f>'Exhibit F'!R36+'Exhibit G'!R28</f>
        <v>9.9999999999999811E-2</v>
      </c>
      <c r="R40" s="109"/>
      <c r="S40" s="109"/>
      <c r="T40" s="109"/>
      <c r="U40" s="109"/>
      <c r="V40" s="109"/>
      <c r="W40" s="109"/>
      <c r="X40" s="109"/>
      <c r="Y40" s="109"/>
      <c r="Z40" s="65"/>
      <c r="AA40" s="396"/>
      <c r="AB40" s="198">
        <f>ROUND(SUM(C40:Y40),1)</f>
        <v>10.199999999999999</v>
      </c>
      <c r="AC40" s="65"/>
      <c r="AD40" s="872"/>
      <c r="AE40" s="109">
        <f>+'Exhibit F'!AF36+'Exhibit G'!AH28</f>
        <v>10.9</v>
      </c>
      <c r="AF40" s="1585"/>
      <c r="AG40" s="65"/>
      <c r="AH40" s="269">
        <f>ROUND(SUM(+AB40-AE40),1)</f>
        <v>-0.7</v>
      </c>
      <c r="AI40" s="269"/>
      <c r="AJ40" s="873">
        <f>ROUND(IF(AE40=0,1,AH40/ABS(AE40)),3)</f>
        <v>-6.4000000000000001E-2</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f>'Exhibit F'!P37</f>
        <v>4.5000000000000018</v>
      </c>
      <c r="P41" s="65"/>
      <c r="Q41" s="109">
        <f>'Exhibit F'!R37</f>
        <v>9.9999999999999645E-2</v>
      </c>
      <c r="R41" s="109"/>
      <c r="S41" s="109"/>
      <c r="T41" s="109"/>
      <c r="U41" s="109"/>
      <c r="V41" s="109"/>
      <c r="W41" s="109"/>
      <c r="X41" s="109"/>
      <c r="Y41" s="109"/>
      <c r="Z41" s="65"/>
      <c r="AA41" s="197"/>
      <c r="AB41" s="198">
        <f t="shared" si="2"/>
        <v>17.3</v>
      </c>
      <c r="AC41" s="65"/>
      <c r="AD41" s="872"/>
      <c r="AE41" s="109">
        <f>+'Exhibit F'!AF37</f>
        <v>15.6</v>
      </c>
      <c r="AF41" s="1585"/>
      <c r="AG41" s="65"/>
      <c r="AH41" s="269">
        <f t="shared" ref="AH41" si="6">ROUND(SUM(+AB41-AE41),1)</f>
        <v>1.7</v>
      </c>
      <c r="AI41" s="269"/>
      <c r="AJ41" s="873">
        <f>ROUND(IF(AE41=0,1,AH41/ABS(AE41)),3)</f>
        <v>0.109</v>
      </c>
    </row>
    <row r="42" spans="1:38" ht="16.5" customHeight="1">
      <c r="A42" s="87" t="s">
        <v>368</v>
      </c>
      <c r="B42" s="289"/>
      <c r="C42" s="1028">
        <f>ROUND(SUM(C32:C41),1)</f>
        <v>1791.7</v>
      </c>
      <c r="D42" s="1"/>
      <c r="E42" s="1028">
        <f>ROUND(SUM(E32:E41),1)</f>
        <v>1756.2</v>
      </c>
      <c r="F42" s="1"/>
      <c r="G42" s="1028">
        <f>ROUND(SUM(G32:G41),1)</f>
        <v>2219.6</v>
      </c>
      <c r="H42" s="65"/>
      <c r="I42" s="1028">
        <f>ROUND(SUM(I32:I41),1)</f>
        <v>1854.3</v>
      </c>
      <c r="J42" s="65"/>
      <c r="K42" s="1028">
        <f>ROUND(SUM(K32:K41),1)</f>
        <v>1901.5</v>
      </c>
      <c r="L42" s="65"/>
      <c r="M42" s="1028">
        <f>ROUND(SUM(M32:M41),1)</f>
        <v>2334.1</v>
      </c>
      <c r="N42" s="65"/>
      <c r="O42" s="1028">
        <f>ROUND(SUM(O32:O41),1)</f>
        <v>1938.2</v>
      </c>
      <c r="P42" s="65"/>
      <c r="Q42" s="1028">
        <f>ROUND(SUM(Q32:Q41),1)</f>
        <v>1874.1</v>
      </c>
      <c r="R42" s="65"/>
      <c r="S42" s="1028">
        <f>ROUND(SUM(S32:S41),1)</f>
        <v>0</v>
      </c>
      <c r="T42" s="65"/>
      <c r="U42" s="1028">
        <f>ROUND(SUM(U32:U41),1)</f>
        <v>0</v>
      </c>
      <c r="V42" s="65"/>
      <c r="W42" s="1028">
        <f>ROUND(SUM(W32:W41),1)</f>
        <v>0</v>
      </c>
      <c r="X42" s="65"/>
      <c r="Y42" s="1028">
        <f>ROUND(SUM(Y32:Y41),1)</f>
        <v>0</v>
      </c>
      <c r="Z42" s="65"/>
      <c r="AA42" s="396"/>
      <c r="AB42" s="1028">
        <f>ROUND(SUM(AB32:AB41),1)</f>
        <v>15669.7</v>
      </c>
      <c r="AC42" s="65"/>
      <c r="AD42" s="872"/>
      <c r="AE42" s="1028">
        <f>ROUND(SUM(AE32:AE41),1)</f>
        <v>14804.2</v>
      </c>
      <c r="AF42" s="1585"/>
      <c r="AG42" s="65"/>
      <c r="AH42" s="680">
        <f>ROUND(SUM(AH32:AH41),1)</f>
        <v>865.5</v>
      </c>
      <c r="AI42" s="13"/>
      <c r="AJ42" s="1030">
        <f t="shared" si="4"/>
        <v>5.8000000000000003E-2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2"/>
      <c r="AE43" s="196"/>
      <c r="AF43" s="1585"/>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f>'Exhibit F'!P40+'Exhibit G'!P31+'Exhibit I'!Q23</f>
        <v>172.2999999999995</v>
      </c>
      <c r="P44" s="65"/>
      <c r="Q44" s="109">
        <f>'Exhibit F'!R40+'Exhibit G'!R31+'Exhibit I'!S23</f>
        <v>26.300000000000182</v>
      </c>
      <c r="R44" s="109"/>
      <c r="S44" s="109"/>
      <c r="T44" s="109"/>
      <c r="U44" s="109"/>
      <c r="V44" s="109"/>
      <c r="W44" s="109"/>
      <c r="X44" s="109"/>
      <c r="Y44" s="109"/>
      <c r="Z44" s="65"/>
      <c r="AA44" s="396"/>
      <c r="AB44" s="198">
        <f t="shared" ref="AB44:AB49" si="7">ROUND(SUM(C44:Y44),1)</f>
        <v>4346.2</v>
      </c>
      <c r="AC44" s="65"/>
      <c r="AD44" s="872"/>
      <c r="AE44" s="109">
        <f>+'Exhibit F'!AF40+'Exhibit G'!AH31+'Exhibit I'!AI23</f>
        <v>4676.8</v>
      </c>
      <c r="AF44" s="1585"/>
      <c r="AG44" s="65"/>
      <c r="AH44" s="269">
        <f t="shared" ref="AH44:AH49" si="8">ROUND(SUM(+AB44-AE44),1)</f>
        <v>-330.6</v>
      </c>
      <c r="AI44" s="13"/>
      <c r="AJ44" s="379">
        <f t="shared" ref="AJ44:AJ50" si="9">ROUND(IF(AE44=0,0,AH44/ABS(AE44)),3)</f>
        <v>-7.0999999999999994E-2</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f>'Exhibit F'!P41+'Exhibit G'!P32+'Exhibit I'!Q24</f>
        <v>0.90000000000000924</v>
      </c>
      <c r="P45" s="65"/>
      <c r="Q45" s="109">
        <f>'Exhibit F'!R41+'Exhibit G'!R32+'Exhibit I'!S24</f>
        <v>23.699999999999974</v>
      </c>
      <c r="R45" s="109"/>
      <c r="S45" s="109"/>
      <c r="T45" s="109"/>
      <c r="U45" s="109"/>
      <c r="V45" s="109"/>
      <c r="W45" s="109"/>
      <c r="X45" s="109"/>
      <c r="Y45" s="109"/>
      <c r="Z45" s="65"/>
      <c r="AA45" s="396"/>
      <c r="AB45" s="198">
        <f t="shared" si="7"/>
        <v>240.4</v>
      </c>
      <c r="AC45" s="65"/>
      <c r="AD45" s="872"/>
      <c r="AE45" s="109">
        <f>+'Exhibit F'!AF41+'Exhibit G'!AH32+'Exhibit I'!AI24</f>
        <v>235.70000000000002</v>
      </c>
      <c r="AF45" s="1585"/>
      <c r="AG45" s="65"/>
      <c r="AH45" s="269">
        <f t="shared" si="8"/>
        <v>4.7</v>
      </c>
      <c r="AI45" s="13"/>
      <c r="AJ45" s="873">
        <f t="shared" si="9"/>
        <v>0.02</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f>'Exhibit F'!P42+'Exhibit G'!P33</f>
        <v>2.3999999999999524</v>
      </c>
      <c r="P46" s="65"/>
      <c r="Q46" s="109">
        <f>'Exhibit F'!R42+'Exhibit G'!R33</f>
        <v>5.3999999999999746</v>
      </c>
      <c r="R46" s="109"/>
      <c r="S46" s="109"/>
      <c r="T46" s="109"/>
      <c r="U46" s="109"/>
      <c r="V46" s="109"/>
      <c r="W46" s="109"/>
      <c r="X46" s="109"/>
      <c r="Y46" s="109"/>
      <c r="Z46" s="65"/>
      <c r="AA46" s="396"/>
      <c r="AB46" s="198">
        <f t="shared" si="7"/>
        <v>1112.0999999999999</v>
      </c>
      <c r="AC46" s="65"/>
      <c r="AD46" s="872"/>
      <c r="AE46" s="109">
        <f>+'Exhibit F'!AF42+'Exhibit G'!AH33</f>
        <v>1267.4000000000001</v>
      </c>
      <c r="AF46" s="1585"/>
      <c r="AG46" s="65"/>
      <c r="AH46" s="269">
        <f t="shared" si="8"/>
        <v>-155.30000000000001</v>
      </c>
      <c r="AI46" s="13"/>
      <c r="AJ46" s="379">
        <f t="shared" si="9"/>
        <v>-0.123</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f>'Exhibit F'!P43+'Exhibit G'!P34</f>
        <v>-0.6000000000000002</v>
      </c>
      <c r="P47" s="65"/>
      <c r="Q47" s="109">
        <f>'Exhibit F'!R43+'Exhibit G'!R34</f>
        <v>-8.800000000000006</v>
      </c>
      <c r="R47" s="109"/>
      <c r="S47" s="109"/>
      <c r="T47" s="109"/>
      <c r="U47" s="109"/>
      <c r="V47" s="109"/>
      <c r="W47" s="109"/>
      <c r="X47" s="109"/>
      <c r="Y47" s="109"/>
      <c r="Z47" s="65"/>
      <c r="AA47" s="396"/>
      <c r="AB47" s="198">
        <f t="shared" si="7"/>
        <v>-24.8</v>
      </c>
      <c r="AC47" s="65"/>
      <c r="AD47" s="872"/>
      <c r="AE47" s="109">
        <f>+'Exhibit F'!AF43+'Exhibit G'!AH34</f>
        <v>-0.4</v>
      </c>
      <c r="AF47" s="1585"/>
      <c r="AG47" s="65"/>
      <c r="AH47" s="269">
        <f t="shared" si="8"/>
        <v>-24.4</v>
      </c>
      <c r="AI47" s="13"/>
      <c r="AJ47" s="548">
        <f>ROUND(IF(AE47=0,1,AH47/ABS(AE47)),3)</f>
        <v>-61</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f>'Exhibit F'!P44+'Exhibit H'!N23</f>
        <v>-823.80000000000007</v>
      </c>
      <c r="P48" s="65"/>
      <c r="Q48" s="109">
        <f>'Exhibit F'!R44+'Exhibit H'!P23</f>
        <v>-22.600000000000691</v>
      </c>
      <c r="R48" s="109"/>
      <c r="S48" s="109"/>
      <c r="T48" s="109"/>
      <c r="U48" s="109"/>
      <c r="V48" s="109"/>
      <c r="W48" s="109"/>
      <c r="X48" s="109"/>
      <c r="Y48" s="109"/>
      <c r="Z48" s="65"/>
      <c r="AA48" s="396"/>
      <c r="AB48" s="198">
        <f t="shared" si="7"/>
        <v>6169.4</v>
      </c>
      <c r="AC48" s="65"/>
      <c r="AD48" s="872"/>
      <c r="AE48" s="109">
        <f>+'Exhibit F'!AF44+'Exhibit H'!AD23</f>
        <v>5585.2</v>
      </c>
      <c r="AF48" s="1585"/>
      <c r="AG48" s="65"/>
      <c r="AH48" s="269">
        <f t="shared" si="8"/>
        <v>584.20000000000005</v>
      </c>
      <c r="AI48" s="13"/>
      <c r="AJ48" s="548">
        <f>ROUND(IF(AE48=0,1,AH48/ABS(AE48)),3)</f>
        <v>0.105</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f>'Exhibit F'!P45+'Exhibit G'!P35+'Exhibit I'!Q25</f>
        <v>90.099999999999952</v>
      </c>
      <c r="P49" s="65"/>
      <c r="Q49" s="109">
        <f>'Exhibit F'!R45+'Exhibit G'!R35+'Exhibit I'!S25</f>
        <v>77.90000000000002</v>
      </c>
      <c r="R49" s="109"/>
      <c r="S49" s="109"/>
      <c r="T49" s="109"/>
      <c r="U49" s="109"/>
      <c r="V49" s="109"/>
      <c r="W49" s="109"/>
      <c r="X49" s="109"/>
      <c r="Y49" s="109"/>
      <c r="Z49" s="65"/>
      <c r="AA49" s="396"/>
      <c r="AB49" s="198">
        <f t="shared" si="7"/>
        <v>692.3</v>
      </c>
      <c r="AC49" s="65"/>
      <c r="AD49" s="872"/>
      <c r="AE49" s="109">
        <f>+'Exhibit F'!AF45+'Exhibit G'!AH35+'Exhibit I'!AI25</f>
        <v>738</v>
      </c>
      <c r="AF49" s="1585"/>
      <c r="AG49" s="65"/>
      <c r="AH49" s="269">
        <f t="shared" si="8"/>
        <v>-45.7</v>
      </c>
      <c r="AI49" s="13"/>
      <c r="AJ49" s="379">
        <f t="shared" si="9"/>
        <v>-6.2E-2</v>
      </c>
    </row>
    <row r="50" spans="1:36" ht="16.5" customHeight="1">
      <c r="A50" s="87" t="s">
        <v>376</v>
      </c>
      <c r="B50" s="289"/>
      <c r="C50" s="1028">
        <f>ROUND(SUM(C44:C49),1)</f>
        <v>1367.3</v>
      </c>
      <c r="D50" s="1"/>
      <c r="E50" s="1028">
        <f>ROUND(SUM(E44:E49),1)</f>
        <v>335.1</v>
      </c>
      <c r="F50" s="1"/>
      <c r="G50" s="1028">
        <f>ROUND(SUM(G44:G49),1)</f>
        <v>5812.8</v>
      </c>
      <c r="H50" s="65"/>
      <c r="I50" s="1028">
        <f>ROUND(SUM(I44:I49),1)</f>
        <v>236.5</v>
      </c>
      <c r="J50" s="65"/>
      <c r="K50" s="1028">
        <f>ROUND(SUM(K44:K49),1)</f>
        <v>250.6</v>
      </c>
      <c r="L50" s="65"/>
      <c r="M50" s="1028">
        <f>ROUND(SUM(M44:M49),1)</f>
        <v>4990.1000000000004</v>
      </c>
      <c r="N50" s="65"/>
      <c r="O50" s="1028">
        <f>ROUND(SUM(O44:O49),1)</f>
        <v>-558.70000000000005</v>
      </c>
      <c r="P50" s="65"/>
      <c r="Q50" s="1028">
        <f>ROUND(SUM(Q44:Q49),1)</f>
        <v>101.9</v>
      </c>
      <c r="R50" s="65"/>
      <c r="S50" s="1028">
        <f>ROUND(SUM(S44:S49),1)</f>
        <v>0</v>
      </c>
      <c r="T50" s="65"/>
      <c r="U50" s="1028">
        <f>ROUND(SUM(U44:U49),1)</f>
        <v>0</v>
      </c>
      <c r="V50" s="65"/>
      <c r="W50" s="1028">
        <f>ROUND(SUM(W44:W49),1)</f>
        <v>0</v>
      </c>
      <c r="X50" s="65"/>
      <c r="Y50" s="1028">
        <f>ROUND(SUM(Y44:Y49),1)</f>
        <v>0</v>
      </c>
      <c r="Z50" s="65"/>
      <c r="AA50" s="396"/>
      <c r="AB50" s="1028">
        <f>ROUND(SUM(AB44:AB49),1)</f>
        <v>12535.6</v>
      </c>
      <c r="AC50" s="65"/>
      <c r="AD50" s="872"/>
      <c r="AE50" s="1028">
        <f>ROUND(SUM(AE44:AE49),1)</f>
        <v>12502.7</v>
      </c>
      <c r="AF50" s="1585"/>
      <c r="AG50" s="65"/>
      <c r="AH50" s="1028">
        <f>ROUND(SUM(AH44:AH49),1)</f>
        <v>32.9</v>
      </c>
      <c r="AI50" s="13"/>
      <c r="AJ50" s="1030">
        <f t="shared" si="9"/>
        <v>3.0000000000000001E-3</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2"/>
      <c r="AE51" s="196"/>
      <c r="AF51" s="1585"/>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f>'Exhibit F'!L48</f>
        <v>0</v>
      </c>
      <c r="L52" s="65"/>
      <c r="M52" s="518">
        <f>'Exhibit F'!N48</f>
        <v>0</v>
      </c>
      <c r="N52" s="65"/>
      <c r="O52" s="518">
        <f>'Exhibit F'!P48</f>
        <v>0</v>
      </c>
      <c r="P52" s="65"/>
      <c r="Q52" s="518">
        <f>'Exhibit F'!R48</f>
        <v>0</v>
      </c>
      <c r="R52" s="518"/>
      <c r="S52" s="518"/>
      <c r="T52" s="518"/>
      <c r="U52" s="518"/>
      <c r="V52" s="518"/>
      <c r="W52" s="518"/>
      <c r="X52" s="518"/>
      <c r="Y52" s="518"/>
      <c r="Z52" s="65"/>
      <c r="AA52" s="396"/>
      <c r="AB52" s="198">
        <f t="shared" ref="AB52:AB56" si="10">ROUND(SUM(C52:Y52),1)</f>
        <v>0</v>
      </c>
      <c r="AC52" s="65"/>
      <c r="AD52" s="872"/>
      <c r="AE52" s="518">
        <f>+'Exhibit F'!AF48</f>
        <v>0</v>
      </c>
      <c r="AF52" s="1585"/>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f>'Exhibit F'!P49</f>
        <v>166.7</v>
      </c>
      <c r="P53" s="65"/>
      <c r="Q53" s="109">
        <f>'Exhibit F'!R49</f>
        <v>132.49999999999994</v>
      </c>
      <c r="R53" s="109"/>
      <c r="S53" s="109"/>
      <c r="T53" s="109"/>
      <c r="U53" s="109"/>
      <c r="V53" s="109"/>
      <c r="W53" s="109"/>
      <c r="X53" s="109"/>
      <c r="Y53" s="109"/>
      <c r="Z53" s="65"/>
      <c r="AA53" s="396"/>
      <c r="AB53" s="198">
        <f t="shared" si="10"/>
        <v>1084.8</v>
      </c>
      <c r="AC53" s="65"/>
      <c r="AD53" s="872"/>
      <c r="AE53" s="109">
        <f>+'Exhibit F'!AF49</f>
        <v>916.1</v>
      </c>
      <c r="AF53" s="1585"/>
      <c r="AG53" s="65"/>
      <c r="AH53" s="269">
        <f t="shared" si="11"/>
        <v>168.7</v>
      </c>
      <c r="AI53" s="13"/>
      <c r="AJ53" s="379">
        <f t="shared" ref="AJ53:AJ58" si="12">ROUND(IF(AE53=0,0,AH53/ABS(AE53)),3)</f>
        <v>0.184</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f>'Exhibit F'!P50</f>
        <v>1.8</v>
      </c>
      <c r="P54" s="65"/>
      <c r="Q54" s="109">
        <f>'Exhibit F'!R50</f>
        <v>0.49999999999999956</v>
      </c>
      <c r="R54" s="109"/>
      <c r="S54" s="109"/>
      <c r="T54" s="109"/>
      <c r="U54" s="109"/>
      <c r="V54" s="109"/>
      <c r="W54" s="109"/>
      <c r="X54" s="109"/>
      <c r="Y54" s="109"/>
      <c r="Z54" s="65"/>
      <c r="AA54" s="396"/>
      <c r="AB54" s="198">
        <f t="shared" si="10"/>
        <v>10.1</v>
      </c>
      <c r="AC54" s="65"/>
      <c r="AD54" s="872"/>
      <c r="AE54" s="109">
        <f>+'Exhibit F'!AF50</f>
        <v>9.6999999999999993</v>
      </c>
      <c r="AF54" s="1585"/>
      <c r="AG54" s="65"/>
      <c r="AH54" s="269">
        <f t="shared" si="11"/>
        <v>0.4</v>
      </c>
      <c r="AI54" s="13"/>
      <c r="AJ54" s="379">
        <f t="shared" si="12"/>
        <v>4.1000000000000002E-2</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f>'Exhibit F'!P51+'Exhibit H'!N26+'Exhibit I'!Q28</f>
        <v>126.10000000000008</v>
      </c>
      <c r="P55" s="65"/>
      <c r="Q55" s="109">
        <f>'Exhibit F'!R51+'Exhibit H'!P26+'Exhibit I'!S28</f>
        <v>120.49999999999999</v>
      </c>
      <c r="R55" s="109"/>
      <c r="S55" s="109"/>
      <c r="T55" s="109"/>
      <c r="U55" s="109"/>
      <c r="V55" s="109"/>
      <c r="W55" s="109"/>
      <c r="X55" s="109"/>
      <c r="Y55" s="109"/>
      <c r="Z55" s="65"/>
      <c r="AA55" s="396"/>
      <c r="AB55" s="198">
        <f t="shared" si="10"/>
        <v>958.8</v>
      </c>
      <c r="AC55" s="65"/>
      <c r="AD55" s="872"/>
      <c r="AE55" s="109">
        <f>+'Exhibit F'!AF51+'Exhibit H'!AD26+'Exhibit I'!AI28</f>
        <v>832.1</v>
      </c>
      <c r="AF55" s="1585"/>
      <c r="AG55" s="65"/>
      <c r="AH55" s="269">
        <f t="shared" si="11"/>
        <v>126.7</v>
      </c>
      <c r="AI55" s="13"/>
      <c r="AJ55" s="379">
        <f t="shared" si="12"/>
        <v>0.152</v>
      </c>
    </row>
    <row r="56" spans="1:36" ht="16.5" customHeight="1">
      <c r="A56" s="289" t="s">
        <v>382</v>
      </c>
      <c r="B56" s="289"/>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f>'Exhibit F'!P52</f>
        <v>0</v>
      </c>
      <c r="P56" s="65"/>
      <c r="Q56" s="109">
        <f>'Exhibit F'!R52</f>
        <v>0.4</v>
      </c>
      <c r="R56" s="109"/>
      <c r="S56" s="109"/>
      <c r="T56" s="109"/>
      <c r="U56" s="109"/>
      <c r="V56" s="109"/>
      <c r="W56" s="109"/>
      <c r="X56" s="109"/>
      <c r="Y56" s="109"/>
      <c r="Z56" s="65"/>
      <c r="AA56" s="396"/>
      <c r="AB56" s="198">
        <f t="shared" si="10"/>
        <v>0.7</v>
      </c>
      <c r="AC56" s="65"/>
      <c r="AD56" s="872"/>
      <c r="AE56" s="109">
        <f>+'Exhibit F'!AF52</f>
        <v>0.4</v>
      </c>
      <c r="AF56" s="1585"/>
      <c r="AG56" s="65"/>
      <c r="AH56" s="269">
        <f t="shared" si="11"/>
        <v>0.3</v>
      </c>
      <c r="AI56" s="13"/>
      <c r="AJ56" s="271">
        <f>ROUND(IF(AE56=0,1,AH56/ABS(AE56)),3)</f>
        <v>0.75</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f>'Exhibit F'!P53+'Exhibit H'!N27</f>
        <v>0.79999999999999949</v>
      </c>
      <c r="P57" s="65"/>
      <c r="Q57" s="109">
        <f>'Exhibit F'!R53+'Exhibit H'!P27</f>
        <v>0.40000000000000069</v>
      </c>
      <c r="R57" s="109"/>
      <c r="S57" s="109"/>
      <c r="T57" s="109"/>
      <c r="U57" s="109"/>
      <c r="V57" s="109"/>
      <c r="W57" s="109"/>
      <c r="X57" s="109"/>
      <c r="Y57" s="109"/>
      <c r="Z57" s="65"/>
      <c r="AA57" s="396"/>
      <c r="AB57" s="198">
        <f t="shared" ref="AB57" si="13">ROUND(SUM(C57:Y57),1)</f>
        <v>3.2</v>
      </c>
      <c r="AC57" s="65"/>
      <c r="AD57" s="872"/>
      <c r="AE57" s="109">
        <f>+'Exhibit F'!AF53+'Exhibit H'!AD27</f>
        <v>3.6</v>
      </c>
      <c r="AF57" s="1585"/>
      <c r="AG57" s="65"/>
      <c r="AH57" s="269">
        <f>ROUND(SUM(+AB57-AE57),1)</f>
        <v>-0.4</v>
      </c>
      <c r="AI57" s="66"/>
      <c r="AJ57" s="539">
        <f>ROUND(IF(AE57=0,1,AH57/ABS(AE57)),3)</f>
        <v>-0.111</v>
      </c>
    </row>
    <row r="58" spans="1:36" ht="16.5" customHeight="1">
      <c r="A58" s="87" t="s">
        <v>384</v>
      </c>
      <c r="B58" s="289"/>
      <c r="C58" s="1028">
        <f>ROUND(SUM(C52:C57),1)</f>
        <v>263.39999999999998</v>
      </c>
      <c r="D58" s="1"/>
      <c r="E58" s="1028">
        <f>ROUND(SUM(E52:E57),1)</f>
        <v>268.7</v>
      </c>
      <c r="F58" s="1"/>
      <c r="G58" s="1028">
        <f>ROUND(SUM(G52:G57),1)</f>
        <v>184.4</v>
      </c>
      <c r="H58" s="65"/>
      <c r="I58" s="1028">
        <f>ROUND(SUM(I52:I57),1)</f>
        <v>225.3</v>
      </c>
      <c r="J58" s="65"/>
      <c r="K58" s="1028">
        <f>ROUND(SUM(K52:K57),1)</f>
        <v>305.60000000000002</v>
      </c>
      <c r="L58" s="65"/>
      <c r="M58" s="1028">
        <f>ROUND(SUM(M52:M57),1)</f>
        <v>260.5</v>
      </c>
      <c r="N58" s="65"/>
      <c r="O58" s="1028">
        <f>ROUND(SUM(O52:O57),1)</f>
        <v>295.39999999999998</v>
      </c>
      <c r="P58" s="65"/>
      <c r="Q58" s="1028">
        <f>ROUND(SUM(Q52:Q57),1)</f>
        <v>254.3</v>
      </c>
      <c r="R58" s="65"/>
      <c r="S58" s="1028">
        <f>ROUND(SUM(S52:S57),1)</f>
        <v>0</v>
      </c>
      <c r="T58" s="65"/>
      <c r="U58" s="1028">
        <f>ROUND(SUM(U52:U57),1)</f>
        <v>0</v>
      </c>
      <c r="V58" s="65"/>
      <c r="W58" s="1028">
        <f>ROUND(SUM(W52:W57),1)</f>
        <v>0</v>
      </c>
      <c r="X58" s="65"/>
      <c r="Y58" s="1028">
        <f>ROUND(SUM(Y52:Y57),1)</f>
        <v>0</v>
      </c>
      <c r="Z58" s="65"/>
      <c r="AA58" s="396"/>
      <c r="AB58" s="1028">
        <f>ROUND(SUM(AB52:AB57),1)</f>
        <v>2057.6</v>
      </c>
      <c r="AC58" s="65"/>
      <c r="AD58" s="872"/>
      <c r="AE58" s="1028">
        <f>ROUND(SUM(AE52:AE57),1)</f>
        <v>1761.9</v>
      </c>
      <c r="AF58" s="1585"/>
      <c r="AG58" s="65"/>
      <c r="AH58" s="1028">
        <f>ROUND(SUM(AH52:AH57),1)</f>
        <v>295.7</v>
      </c>
      <c r="AI58" s="13"/>
      <c r="AJ58" s="1030">
        <f t="shared" si="12"/>
        <v>0.16800000000000001</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2"/>
      <c r="AE59" s="65"/>
      <c r="AF59" s="1585"/>
      <c r="AG59" s="65"/>
      <c r="AH59" s="273"/>
      <c r="AI59" s="65"/>
      <c r="AJ59" s="273"/>
    </row>
    <row r="60" spans="1:36" ht="16.5" customHeight="1">
      <c r="A60" s="87" t="s">
        <v>385</v>
      </c>
      <c r="B60" s="369"/>
      <c r="C60" s="999">
        <f>ROUND(SUM(C58+C50+C42+C30),1)</f>
        <v>13116</v>
      </c>
      <c r="D60" s="269"/>
      <c r="E60" s="999">
        <f>ROUND(SUM(E58+E50+E42+E30),1)</f>
        <v>6184.4</v>
      </c>
      <c r="F60" s="269"/>
      <c r="G60" s="999">
        <f>ROUND(SUM(G58+G50+G42+G30),1)</f>
        <v>13908.1</v>
      </c>
      <c r="H60" s="269"/>
      <c r="I60" s="999">
        <f>ROUND(SUM(I58+I50+I42+I30),1)</f>
        <v>6812.6</v>
      </c>
      <c r="J60" s="269"/>
      <c r="K60" s="999">
        <f>ROUND(SUM(K58+K50+K42+K30),1)</f>
        <v>6707.9</v>
      </c>
      <c r="L60" s="269"/>
      <c r="M60" s="999">
        <f>ROUND(SUM(M58+M50+M42+M30),1)</f>
        <v>13142.2</v>
      </c>
      <c r="N60" s="269"/>
      <c r="O60" s="999">
        <f>ROUND(SUM(O58+O50+O42+O30),1)</f>
        <v>3696.5</v>
      </c>
      <c r="P60" s="269"/>
      <c r="Q60" s="999">
        <f>ROUND(SUM(Q58+Q50+Q42+Q30),1)</f>
        <v>4926.3999999999996</v>
      </c>
      <c r="R60" s="269"/>
      <c r="S60" s="999">
        <f>ROUND(SUM(S58+S50+S42+S30),1)</f>
        <v>0</v>
      </c>
      <c r="T60" s="269"/>
      <c r="U60" s="999">
        <f>ROUND(SUM(U58+U50+U42+U30),1)</f>
        <v>0</v>
      </c>
      <c r="V60" s="269"/>
      <c r="W60" s="999">
        <f>ROUND(SUM(W58+W50+W42+W30),1)</f>
        <v>0</v>
      </c>
      <c r="X60" s="273"/>
      <c r="Y60" s="999">
        <f>ROUND(SUM(Y58+Y50+Y42+Y30),1)</f>
        <v>0</v>
      </c>
      <c r="Z60" s="273"/>
      <c r="AA60" s="868"/>
      <c r="AB60" s="1031">
        <f>ROUND(+AB58+AB50+AB42+AB30,1)</f>
        <v>68494.100000000006</v>
      </c>
      <c r="AC60" s="269"/>
      <c r="AD60" s="529"/>
      <c r="AE60" s="1031">
        <f>ROUND(+AE58+AE50+AE42+AE30,1)</f>
        <v>64398</v>
      </c>
      <c r="AF60" s="525"/>
      <c r="AG60" s="705"/>
      <c r="AH60" s="1031">
        <f>ROUND(+AH58+AH50+AH42+AH30,1)</f>
        <v>4096.1000000000004</v>
      </c>
      <c r="AI60" s="269"/>
      <c r="AJ60" s="874">
        <f>ROUND(IF(AE60=0,0,AH60/ABS(AE60)),3)</f>
        <v>6.4000000000000001E-2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587"/>
      <c r="AG61" s="198"/>
      <c r="AH61" s="198"/>
      <c r="AI61" s="65"/>
      <c r="AJ61" s="288"/>
    </row>
    <row r="62" spans="1:36" ht="16.5" customHeight="1">
      <c r="A62" s="1235"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5"/>
      <c r="AE62" s="198"/>
      <c r="AF62" s="1587"/>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587"/>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f>'Exhibit F'!P60+'Exhibit G'!P42+'Exhibit I'!Q35</f>
        <v>31.399999999999991</v>
      </c>
      <c r="P64" s="198"/>
      <c r="Q64" s="198">
        <f>'Exhibit F'!R60+'Exhibit G'!R42+'Exhibit I'!S35</f>
        <v>131.40000000000003</v>
      </c>
      <c r="R64" s="198"/>
      <c r="S64" s="198"/>
      <c r="T64" s="198"/>
      <c r="U64" s="198"/>
      <c r="V64" s="198"/>
      <c r="W64" s="198"/>
      <c r="X64" s="198"/>
      <c r="Y64" s="198"/>
      <c r="Z64" s="198"/>
      <c r="AA64" s="199"/>
      <c r="AB64" s="198">
        <f t="shared" ref="AB64:AB104" si="14">ROUND(SUM(C64:Y64),1)</f>
        <v>282.39999999999998</v>
      </c>
      <c r="AC64" s="198"/>
      <c r="AD64" s="875"/>
      <c r="AE64" s="198">
        <f>+'Exhibit F'!AF60+'Exhibit G'!AH42</f>
        <v>279</v>
      </c>
      <c r="AF64" s="1587"/>
      <c r="AG64" s="198"/>
      <c r="AH64" s="198">
        <f t="shared" ref="AH64:AH104" si="15">ROUND(SUM(AB64-AE64),1)</f>
        <v>3.4</v>
      </c>
      <c r="AI64" s="65"/>
      <c r="AJ64" s="379">
        <f>ROUND(IF(AE64=0,0,AH64/ABS(AE64)),3)</f>
        <v>1.2E-2</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f>'Exhibit F'!P61+'Exhibit I'!Q36</f>
        <v>2.8000000000000131</v>
      </c>
      <c r="P65" s="198"/>
      <c r="Q65" s="198">
        <f>'Exhibit F'!R61+'Exhibit I'!S36</f>
        <v>1.2999999999999989</v>
      </c>
      <c r="R65" s="198"/>
      <c r="S65" s="198"/>
      <c r="T65" s="198"/>
      <c r="U65" s="198"/>
      <c r="V65" s="198"/>
      <c r="W65" s="198"/>
      <c r="X65" s="198"/>
      <c r="Y65" s="198"/>
      <c r="Z65" s="198"/>
      <c r="AA65" s="199"/>
      <c r="AB65" s="198">
        <f t="shared" si="14"/>
        <v>77.400000000000006</v>
      </c>
      <c r="AC65" s="198"/>
      <c r="AD65" s="875"/>
      <c r="AE65" s="198">
        <f>+'Exhibit F'!AF61+'Exhibit I'!AI36</f>
        <v>60.8</v>
      </c>
      <c r="AF65" s="1587"/>
      <c r="AG65" s="198"/>
      <c r="AH65" s="198">
        <f t="shared" si="15"/>
        <v>16.600000000000001</v>
      </c>
      <c r="AI65" s="65"/>
      <c r="AJ65" s="873">
        <f>ROUND(IF(AE65=0,0,AH65/ABS(AE65)),3)</f>
        <v>0.27300000000000002</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587"/>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f>'Exhibit F'!P63+'Exhibit G'!P44+'Exhibit I'!Q38</f>
        <v>87.300000000000054</v>
      </c>
      <c r="P67" s="198"/>
      <c r="Q67" s="198">
        <f>'Exhibit F'!R63+'Exhibit G'!R44+'Exhibit I'!S38</f>
        <v>60.799999999999919</v>
      </c>
      <c r="R67" s="198"/>
      <c r="S67" s="198"/>
      <c r="T67" s="198"/>
      <c r="U67" s="198"/>
      <c r="V67" s="198"/>
      <c r="W67" s="198"/>
      <c r="X67" s="198"/>
      <c r="Y67" s="198"/>
      <c r="Z67" s="198"/>
      <c r="AA67" s="199"/>
      <c r="AB67" s="198">
        <f>ROUND(SUM(C67:Y67),1)</f>
        <v>600.20000000000005</v>
      </c>
      <c r="AC67" s="198"/>
      <c r="AD67" s="875"/>
      <c r="AE67" s="198">
        <f>+'Exhibit F'!AF63+'Exhibit G'!AH44+'Exhibit I'!AI38</f>
        <v>627.20000000000005</v>
      </c>
      <c r="AF67" s="1587"/>
      <c r="AG67" s="198"/>
      <c r="AH67" s="198">
        <f t="shared" si="15"/>
        <v>-27</v>
      </c>
      <c r="AI67" s="65"/>
      <c r="AJ67" s="379">
        <f>ROUND(IF(AE67=0,0,AH67/ABS(AE67)),3)</f>
        <v>-4.2999999999999997E-2</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f>'Exhibit F'!P64+'Exhibit G'!P45</f>
        <v>694.30000000000075</v>
      </c>
      <c r="P68" s="198"/>
      <c r="Q68" s="198">
        <f>'Exhibit F'!R64+'Exhibit G'!R45</f>
        <v>671.89999999999964</v>
      </c>
      <c r="R68" s="198"/>
      <c r="S68" s="198"/>
      <c r="T68" s="198"/>
      <c r="U68" s="198"/>
      <c r="V68" s="198"/>
      <c r="W68" s="198"/>
      <c r="X68" s="198"/>
      <c r="Y68" s="198"/>
      <c r="Z68" s="198"/>
      <c r="AA68" s="199"/>
      <c r="AB68" s="198">
        <f t="shared" si="14"/>
        <v>5490.8</v>
      </c>
      <c r="AC68" s="198"/>
      <c r="AD68" s="875"/>
      <c r="AE68" s="198">
        <f>+'Exhibit F'!AF64+'Exhibit G'!AH45+'Exhibit H'!AD34</f>
        <v>5345.1</v>
      </c>
      <c r="AF68" s="1587"/>
      <c r="AG68" s="198"/>
      <c r="AH68" s="198">
        <f t="shared" si="15"/>
        <v>145.69999999999999</v>
      </c>
      <c r="AI68" s="65"/>
      <c r="AJ68" s="379">
        <f>ROUND(IF(AE68=0,0,AH68/ABS(AE68)),3)</f>
        <v>2.7E-2</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f>'Exhibit F'!P65+'Exhibit G'!P46</f>
        <v>0</v>
      </c>
      <c r="P69" s="198"/>
      <c r="Q69" s="198">
        <f>'Exhibit F'!R65+'Exhibit G'!R46</f>
        <v>-22.000000000000011</v>
      </c>
      <c r="R69" s="198"/>
      <c r="S69" s="198"/>
      <c r="T69" s="198"/>
      <c r="U69" s="198"/>
      <c r="V69" s="198"/>
      <c r="W69" s="198"/>
      <c r="X69" s="198"/>
      <c r="Y69" s="198"/>
      <c r="Z69" s="198"/>
      <c r="AA69" s="199"/>
      <c r="AB69" s="198">
        <f t="shared" si="14"/>
        <v>46.7</v>
      </c>
      <c r="AC69" s="198"/>
      <c r="AD69" s="875"/>
      <c r="AE69" s="198">
        <f>+'Exhibit F'!AF65+'Exhibit G'!AH46</f>
        <v>47.3</v>
      </c>
      <c r="AF69" s="1587"/>
      <c r="AG69" s="198"/>
      <c r="AH69" s="198">
        <f t="shared" si="15"/>
        <v>-0.6</v>
      </c>
      <c r="AI69" s="65"/>
      <c r="AJ69" s="873">
        <f>ROUND(IF(AE69=0,0,AH69/ABS(AE69)),3)</f>
        <v>-1.2999999999999999E-2</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f>'Exhibit F'!P66+'Exhibit G'!P47</f>
        <v>591</v>
      </c>
      <c r="P70" s="198"/>
      <c r="Q70" s="198">
        <f>'Exhibit F'!R66+'Exhibit G'!R47</f>
        <v>1014.8</v>
      </c>
      <c r="R70" s="198"/>
      <c r="S70" s="198"/>
      <c r="T70" s="198"/>
      <c r="U70" s="198"/>
      <c r="V70" s="198"/>
      <c r="W70" s="198"/>
      <c r="X70" s="198"/>
      <c r="Y70" s="198"/>
      <c r="Z70" s="198"/>
      <c r="AA70" s="199"/>
      <c r="AB70" s="198">
        <f t="shared" si="14"/>
        <v>2237.1</v>
      </c>
      <c r="AC70" s="198"/>
      <c r="AD70" s="875"/>
      <c r="AE70" s="198">
        <f>+'Exhibit F'!AF66+'Exhibit G'!AH47</f>
        <v>0.2</v>
      </c>
      <c r="AF70" s="1587"/>
      <c r="AG70" s="198"/>
      <c r="AH70" s="198">
        <f t="shared" si="15"/>
        <v>2236.9</v>
      </c>
      <c r="AI70" s="65"/>
      <c r="AJ70" s="548">
        <f>ROUND(IF(AE70=0,1,AH70/ABS(AE70)),3)</f>
        <v>11184.5</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587"/>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c r="T72" s="198"/>
      <c r="U72" s="198"/>
      <c r="V72" s="198"/>
      <c r="W72" s="198"/>
      <c r="X72" s="198"/>
      <c r="Y72" s="198"/>
      <c r="Z72" s="198"/>
      <c r="AA72" s="199"/>
      <c r="AB72" s="198">
        <f t="shared" si="14"/>
        <v>41</v>
      </c>
      <c r="AC72" s="198"/>
      <c r="AD72" s="875"/>
      <c r="AE72" s="198">
        <f>+'Exhibit F'!AF68+'Exhibit H'!AD36</f>
        <v>41.2</v>
      </c>
      <c r="AF72" s="1587"/>
      <c r="AG72" s="198"/>
      <c r="AH72" s="198">
        <f t="shared" si="15"/>
        <v>-0.2</v>
      </c>
      <c r="AI72" s="65"/>
      <c r="AJ72" s="271">
        <f t="shared" ref="AJ72:AJ79" si="16">ROUND(IF(AE72=0,0,AH72/ABS(AE72)),3)</f>
        <v>-5.0000000000000001E-3</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f>'Exhibit G'!P49</f>
        <v>0</v>
      </c>
      <c r="P73" s="198"/>
      <c r="Q73" s="198">
        <f>'Exhibit G'!R49</f>
        <v>0</v>
      </c>
      <c r="R73" s="198"/>
      <c r="S73" s="198"/>
      <c r="T73" s="198"/>
      <c r="U73" s="198"/>
      <c r="V73" s="198"/>
      <c r="W73" s="198"/>
      <c r="X73" s="198"/>
      <c r="Y73" s="198"/>
      <c r="Z73" s="198"/>
      <c r="AA73" s="397"/>
      <c r="AB73" s="198">
        <f t="shared" si="14"/>
        <v>2.6</v>
      </c>
      <c r="AC73" s="198"/>
      <c r="AD73" s="875"/>
      <c r="AE73" s="198">
        <f>'Exhibit G'!AH49</f>
        <v>2.5</v>
      </c>
      <c r="AF73" s="1587"/>
      <c r="AG73" s="198"/>
      <c r="AH73" s="198">
        <f>ROUND(SUM(AB73-AE73),1)</f>
        <v>0.1</v>
      </c>
      <c r="AI73" s="65"/>
      <c r="AJ73" s="271">
        <f>ROUND(IF(AE73=0,0,AH73/ABS(AE73)),3)</f>
        <v>0.04</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f>'Exhibit F'!P70+'Exhibit G'!P50+'Exhibit H'!N37+'Exhibit I'!Q40</f>
        <v>81.000000000000028</v>
      </c>
      <c r="P74" s="198"/>
      <c r="Q74" s="198">
        <f>'Exhibit F'!R70+'Exhibit G'!R50+'Exhibit H'!P37+'Exhibit I'!S40</f>
        <v>66.399999999999949</v>
      </c>
      <c r="R74" s="198"/>
      <c r="S74" s="198"/>
      <c r="T74" s="198"/>
      <c r="U74" s="198"/>
      <c r="V74" s="198"/>
      <c r="W74" s="198"/>
      <c r="X74" s="198"/>
      <c r="Y74" s="198"/>
      <c r="Z74" s="198"/>
      <c r="AA74" s="199"/>
      <c r="AB74" s="198">
        <f t="shared" si="14"/>
        <v>649</v>
      </c>
      <c r="AC74" s="198"/>
      <c r="AD74" s="875"/>
      <c r="AE74" s="269">
        <f>+'Exhibit F'!AF70+'Exhibit G'!AH50+'Exhibit I'!AI40+'Exhibit H'!AD37</f>
        <v>644.70000000000005</v>
      </c>
      <c r="AF74" s="1587"/>
      <c r="AG74" s="198"/>
      <c r="AH74" s="198">
        <f>ROUND(SUM(AB74-AE74),1)</f>
        <v>4.3</v>
      </c>
      <c r="AI74" s="65"/>
      <c r="AJ74" s="271">
        <f>ROUND(IF(AE74=0,1,AH74/ABS(AE74)),3)</f>
        <v>7.0000000000000001E-3</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f>'Exhibit F'!P71+'Exhibit G'!P51+'Exhibit H'!N38+'Exhibit I'!Q41</f>
        <v>13.899999999999975</v>
      </c>
      <c r="P75" s="198"/>
      <c r="Q75" s="198">
        <f>'Exhibit F'!R71+'Exhibit G'!R51+'Exhibit H'!P38+'Exhibit I'!S41</f>
        <v>46.000000000000014</v>
      </c>
      <c r="R75" s="198"/>
      <c r="S75" s="198"/>
      <c r="T75" s="198"/>
      <c r="U75" s="198"/>
      <c r="V75" s="198"/>
      <c r="W75" s="198"/>
      <c r="X75" s="198"/>
      <c r="Y75" s="198"/>
      <c r="Z75" s="198"/>
      <c r="AA75" s="199"/>
      <c r="AB75" s="198">
        <f t="shared" si="14"/>
        <v>210.5</v>
      </c>
      <c r="AC75" s="198"/>
      <c r="AD75" s="875"/>
      <c r="AE75" s="198">
        <f>+'Exhibit F'!AF71+'Exhibit G'!AH51+'Exhibit H'!AD38+'Exhibit I'!AI41</f>
        <v>179.6</v>
      </c>
      <c r="AF75" s="1587"/>
      <c r="AG75" s="198"/>
      <c r="AH75" s="198">
        <f t="shared" si="15"/>
        <v>30.9</v>
      </c>
      <c r="AI75" s="65"/>
      <c r="AJ75" s="271">
        <f t="shared" si="16"/>
        <v>0.17199999999999999</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f>'Exhibit F'!P72+'Exhibit G'!P52+'Exhibit H'!N39</f>
        <v>0.3999999999999998</v>
      </c>
      <c r="P76" s="198"/>
      <c r="Q76" s="198">
        <f>'Exhibit F'!R72+'Exhibit G'!R52+'Exhibit H'!P39</f>
        <v>0.80000000000000016</v>
      </c>
      <c r="R76" s="198"/>
      <c r="S76" s="198"/>
      <c r="T76" s="198"/>
      <c r="U76" s="198"/>
      <c r="V76" s="198"/>
      <c r="W76" s="198"/>
      <c r="X76" s="198"/>
      <c r="Y76" s="198"/>
      <c r="Z76" s="198"/>
      <c r="AA76" s="199"/>
      <c r="AB76" s="198">
        <f t="shared" si="14"/>
        <v>3.8</v>
      </c>
      <c r="AC76" s="198"/>
      <c r="AD76" s="875"/>
      <c r="AE76" s="198">
        <f>+'Exhibit F'!AF72+'Exhibit G'!AH52+'Exhibit H'!AD39</f>
        <v>4.0999999999999996</v>
      </c>
      <c r="AF76" s="1587"/>
      <c r="AG76" s="198"/>
      <c r="AH76" s="198">
        <f t="shared" si="15"/>
        <v>-0.3</v>
      </c>
      <c r="AI76" s="65"/>
      <c r="AJ76" s="271">
        <f>ROUND(IF(AE76=0,0,AH76/ABS(AE76)),3)</f>
        <v>-7.2999999999999995E-2</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f>'Exhibit F'!P73+'Exhibit G'!P53+'Exhibit H'!N40+'Exhibit I'!Q42</f>
        <v>106.20000000000005</v>
      </c>
      <c r="P77" s="198"/>
      <c r="Q77" s="198">
        <f>'Exhibit F'!R73+'Exhibit G'!R53+'Exhibit H'!P40+'Exhibit I'!S42</f>
        <v>82.699999999999903</v>
      </c>
      <c r="R77" s="198"/>
      <c r="S77" s="198"/>
      <c r="T77" s="198"/>
      <c r="U77" s="198"/>
      <c r="V77" s="198"/>
      <c r="W77" s="198"/>
      <c r="X77" s="198"/>
      <c r="Y77" s="198"/>
      <c r="Z77" s="198"/>
      <c r="AA77" s="199"/>
      <c r="AB77" s="198">
        <f t="shared" si="14"/>
        <v>907.6</v>
      </c>
      <c r="AC77" s="198"/>
      <c r="AD77" s="875"/>
      <c r="AE77" s="198">
        <f>+'Exhibit F'!AF73+'Exhibit G'!AH53+'Exhibit I'!AI42+'Exhibit H'!AD40</f>
        <v>850</v>
      </c>
      <c r="AF77" s="1587"/>
      <c r="AG77" s="198"/>
      <c r="AH77" s="198">
        <f t="shared" si="15"/>
        <v>57.6</v>
      </c>
      <c r="AI77" s="65"/>
      <c r="AJ77" s="271">
        <f t="shared" si="16"/>
        <v>6.8000000000000005E-2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f>'Exhibit F'!P74+'Exhibit G'!P54+'Exhibit H'!N41+'Exhibit I'!Q43</f>
        <v>93.199999999999932</v>
      </c>
      <c r="P78" s="198"/>
      <c r="Q78" s="198">
        <f>'Exhibit F'!R74+'Exhibit G'!R54+'Exhibit H'!P41+'Exhibit I'!S43</f>
        <v>92.900000000000034</v>
      </c>
      <c r="R78" s="198"/>
      <c r="S78" s="198"/>
      <c r="T78" s="198"/>
      <c r="U78" s="198"/>
      <c r="V78" s="198"/>
      <c r="W78" s="198"/>
      <c r="X78" s="198"/>
      <c r="Y78" s="198"/>
      <c r="Z78" s="198"/>
      <c r="AA78" s="199"/>
      <c r="AB78" s="198">
        <f t="shared" si="14"/>
        <v>737.9</v>
      </c>
      <c r="AC78" s="198"/>
      <c r="AD78" s="875"/>
      <c r="AE78" s="198">
        <f>+'Exhibit F'!AF74+'Exhibit G'!AH54+'Exhibit I'!AI43+'Exhibit H'!AD41</f>
        <v>681.6</v>
      </c>
      <c r="AF78" s="1587"/>
      <c r="AG78" s="198"/>
      <c r="AH78" s="198">
        <f t="shared" si="15"/>
        <v>56.3</v>
      </c>
      <c r="AI78" s="65"/>
      <c r="AJ78" s="271">
        <f t="shared" si="16"/>
        <v>8.3000000000000004E-2</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f>'Exhibit F'!P75+'Exhibit G'!P55+'Exhibit I'!Q44</f>
        <v>74.199999999999974</v>
      </c>
      <c r="P79" s="198"/>
      <c r="Q79" s="198">
        <f>'Exhibit F'!R75+'Exhibit G'!R55+'Exhibit I'!S44</f>
        <v>57.200000000000038</v>
      </c>
      <c r="R79" s="198"/>
      <c r="S79" s="198"/>
      <c r="T79" s="198"/>
      <c r="U79" s="198"/>
      <c r="V79" s="198"/>
      <c r="W79" s="198"/>
      <c r="X79" s="198"/>
      <c r="Y79" s="198"/>
      <c r="Z79" s="198"/>
      <c r="AA79" s="199"/>
      <c r="AB79" s="198">
        <f t="shared" si="14"/>
        <v>396.1</v>
      </c>
      <c r="AC79" s="198"/>
      <c r="AD79" s="875"/>
      <c r="AE79" s="198">
        <f>+'Exhibit F'!AF75+'Exhibit G'!AH55+'Exhibit I'!AI44</f>
        <v>353</v>
      </c>
      <c r="AF79" s="1587"/>
      <c r="AG79" s="198"/>
      <c r="AH79" s="198">
        <f t="shared" si="15"/>
        <v>43.1</v>
      </c>
      <c r="AI79" s="65"/>
      <c r="AJ79" s="271">
        <f t="shared" si="16"/>
        <v>0.122</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587"/>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f>'Exhibit G'!P57</f>
        <v>41.999999999999986</v>
      </c>
      <c r="P81" s="198"/>
      <c r="Q81" s="198">
        <f>'Exhibit G'!R57</f>
        <v>13.199999999999974</v>
      </c>
      <c r="R81" s="198"/>
      <c r="S81" s="198"/>
      <c r="T81" s="198"/>
      <c r="U81" s="198"/>
      <c r="V81" s="198"/>
      <c r="W81" s="198"/>
      <c r="X81" s="198"/>
      <c r="Y81" s="198"/>
      <c r="Z81" s="198"/>
      <c r="AA81" s="199"/>
      <c r="AB81" s="198">
        <f t="shared" ref="AB81:AB86" si="17">ROUND(SUM(C81:Y81),1)</f>
        <v>203.7</v>
      </c>
      <c r="AC81" s="198"/>
      <c r="AD81" s="875"/>
      <c r="AE81" s="198">
        <f>+'Exhibit G'!AH57</f>
        <v>193.5</v>
      </c>
      <c r="AF81" s="1587"/>
      <c r="AG81" s="198"/>
      <c r="AH81" s="198">
        <f t="shared" ref="AH81:AH86" si="18">ROUND(SUM(AB81-AE81),1)</f>
        <v>10.199999999999999</v>
      </c>
      <c r="AI81" s="65"/>
      <c r="AJ81" s="548">
        <f>ROUND(IF(AE81=0,1,AH81/ABS(AE81)),3)</f>
        <v>5.2999999999999999E-2</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f>'Exhibit G'!P58</f>
        <v>223.30000000000007</v>
      </c>
      <c r="P82" s="198"/>
      <c r="Q82" s="198">
        <f>'Exhibit G'!R58</f>
        <v>182.99999999999989</v>
      </c>
      <c r="R82" s="198"/>
      <c r="S82" s="198"/>
      <c r="T82" s="198"/>
      <c r="U82" s="198"/>
      <c r="V82" s="198"/>
      <c r="W82" s="198"/>
      <c r="X82" s="198"/>
      <c r="Y82" s="198"/>
      <c r="Z82" s="198"/>
      <c r="AA82" s="199"/>
      <c r="AB82" s="198">
        <f t="shared" si="17"/>
        <v>1588.7</v>
      </c>
      <c r="AC82" s="198"/>
      <c r="AD82" s="875"/>
      <c r="AE82" s="198">
        <f>+'Exhibit G'!AH58</f>
        <v>1584.5</v>
      </c>
      <c r="AF82" s="1587"/>
      <c r="AG82" s="198"/>
      <c r="AH82" s="198">
        <f t="shared" si="18"/>
        <v>4.2</v>
      </c>
      <c r="AI82" s="65"/>
      <c r="AJ82" s="548">
        <f>ROUND(IF(AE82=0,1,AH82/ABS(AE82)),3)</f>
        <v>3.0000000000000001E-3</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f>'Exhibit F'!P77+'Exhibit G'!P59</f>
        <v>112.19999999999997</v>
      </c>
      <c r="P83" s="198"/>
      <c r="Q83" s="198">
        <f>'Exhibit F'!R77+'Exhibit G'!R59</f>
        <v>135.2000000000001</v>
      </c>
      <c r="R83" s="198"/>
      <c r="S83" s="198"/>
      <c r="T83" s="198"/>
      <c r="U83" s="198"/>
      <c r="V83" s="198"/>
      <c r="W83" s="198"/>
      <c r="X83" s="198"/>
      <c r="Y83" s="198"/>
      <c r="Z83" s="198"/>
      <c r="AA83" s="199"/>
      <c r="AB83" s="198">
        <f t="shared" si="17"/>
        <v>829.6</v>
      </c>
      <c r="AC83" s="198"/>
      <c r="AD83" s="875"/>
      <c r="AE83" s="198">
        <f>+'Exhibit G'!AH59+'Exhibit F'!AF77</f>
        <v>700.4</v>
      </c>
      <c r="AF83" s="1587"/>
      <c r="AG83" s="198"/>
      <c r="AH83" s="198">
        <f t="shared" si="18"/>
        <v>129.19999999999999</v>
      </c>
      <c r="AI83" s="65"/>
      <c r="AJ83" s="548">
        <f>ROUND(IF(AE83=0,1,AH83/ABS(AE83)),3)</f>
        <v>0.184</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f>'Exhibit G'!P60</f>
        <v>109.20000000000005</v>
      </c>
      <c r="P84" s="198"/>
      <c r="Q84" s="198">
        <f>'Exhibit G'!R60</f>
        <v>83.699999999999932</v>
      </c>
      <c r="R84" s="198"/>
      <c r="S84" s="198"/>
      <c r="T84" s="198"/>
      <c r="U84" s="198"/>
      <c r="V84" s="198"/>
      <c r="W84" s="198"/>
      <c r="X84" s="198"/>
      <c r="Y84" s="198"/>
      <c r="Z84" s="198"/>
      <c r="AA84" s="199"/>
      <c r="AB84" s="198">
        <f t="shared" si="17"/>
        <v>736.9</v>
      </c>
      <c r="AC84" s="198"/>
      <c r="AD84" s="875"/>
      <c r="AE84" s="198">
        <f>+'Exhibit G'!AH60</f>
        <v>722.3</v>
      </c>
      <c r="AF84" s="1587"/>
      <c r="AG84" s="198"/>
      <c r="AH84" s="198">
        <f t="shared" si="18"/>
        <v>14.6</v>
      </c>
      <c r="AI84" s="65"/>
      <c r="AJ84" s="548">
        <f>ROUND(IF(AE84=0,1,AH84/ABS(AE84)),3)</f>
        <v>0.02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f>'Exhibit F'!P78+'Exhibit G'!P61+'Exhibit H'!N42+'Exhibit I'!Q45</f>
        <v>298.39999999999981</v>
      </c>
      <c r="P85" s="198"/>
      <c r="Q85" s="198">
        <f>'Exhibit F'!R78+'Exhibit G'!R61+'Exhibit H'!P42+'Exhibit I'!S45</f>
        <v>285.49999999999994</v>
      </c>
      <c r="R85" s="198"/>
      <c r="S85" s="198"/>
      <c r="T85" s="198"/>
      <c r="U85" s="198"/>
      <c r="V85" s="198"/>
      <c r="W85" s="198"/>
      <c r="X85" s="198"/>
      <c r="Y85" s="198"/>
      <c r="Z85" s="198"/>
      <c r="AA85" s="199"/>
      <c r="AB85" s="198">
        <f t="shared" si="17"/>
        <v>2444.4</v>
      </c>
      <c r="AC85" s="198"/>
      <c r="AD85" s="875"/>
      <c r="AE85" s="198">
        <f>+'Exhibit F'!AF78+'Exhibit G'!AH61+'Exhibit H'!AD42+'Exhibit I'!AI45</f>
        <v>2868.9999999999995</v>
      </c>
      <c r="AF85" s="1587"/>
      <c r="AG85" s="198"/>
      <c r="AH85" s="198">
        <f t="shared" si="18"/>
        <v>-424.6</v>
      </c>
      <c r="AI85" s="65"/>
      <c r="AJ85" s="873">
        <f>ROUND(IF(AE85=0,0,AH85/ABS(AE85)),3)</f>
        <v>-0.14799999999999999</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f>'Exhibit F'!P79+'Exhibit G'!P62+'Exhibit H'!N43+'Exhibit I'!Q46</f>
        <v>3.4000000000000012</v>
      </c>
      <c r="P86" s="198"/>
      <c r="Q86" s="198">
        <f>'Exhibit F'!R79+'Exhibit G'!R62+'Exhibit H'!P43+'Exhibit I'!S46</f>
        <v>0.59999999999999698</v>
      </c>
      <c r="R86" s="198"/>
      <c r="S86" s="198"/>
      <c r="T86" s="198"/>
      <c r="U86" s="198"/>
      <c r="V86" s="198"/>
      <c r="W86" s="198"/>
      <c r="X86" s="198"/>
      <c r="Y86" s="198"/>
      <c r="Z86" s="198"/>
      <c r="AA86" s="199"/>
      <c r="AB86" s="198">
        <f t="shared" si="17"/>
        <v>25.5</v>
      </c>
      <c r="AC86" s="198"/>
      <c r="AD86" s="875"/>
      <c r="AE86" s="198">
        <f>+'Exhibit F'!AF79+'Exhibit G'!AH62+'Exhibit H'!AD43+'Exhibit I'!AI46</f>
        <v>26.7</v>
      </c>
      <c r="AF86" s="1587"/>
      <c r="AG86" s="198"/>
      <c r="AH86" s="198">
        <f t="shared" si="18"/>
        <v>-1.2</v>
      </c>
      <c r="AI86" s="65"/>
      <c r="AJ86" s="271">
        <f>ROUND(IF(AE86=0,0,AH86/ABS(AE86)),3)</f>
        <v>-4.4999999999999998E-2</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587"/>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f>'Exhibit F'!P81+'Exhibit G'!P64+'Exhibit H'!N45+'Exhibit I'!Q48</f>
        <v>354.29999999999984</v>
      </c>
      <c r="P88" s="198"/>
      <c r="Q88" s="198">
        <f>'Exhibit F'!R81+'Exhibit G'!R64+'Exhibit H'!P45+'Exhibit I'!S48</f>
        <v>0.50000000000008527</v>
      </c>
      <c r="R88" s="198"/>
      <c r="S88" s="198"/>
      <c r="T88" s="198"/>
      <c r="U88" s="198"/>
      <c r="V88" s="198"/>
      <c r="W88" s="198"/>
      <c r="X88" s="198"/>
      <c r="Y88" s="198"/>
      <c r="Z88" s="198"/>
      <c r="AA88" s="199"/>
      <c r="AB88" s="198">
        <f t="shared" si="14"/>
        <v>1537.1</v>
      </c>
      <c r="AC88" s="198"/>
      <c r="AD88" s="875"/>
      <c r="AE88" s="198">
        <f>+'Exhibit G'!AH64+'Exhibit I'!AI48+'Exhibit H'!AD45+'Exhibit F'!AF81</f>
        <v>2478.1999999999998</v>
      </c>
      <c r="AF88" s="1587"/>
      <c r="AG88" s="198"/>
      <c r="AH88" s="198">
        <f t="shared" si="15"/>
        <v>-941.1</v>
      </c>
      <c r="AI88" s="65"/>
      <c r="AJ88" s="548">
        <f>ROUND(IF(AE88=0,1,AH88/ABS(AE88)),3)</f>
        <v>-0.38</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f>'Exhibit F'!P82+'Exhibit G'!P65</f>
        <v>6</v>
      </c>
      <c r="P89" s="198"/>
      <c r="Q89" s="198">
        <f>'Exhibit F'!R82+'Exhibit G'!R65</f>
        <v>0</v>
      </c>
      <c r="R89" s="198"/>
      <c r="S89" s="198"/>
      <c r="T89" s="198"/>
      <c r="U89" s="198"/>
      <c r="V89" s="198"/>
      <c r="W89" s="198"/>
      <c r="X89" s="198"/>
      <c r="Y89" s="198"/>
      <c r="Z89" s="198"/>
      <c r="AA89" s="199"/>
      <c r="AB89" s="198">
        <f t="shared" si="14"/>
        <v>27.9</v>
      </c>
      <c r="AC89" s="198"/>
      <c r="AD89" s="875"/>
      <c r="AE89" s="198">
        <f>+'Exhibit F'!AF82+'Exhibit G'!AH65</f>
        <v>17.100000000000001</v>
      </c>
      <c r="AF89" s="1587"/>
      <c r="AG89" s="198"/>
      <c r="AH89" s="198">
        <f t="shared" si="15"/>
        <v>10.8</v>
      </c>
      <c r="AI89" s="65"/>
      <c r="AJ89" s="548">
        <f>ROUND(IF(AE89=0,1,AH89/ABS(AE89)),3)</f>
        <v>0.63200000000000001</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f>'Exhibit F'!P83+'Exhibit G'!P66+'Exhibit I'!Q49</f>
        <v>5.7999999999999989</v>
      </c>
      <c r="P90" s="198"/>
      <c r="Q90" s="198">
        <f>'Exhibit F'!R83+'Exhibit G'!R66+'Exhibit I'!S49</f>
        <v>0.50000000000000089</v>
      </c>
      <c r="R90" s="198"/>
      <c r="S90" s="198"/>
      <c r="T90" s="198"/>
      <c r="U90" s="198"/>
      <c r="V90" s="198"/>
      <c r="W90" s="198"/>
      <c r="X90" s="198"/>
      <c r="Y90" s="198"/>
      <c r="Z90" s="198"/>
      <c r="AA90" s="199"/>
      <c r="AB90" s="198">
        <f t="shared" si="14"/>
        <v>24.1</v>
      </c>
      <c r="AC90" s="198"/>
      <c r="AD90" s="875"/>
      <c r="AE90" s="198">
        <f>+'Exhibit F'!AF83+'Exhibit G'!AH66</f>
        <v>15.899999999999999</v>
      </c>
      <c r="AF90" s="1587"/>
      <c r="AG90" s="198"/>
      <c r="AH90" s="198">
        <f t="shared" si="15"/>
        <v>8.1999999999999993</v>
      </c>
      <c r="AI90" s="65"/>
      <c r="AJ90" s="548">
        <f t="shared" ref="AJ90:AJ92" si="19">ROUND(IF(AE90=0,0,AH90/ABS(AE90)),3)</f>
        <v>0.51600000000000001</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f>'Exhibit F'!P84+'Exhibit G'!P67+'Exhibit I'!Q50</f>
        <v>50.200000000000017</v>
      </c>
      <c r="P91" s="198"/>
      <c r="Q91" s="198">
        <f>'Exhibit F'!R84+'Exhibit G'!R67+'Exhibit I'!S50</f>
        <v>4.7999999999999954</v>
      </c>
      <c r="R91" s="198"/>
      <c r="S91" s="198"/>
      <c r="T91" s="198"/>
      <c r="U91" s="198"/>
      <c r="V91" s="198"/>
      <c r="W91" s="198"/>
      <c r="X91" s="198"/>
      <c r="Y91" s="198"/>
      <c r="Z91" s="198"/>
      <c r="AA91" s="199"/>
      <c r="AB91" s="198">
        <f t="shared" si="14"/>
        <v>235.1</v>
      </c>
      <c r="AC91" s="198"/>
      <c r="AD91" s="875"/>
      <c r="AE91" s="198">
        <f>+'Exhibit F'!AF84+'Exhibit G'!AH67+'Exhibit I'!AI50</f>
        <v>39.599999999999994</v>
      </c>
      <c r="AF91" s="1587"/>
      <c r="AG91" s="198"/>
      <c r="AH91" s="198">
        <f t="shared" si="15"/>
        <v>195.5</v>
      </c>
      <c r="AI91" s="65"/>
      <c r="AJ91" s="271">
        <f t="shared" si="19"/>
        <v>4.9370000000000003</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f>'Exhibit F'!P85+'Exhibit G'!P68+'Exhibit H'!N46+'Exhibit I'!Q51</f>
        <v>2.3999999999999946</v>
      </c>
      <c r="P92" s="198"/>
      <c r="Q92" s="198">
        <f>'Exhibit F'!R85+'Exhibit G'!R68+'Exhibit H'!P46+'Exhibit I'!S51</f>
        <v>106.09999999999998</v>
      </c>
      <c r="R92" s="198"/>
      <c r="S92" s="198"/>
      <c r="T92" s="198"/>
      <c r="U92" s="198"/>
      <c r="V92" s="198"/>
      <c r="W92" s="198"/>
      <c r="X92" s="198"/>
      <c r="Y92" s="198"/>
      <c r="Z92" s="198"/>
      <c r="AA92" s="199"/>
      <c r="AB92" s="198">
        <f t="shared" si="14"/>
        <v>217.1</v>
      </c>
      <c r="AC92" s="198"/>
      <c r="AD92" s="875"/>
      <c r="AE92" s="198">
        <f>+'Exhibit F'!AF85+'Exhibit G'!AH68+'Exhibit H'!AD46+'Exhibit I'!AI51</f>
        <v>203.3</v>
      </c>
      <c r="AF92" s="1587"/>
      <c r="AG92" s="198"/>
      <c r="AH92" s="198">
        <f t="shared" si="15"/>
        <v>13.8</v>
      </c>
      <c r="AI92" s="65"/>
      <c r="AJ92" s="548">
        <f t="shared" si="19"/>
        <v>6.8000000000000005E-2</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587"/>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f>'Exhibit F'!P87+'Exhibit G'!P70+'Exhibit I'!Q53</f>
        <v>9.5</v>
      </c>
      <c r="P94" s="198"/>
      <c r="Q94" s="198">
        <f>'Exhibit F'!R87+'Exhibit G'!R70+'Exhibit I'!S53</f>
        <v>27.29999999999999</v>
      </c>
      <c r="R94" s="198"/>
      <c r="S94" s="198"/>
      <c r="T94" s="198"/>
      <c r="U94" s="198"/>
      <c r="V94" s="198"/>
      <c r="W94" s="198"/>
      <c r="X94" s="198"/>
      <c r="Y94" s="198"/>
      <c r="Z94" s="198"/>
      <c r="AA94" s="199"/>
      <c r="AB94" s="198">
        <f t="shared" si="14"/>
        <v>168.5</v>
      </c>
      <c r="AC94" s="198"/>
      <c r="AD94" s="875"/>
      <c r="AE94" s="198">
        <f>+'Exhibit F'!AF87+'Exhibit G'!AH70+'Exhibit I'!AI53</f>
        <v>165.29999999999998</v>
      </c>
      <c r="AF94" s="1587"/>
      <c r="AG94" s="198"/>
      <c r="AH94" s="198">
        <f t="shared" si="15"/>
        <v>3.2</v>
      </c>
      <c r="AI94" s="65"/>
      <c r="AJ94" s="548">
        <f>ROUND(IF(AE94=0,0,AH94/ABS(AE94)),3)</f>
        <v>1.9E-2</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f>'Exhibit F'!P88+'Exhibit G'!P71</f>
        <v>-0.19999999999999996</v>
      </c>
      <c r="P95" s="198"/>
      <c r="Q95" s="198">
        <f>'Exhibit F'!R88+'Exhibit G'!R71</f>
        <v>1.5000000000000013</v>
      </c>
      <c r="R95" s="198"/>
      <c r="S95" s="198"/>
      <c r="T95" s="198"/>
      <c r="U95" s="198"/>
      <c r="V95" s="198"/>
      <c r="W95" s="198"/>
      <c r="X95" s="198"/>
      <c r="Y95" s="198"/>
      <c r="Z95" s="198"/>
      <c r="AA95" s="199"/>
      <c r="AB95" s="198">
        <f t="shared" si="14"/>
        <v>12.6</v>
      </c>
      <c r="AC95" s="198"/>
      <c r="AD95" s="875"/>
      <c r="AE95" s="198">
        <f>+'Exhibit G'!AH71+'Exhibit F'!AF88</f>
        <v>3.4000000000000004</v>
      </c>
      <c r="AF95" s="1587"/>
      <c r="AG95" s="198"/>
      <c r="AH95" s="198">
        <f t="shared" si="15"/>
        <v>9.1999999999999993</v>
      </c>
      <c r="AI95" s="65"/>
      <c r="AJ95" s="271">
        <f>ROUND(IF(AE95=0,0,AH95/ABS(AE95)),3)</f>
        <v>2.706</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f>'Exhibit F'!P89+'Exhibit G'!P72+'Exhibit I'!Q54</f>
        <v>1.0000000000000047</v>
      </c>
      <c r="P96" s="198"/>
      <c r="Q96" s="198">
        <f>'Exhibit F'!R89+'Exhibit G'!R72+'Exhibit I'!S54</f>
        <v>0.79999999999999827</v>
      </c>
      <c r="R96" s="198"/>
      <c r="S96" s="198"/>
      <c r="T96" s="198"/>
      <c r="U96" s="198"/>
      <c r="V96" s="198"/>
      <c r="W96" s="198"/>
      <c r="X96" s="198"/>
      <c r="Y96" s="198"/>
      <c r="Z96" s="198"/>
      <c r="AA96" s="199"/>
      <c r="AB96" s="198">
        <f t="shared" si="14"/>
        <v>33.5</v>
      </c>
      <c r="AC96" s="198"/>
      <c r="AD96" s="875"/>
      <c r="AE96" s="198">
        <f>+'Exhibit F'!AF89+'Exhibit G'!AH72+'Exhibit I'!AI54</f>
        <v>20.700000000000003</v>
      </c>
      <c r="AF96" s="1587"/>
      <c r="AG96" s="198"/>
      <c r="AH96" s="198">
        <f t="shared" si="15"/>
        <v>12.8</v>
      </c>
      <c r="AI96" s="65"/>
      <c r="AJ96" s="379">
        <f t="shared" ref="AJ96:AJ103" si="20">ROUND(IF(AE96=0,0,AH96/ABS(AE96)),3)</f>
        <v>0.61799999999999999</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f>'Exhibit F'!P90+'Exhibit G'!P73+'Exhibit I'!Q55</f>
        <v>20.199999999999992</v>
      </c>
      <c r="P97" s="198"/>
      <c r="Q97" s="198">
        <f>'Exhibit F'!R90+'Exhibit G'!R73+'Exhibit I'!S55</f>
        <v>20.6</v>
      </c>
      <c r="R97" s="198"/>
      <c r="S97" s="198"/>
      <c r="T97" s="198"/>
      <c r="U97" s="198"/>
      <c r="V97" s="198"/>
      <c r="W97" s="198"/>
      <c r="X97" s="198"/>
      <c r="Y97" s="198"/>
      <c r="Z97" s="198"/>
      <c r="AA97" s="199"/>
      <c r="AB97" s="198">
        <f>ROUND(SUM(C97:Y97),1)</f>
        <v>131.80000000000001</v>
      </c>
      <c r="AC97" s="198"/>
      <c r="AD97" s="875"/>
      <c r="AE97" s="198">
        <f>+'Exhibit F'!AF90+'Exhibit G'!AH73+'Exhibit I'!AI55</f>
        <v>116.7</v>
      </c>
      <c r="AF97" s="1587"/>
      <c r="AG97" s="198"/>
      <c r="AH97" s="198">
        <f t="shared" si="15"/>
        <v>15.1</v>
      </c>
      <c r="AI97" s="65"/>
      <c r="AJ97" s="379">
        <f t="shared" si="20"/>
        <v>0.129</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f>'Exhibit F'!P91+'Exhibit G'!P74+'Exhibit H'!N48</f>
        <v>319.10000000000008</v>
      </c>
      <c r="P98" s="198"/>
      <c r="Q98" s="198">
        <f>'Exhibit F'!R91+'Exhibit G'!R74+'Exhibit H'!P48</f>
        <v>325.09999999999951</v>
      </c>
      <c r="R98" s="198"/>
      <c r="S98" s="198"/>
      <c r="T98" s="198"/>
      <c r="U98" s="198"/>
      <c r="V98" s="198"/>
      <c r="W98" s="198"/>
      <c r="X98" s="198"/>
      <c r="Y98" s="198"/>
      <c r="Z98" s="198"/>
      <c r="AA98" s="199"/>
      <c r="AB98" s="198">
        <f t="shared" si="14"/>
        <v>2798.5</v>
      </c>
      <c r="AC98" s="198"/>
      <c r="AD98" s="875"/>
      <c r="AE98" s="198">
        <f>+'Exhibit F'!AF91+'Exhibit G'!AH74+'Exhibit H'!AD48</f>
        <v>2471.8000000000002</v>
      </c>
      <c r="AF98" s="1587"/>
      <c r="AG98" s="198"/>
      <c r="AH98" s="198">
        <f t="shared" si="15"/>
        <v>326.7</v>
      </c>
      <c r="AI98" s="65"/>
      <c r="AJ98" s="873">
        <f t="shared" si="20"/>
        <v>0.13200000000000001</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f>'Exhibit F'!P92+'Exhibit G'!P75+'Exhibit I'!Q56</f>
        <v>5.8000000000000096</v>
      </c>
      <c r="P99" s="198"/>
      <c r="Q99" s="198">
        <f>'Exhibit F'!R92+'Exhibit G'!R75+'Exhibit I'!S56</f>
        <v>19.299999999999994</v>
      </c>
      <c r="R99" s="198"/>
      <c r="S99" s="198"/>
      <c r="T99" s="198"/>
      <c r="U99" s="198"/>
      <c r="V99" s="198"/>
      <c r="W99" s="198"/>
      <c r="X99" s="198"/>
      <c r="Y99" s="198"/>
      <c r="Z99" s="198"/>
      <c r="AA99" s="199"/>
      <c r="AB99" s="198">
        <f t="shared" si="14"/>
        <v>101.5</v>
      </c>
      <c r="AC99" s="198"/>
      <c r="AD99" s="875"/>
      <c r="AE99" s="198">
        <f>+'Exhibit G'!AH75+'Exhibit F'!AF92+'Exhibit I'!AI56</f>
        <v>100.4</v>
      </c>
      <c r="AF99" s="1587"/>
      <c r="AG99" s="198"/>
      <c r="AH99" s="198">
        <f t="shared" si="15"/>
        <v>1.1000000000000001</v>
      </c>
      <c r="AI99" s="65"/>
      <c r="AJ99" s="379">
        <f t="shared" si="20"/>
        <v>1.0999999999999999E-2</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f>'Exhibit F'!P93+'Exhibit G'!P76+'Exhibit I'!Q57</f>
        <v>4.3999999999999968</v>
      </c>
      <c r="P100" s="198"/>
      <c r="Q100" s="198">
        <f>'Exhibit F'!R93+'Exhibit G'!R76+'Exhibit I'!S57</f>
        <v>2.099999999999997</v>
      </c>
      <c r="R100" s="198"/>
      <c r="S100" s="198"/>
      <c r="T100" s="198"/>
      <c r="U100" s="198"/>
      <c r="V100" s="198"/>
      <c r="W100" s="198"/>
      <c r="X100" s="198"/>
      <c r="Y100" s="198"/>
      <c r="Z100" s="198"/>
      <c r="AA100" s="199"/>
      <c r="AB100" s="198">
        <f t="shared" si="14"/>
        <v>91.4</v>
      </c>
      <c r="AC100" s="198"/>
      <c r="AD100" s="875"/>
      <c r="AE100" s="198">
        <f>+'Exhibit F'!AF93+'Exhibit G'!AH76+'Exhibit I'!AI57</f>
        <v>99</v>
      </c>
      <c r="AF100" s="1587"/>
      <c r="AG100" s="198"/>
      <c r="AH100" s="198">
        <f t="shared" si="15"/>
        <v>-7.6</v>
      </c>
      <c r="AI100" s="65"/>
      <c r="AJ100" s="873">
        <f t="shared" si="20"/>
        <v>-7.6999999999999999E-2</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f>'Exhibit F'!P94+'Exhibit G'!P77</f>
        <v>1.0999999999999996</v>
      </c>
      <c r="P101" s="198"/>
      <c r="Q101" s="198">
        <f>'Exhibit F'!R94+'Exhibit G'!R77</f>
        <v>0.29999999999999982</v>
      </c>
      <c r="R101" s="198"/>
      <c r="S101" s="198"/>
      <c r="T101" s="198"/>
      <c r="U101" s="198"/>
      <c r="V101" s="198"/>
      <c r="W101" s="198"/>
      <c r="X101" s="198"/>
      <c r="Y101" s="198"/>
      <c r="Z101" s="198"/>
      <c r="AA101" s="199"/>
      <c r="AB101" s="198">
        <f t="shared" si="14"/>
        <v>2.9</v>
      </c>
      <c r="AC101" s="198"/>
      <c r="AD101" s="875"/>
      <c r="AE101" s="198">
        <f>+'Exhibit F'!AF94+'Exhibit G'!AH77</f>
        <v>9.1</v>
      </c>
      <c r="AF101" s="1587"/>
      <c r="AG101" s="198"/>
      <c r="AH101" s="198">
        <f t="shared" si="15"/>
        <v>-6.2</v>
      </c>
      <c r="AI101" s="65"/>
      <c r="AJ101" s="379">
        <f t="shared" si="20"/>
        <v>-0.68100000000000005</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f>'Exhibit F'!P95+'Exhibit G'!P78+'Exhibit H'!N49+'Exhibit I'!Q58</f>
        <v>77.300000000000054</v>
      </c>
      <c r="P102" s="198"/>
      <c r="Q102" s="198">
        <f>'Exhibit F'!R95+'Exhibit G'!R78+'Exhibit H'!P49+'Exhibit I'!S58</f>
        <v>170.69999999999996</v>
      </c>
      <c r="R102" s="198"/>
      <c r="S102" s="198"/>
      <c r="T102" s="198"/>
      <c r="U102" s="198"/>
      <c r="V102" s="198"/>
      <c r="W102" s="198"/>
      <c r="X102" s="198"/>
      <c r="Y102" s="198"/>
      <c r="Z102" s="198"/>
      <c r="AA102" s="199"/>
      <c r="AB102" s="198">
        <f t="shared" si="14"/>
        <v>722.8</v>
      </c>
      <c r="AC102" s="198"/>
      <c r="AD102" s="875"/>
      <c r="AE102" s="198">
        <f>+'Exhibit F'!AF95+'Exhibit G'!AH78+'Exhibit I'!AI58+'Exhibit H'!AD49</f>
        <v>525.1</v>
      </c>
      <c r="AF102" s="1587"/>
      <c r="AG102" s="198"/>
      <c r="AH102" s="198">
        <f t="shared" si="15"/>
        <v>197.7</v>
      </c>
      <c r="AI102" s="65"/>
      <c r="AJ102" s="873">
        <f t="shared" si="20"/>
        <v>0.376</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f>'Exhibit F'!P96+'Exhibit G'!P79+'Exhibit H'!N50+'Exhibit I'!Q59</f>
        <v>2.4999999999999982</v>
      </c>
      <c r="P103" s="198"/>
      <c r="Q103" s="198">
        <f>'Exhibit F'!R96+'Exhibit G'!R79+'Exhibit H'!P50+'Exhibit I'!S59</f>
        <v>2.1000000000000005</v>
      </c>
      <c r="R103" s="198"/>
      <c r="S103" s="198"/>
      <c r="T103" s="198"/>
      <c r="U103" s="198"/>
      <c r="V103" s="198"/>
      <c r="W103" s="198"/>
      <c r="X103" s="198"/>
      <c r="Y103" s="198"/>
      <c r="Z103" s="198"/>
      <c r="AA103" s="199"/>
      <c r="AB103" s="198">
        <f t="shared" si="14"/>
        <v>17.600000000000001</v>
      </c>
      <c r="AC103" s="198"/>
      <c r="AD103" s="875"/>
      <c r="AE103" s="198">
        <f>+'Exhibit F'!AF96+'Exhibit G'!AH79+'Exhibit I'!AI59+'Exhibit H'!AD50</f>
        <v>14.8</v>
      </c>
      <c r="AF103" s="1587"/>
      <c r="AG103" s="198"/>
      <c r="AH103" s="198">
        <f t="shared" si="15"/>
        <v>2.8</v>
      </c>
      <c r="AI103" s="65"/>
      <c r="AJ103" s="379">
        <f t="shared" si="20"/>
        <v>0.189</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f>'Exhibit G'!P80</f>
        <v>171.49999999999994</v>
      </c>
      <c r="P104" s="198"/>
      <c r="Q104" s="198">
        <f>'Exhibit G'!R80</f>
        <v>1.1000000000000796</v>
      </c>
      <c r="R104" s="198"/>
      <c r="S104" s="198"/>
      <c r="T104" s="198"/>
      <c r="U104" s="198"/>
      <c r="V104" s="198"/>
      <c r="W104" s="198"/>
      <c r="X104" s="198"/>
      <c r="Y104" s="198"/>
      <c r="Z104" s="198"/>
      <c r="AA104" s="199"/>
      <c r="AB104" s="198">
        <f t="shared" si="14"/>
        <v>787</v>
      </c>
      <c r="AC104" s="198"/>
      <c r="AD104" s="875"/>
      <c r="AE104" s="198">
        <f>+'Exhibit G'!AH80</f>
        <v>753.6</v>
      </c>
      <c r="AF104" s="1587"/>
      <c r="AG104" s="198"/>
      <c r="AH104" s="198">
        <f t="shared" si="15"/>
        <v>33.4</v>
      </c>
      <c r="AI104" s="65"/>
      <c r="AJ104" s="379">
        <f>ROUND(IF(AE104=0,0,AH104/ABS(AE104)),3)</f>
        <v>4.3999999999999997E-2</v>
      </c>
    </row>
    <row r="105" spans="1:45" s="133" customFormat="1" ht="16.5" customHeight="1">
      <c r="A105" s="87" t="s">
        <v>429</v>
      </c>
      <c r="B105" s="60"/>
      <c r="C105" s="680">
        <f>ROUND(SUM(C64:C104),1)</f>
        <v>2538.4</v>
      </c>
      <c r="D105" s="424"/>
      <c r="E105" s="680">
        <f>ROUND(SUM(E64:E104),1)</f>
        <v>2509</v>
      </c>
      <c r="F105" s="424"/>
      <c r="G105" s="680">
        <f>ROUND(SUM(G64:G104),1)</f>
        <v>2428</v>
      </c>
      <c r="H105" s="13"/>
      <c r="I105" s="680">
        <f>ROUND(SUM(I64:I104),1)</f>
        <v>3654.4</v>
      </c>
      <c r="J105" s="13"/>
      <c r="K105" s="680">
        <f>ROUND(SUM(K64:K104),1)</f>
        <v>3051.5</v>
      </c>
      <c r="L105" s="13"/>
      <c r="M105" s="680">
        <f>ROUND(SUM(M64:M104),1)</f>
        <v>3044</v>
      </c>
      <c r="N105" s="13"/>
      <c r="O105" s="680">
        <f>ROUND(SUM(O64:O104),1)</f>
        <v>3602.4</v>
      </c>
      <c r="P105" s="13"/>
      <c r="Q105" s="680">
        <f>ROUND(SUM(Q64:Q104),1)</f>
        <v>3593.6</v>
      </c>
      <c r="R105" s="13"/>
      <c r="S105" s="680">
        <f>ROUND(SUM(S64:S104),1)</f>
        <v>0</v>
      </c>
      <c r="T105" s="13"/>
      <c r="U105" s="680">
        <f>ROUND(SUM(U64:U104),1)</f>
        <v>0</v>
      </c>
      <c r="V105" s="13"/>
      <c r="W105" s="680">
        <f>ROUND(SUM(W64:W104),1)</f>
        <v>0</v>
      </c>
      <c r="X105" s="40"/>
      <c r="Y105" s="680">
        <f>ROUND(SUM(Y64:Y104),1)</f>
        <v>0</v>
      </c>
      <c r="Z105" s="40"/>
      <c r="AA105" s="72"/>
      <c r="AB105" s="680">
        <f>ROUND(SUM(AB64:AB104),1)</f>
        <v>24421.3</v>
      </c>
      <c r="AC105" s="13"/>
      <c r="AD105" s="14"/>
      <c r="AE105" s="680">
        <f>ROUND(SUM(AE64:AE104),1)</f>
        <v>22246.7</v>
      </c>
      <c r="AF105" s="78"/>
      <c r="AG105" s="876"/>
      <c r="AH105" s="680">
        <f>ROUND(SUM(AH64:AH104),1)</f>
        <v>2174.6</v>
      </c>
      <c r="AI105" s="13"/>
      <c r="AJ105" s="1030">
        <f>ROUND(IF(AE105=0,0,AH105/ABS(AE105)),3)</f>
        <v>9.8000000000000004E-2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88"/>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f>'Exhibit F'!P99+'Exhibit G'!P83+'Exhibit H'!N53+'Exhibit I'!Q62</f>
        <v>9538.0000000000018</v>
      </c>
      <c r="P107" s="198"/>
      <c r="Q107" s="200">
        <f>'Exhibit F'!R99+'Exhibit G'!R83+'Exhibit H'!P53+'Exhibit I'!S62</f>
        <v>7891.2999999999938</v>
      </c>
      <c r="R107" s="198"/>
      <c r="S107" s="200"/>
      <c r="T107" s="198"/>
      <c r="U107" s="200"/>
      <c r="V107" s="198"/>
      <c r="W107" s="200"/>
      <c r="X107" s="198"/>
      <c r="Y107" s="200"/>
      <c r="Z107" s="198"/>
      <c r="AA107" s="199"/>
      <c r="AB107" s="200">
        <f>ROUND(SUM(C107:Y107),1)</f>
        <v>67879</v>
      </c>
      <c r="AC107" s="198"/>
      <c r="AD107" s="875"/>
      <c r="AE107" s="200">
        <f>+'Exhibit F'!AF99+'Exhibit G'!AH83+'Exhibit H'!AD53+'Exhibit I'!AI62</f>
        <v>64903.999999999993</v>
      </c>
      <c r="AF107" s="1587"/>
      <c r="AG107" s="198"/>
      <c r="AH107" s="200">
        <f>ROUND(SUM(AB107-AE107),1)</f>
        <v>2975</v>
      </c>
      <c r="AI107" s="65"/>
      <c r="AJ107" s="877">
        <f>ROUND(IF(AE107=0,0,AH107/ABS(AE107)),3)</f>
        <v>4.5999999999999999E-2</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587"/>
      <c r="AG108" s="198"/>
      <c r="AH108" s="198"/>
      <c r="AI108" s="65"/>
      <c r="AJ108" s="1032"/>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18893.7</v>
      </c>
      <c r="L109" s="13"/>
      <c r="M109" s="362">
        <f>ROUND(SUM(M107+M105+M60),1)</f>
        <v>23537.7</v>
      </c>
      <c r="N109" s="13"/>
      <c r="O109" s="362">
        <f>ROUND(SUM(O107+O105+O60),1)</f>
        <v>16836.900000000001</v>
      </c>
      <c r="P109" s="13"/>
      <c r="Q109" s="362">
        <f>ROUND(SUM(Q107+Q105+Q60),1)</f>
        <v>16411.3</v>
      </c>
      <c r="R109" s="13"/>
      <c r="S109" s="362">
        <f>ROUND(SUM(S107+S105+S60),1)</f>
        <v>0</v>
      </c>
      <c r="T109" s="13"/>
      <c r="U109" s="362">
        <f>ROUND(SUM(U107+U105+U60),1)</f>
        <v>0</v>
      </c>
      <c r="V109" s="13"/>
      <c r="W109" s="362">
        <f>ROUND(SUM(W107+W105+W60),1)</f>
        <v>0</v>
      </c>
      <c r="X109" s="40"/>
      <c r="Y109" s="362">
        <f>ROUND(SUM(Y107+Y105+Y60),1)</f>
        <v>0</v>
      </c>
      <c r="Z109" s="1231"/>
      <c r="AA109" s="3"/>
      <c r="AB109" s="362">
        <f>ROUND(SUM(AB107+AB105+AB60),1)</f>
        <v>160794.4</v>
      </c>
      <c r="AC109" s="13"/>
      <c r="AD109" s="14"/>
      <c r="AE109" s="362">
        <f>ROUND(SUM(AE107+AE105+AE60),1)</f>
        <v>151548.70000000001</v>
      </c>
      <c r="AF109" s="78"/>
      <c r="AG109" s="876"/>
      <c r="AH109" s="362">
        <f>ROUND(SUM(AH107+AH105+AH60),1)</f>
        <v>9245.7000000000007</v>
      </c>
      <c r="AI109" s="13"/>
      <c r="AJ109" s="874">
        <f>ROUND(IF(AE109=0,0,AH109/ABS(AE109)),3)</f>
        <v>6.0999999999999999E-2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587"/>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587"/>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587"/>
      <c r="AG112" s="198"/>
      <c r="AH112" s="198"/>
      <c r="AI112" s="65"/>
      <c r="AJ112" s="288"/>
    </row>
    <row r="113" spans="1:37" ht="16.5" customHeight="1">
      <c r="A113" s="766"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f>'Exhibit F'!P105+'Exhibit G'!P89+'Exhibit I'!Q68</f>
        <v>1815.5999999999963</v>
      </c>
      <c r="P113" s="198"/>
      <c r="Q113" s="198">
        <f>'Exhibit F'!R105+'Exhibit G'!R89+'Exhibit I'!S68</f>
        <v>2387.0000000000032</v>
      </c>
      <c r="R113" s="198"/>
      <c r="S113" s="198"/>
      <c r="T113" s="198"/>
      <c r="U113" s="198"/>
      <c r="V113" s="198"/>
      <c r="W113" s="198"/>
      <c r="X113" s="198"/>
      <c r="Y113" s="198"/>
      <c r="Z113" s="198"/>
      <c r="AA113" s="199"/>
      <c r="AB113" s="269">
        <f>ROUND(SUM(C113:Y113),1)</f>
        <v>25597.9</v>
      </c>
      <c r="AC113" s="198"/>
      <c r="AD113" s="875"/>
      <c r="AE113" s="269">
        <f>+'Exhibit F'!AF105+'Exhibit G'!AH89+'Exhibit I'!AI68</f>
        <v>28461.200000000004</v>
      </c>
      <c r="AF113" s="1587"/>
      <c r="AG113" s="198"/>
      <c r="AH113" s="198">
        <f>ROUND(SUM(AB113-AE113),1)</f>
        <v>-2863.3</v>
      </c>
      <c r="AI113" s="65"/>
      <c r="AJ113" s="379">
        <f>ROUND(IF(AE113=0,0,AH113/ABS(AE113)),3)</f>
        <v>-0.10100000000000001</v>
      </c>
    </row>
    <row r="114" spans="1:37" ht="16.5" customHeight="1">
      <c r="A114" s="766"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f>'Exhibit F'!P106+'Exhibit G'!P90+'Exhibit I'!Q69</f>
        <v>14.499999999999982</v>
      </c>
      <c r="P114" s="198"/>
      <c r="Q114" s="198">
        <f>'Exhibit F'!R106+'Exhibit G'!R90+'Exhibit I'!S69</f>
        <v>41.199999999999996</v>
      </c>
      <c r="R114" s="198"/>
      <c r="S114" s="198"/>
      <c r="T114" s="198"/>
      <c r="U114" s="198"/>
      <c r="V114" s="198"/>
      <c r="W114" s="198"/>
      <c r="X114" s="198"/>
      <c r="Y114" s="198"/>
      <c r="Z114" s="198"/>
      <c r="AA114" s="199"/>
      <c r="AB114" s="269">
        <f t="shared" ref="AB114:AB121" si="21">ROUND(SUM(C114:Y114),1)</f>
        <v>167.7</v>
      </c>
      <c r="AC114" s="198"/>
      <c r="AD114" s="875"/>
      <c r="AE114" s="269">
        <f>+'Exhibit F'!AF106+'Exhibit G'!AH90+'Exhibit I'!AI69</f>
        <v>562.5</v>
      </c>
      <c r="AF114" s="1587"/>
      <c r="AG114" s="198"/>
      <c r="AH114" s="198">
        <f t="shared" ref="AH114:AH121" si="22">ROUND(SUM(AB114-AE114),1)</f>
        <v>-394.8</v>
      </c>
      <c r="AI114" s="65"/>
      <c r="AJ114" s="873">
        <f>ROUND(IF(AE114=0,0,AH114/ABS(AE114)),3)</f>
        <v>-0.70199999999999996</v>
      </c>
    </row>
    <row r="115" spans="1:37" ht="16.5" customHeight="1">
      <c r="A115" s="766"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f>+'Exhibit F'!P107+'Exhibit G'!P91+'Exhibit I'!Q70</f>
        <v>95.399999999999778</v>
      </c>
      <c r="P115" s="198"/>
      <c r="Q115" s="198">
        <f>+'Exhibit F'!R107+'Exhibit G'!R91+'Exhibit I'!S70</f>
        <v>72.500000000000043</v>
      </c>
      <c r="R115" s="198"/>
      <c r="S115" s="198"/>
      <c r="T115" s="198"/>
      <c r="U115" s="198"/>
      <c r="V115" s="198"/>
      <c r="W115" s="198"/>
      <c r="X115" s="198"/>
      <c r="Y115" s="198"/>
      <c r="Z115" s="198"/>
      <c r="AA115" s="199"/>
      <c r="AB115" s="269">
        <f t="shared" si="21"/>
        <v>1402.7</v>
      </c>
      <c r="AC115" s="198"/>
      <c r="AD115" s="875"/>
      <c r="AE115" s="269">
        <f>+'Exhibit F'!AF107+'Exhibit G'!AH91+'Exhibit I'!AI70</f>
        <v>1338.3</v>
      </c>
      <c r="AF115" s="1587"/>
      <c r="AG115" s="198"/>
      <c r="AH115" s="198">
        <f t="shared" si="22"/>
        <v>64.400000000000006</v>
      </c>
      <c r="AI115" s="65"/>
      <c r="AJ115" s="379">
        <f>ROUND(IF(AE115=0,0,AH115/ABS(AE115)),3)</f>
        <v>4.8000000000000001E-2</v>
      </c>
    </row>
    <row r="116" spans="1:37" ht="16.5" customHeight="1">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587"/>
      <c r="AG116" s="198"/>
      <c r="AH116" s="198" t="s">
        <v>103</v>
      </c>
      <c r="AI116" s="65"/>
      <c r="AJ116" s="288"/>
    </row>
    <row r="117" spans="1:37" ht="16.5" customHeight="1">
      <c r="A117" s="767"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f>'Exhibit F'!L109+'Exhibit G'!L93+'Exhibit I'!M72</f>
        <v>8377.2000000000007</v>
      </c>
      <c r="L117" s="198"/>
      <c r="M117" s="198">
        <f>'Exhibit F'!N109+'Exhibit G'!N93+'Exhibit I'!O72</f>
        <v>6662.9000000000015</v>
      </c>
      <c r="N117" s="198"/>
      <c r="O117" s="198">
        <f>'Exhibit F'!P109+'Exhibit G'!P93+'Exhibit I'!Q72</f>
        <v>10155.699999999995</v>
      </c>
      <c r="P117" s="198"/>
      <c r="Q117" s="198">
        <f>'Exhibit F'!R109+'Exhibit G'!R93+'Exhibit I'!S72</f>
        <v>8853.2000000000044</v>
      </c>
      <c r="R117" s="198"/>
      <c r="S117" s="198"/>
      <c r="T117" s="198"/>
      <c r="U117" s="198"/>
      <c r="V117" s="198"/>
      <c r="W117" s="198"/>
      <c r="X117" s="198"/>
      <c r="Y117" s="198"/>
      <c r="Z117" s="198"/>
      <c r="AA117" s="199"/>
      <c r="AB117" s="269">
        <f t="shared" si="21"/>
        <v>67051.199999999997</v>
      </c>
      <c r="AC117" s="198"/>
      <c r="AD117" s="875"/>
      <c r="AE117" s="269">
        <f>+'Exhibit F'!AF109+'Exhibit G'!AH93+'Exhibit I'!AI72</f>
        <v>59829.1</v>
      </c>
      <c r="AF117" s="1587"/>
      <c r="AG117" s="198"/>
      <c r="AH117" s="198">
        <f t="shared" si="22"/>
        <v>7222.1</v>
      </c>
      <c r="AI117" s="65"/>
      <c r="AJ117" s="379">
        <f t="shared" ref="AJ117:AJ123" si="23">ROUND(IF(AE117=0,0,AH117/ABS(AE117)),3)</f>
        <v>0.121</v>
      </c>
    </row>
    <row r="118" spans="1:37" ht="16.5" customHeight="1">
      <c r="A118" s="766"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f>'Exhibit F'!P110+'Exhibit G'!P94+'Exhibit I'!Q73</f>
        <v>1607.599999999999</v>
      </c>
      <c r="P118" s="198"/>
      <c r="Q118" s="198">
        <f>'Exhibit F'!R110+'Exhibit G'!R94+'Exhibit I'!S73</f>
        <v>1765.6000000000013</v>
      </c>
      <c r="R118" s="198"/>
      <c r="S118" s="198"/>
      <c r="T118" s="198"/>
      <c r="U118" s="198"/>
      <c r="V118" s="198"/>
      <c r="W118" s="198"/>
      <c r="X118" s="198"/>
      <c r="Y118" s="198"/>
      <c r="Z118" s="198"/>
      <c r="AA118" s="199"/>
      <c r="AB118" s="269">
        <f t="shared" si="21"/>
        <v>15504.6</v>
      </c>
      <c r="AC118" s="1232"/>
      <c r="AD118" s="198"/>
      <c r="AE118" s="269">
        <f>+'Exhibit F'!AF110+'Exhibit G'!AH94+'Exhibit I'!AI73</f>
        <v>13675.2</v>
      </c>
      <c r="AF118" s="1587"/>
      <c r="AG118" s="198"/>
      <c r="AH118" s="198">
        <f t="shared" si="22"/>
        <v>1829.4</v>
      </c>
      <c r="AI118" s="65"/>
      <c r="AJ118" s="379">
        <f t="shared" si="23"/>
        <v>0.13400000000000001</v>
      </c>
    </row>
    <row r="119" spans="1:37" ht="16.5" customHeight="1">
      <c r="A119" s="766"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f>'Exhibit F'!P111+'Exhibit G'!P95+'Exhibit I'!Q74</f>
        <v>209.89999999999986</v>
      </c>
      <c r="P119" s="198"/>
      <c r="Q119" s="198">
        <f>'Exhibit F'!R111+'Exhibit G'!R95+'Exhibit I'!S74</f>
        <v>368.00000000000023</v>
      </c>
      <c r="R119" s="198"/>
      <c r="S119" s="198"/>
      <c r="T119" s="198"/>
      <c r="U119" s="198"/>
      <c r="V119" s="198"/>
      <c r="W119" s="198"/>
      <c r="X119" s="198"/>
      <c r="Y119" s="198"/>
      <c r="Z119" s="198"/>
      <c r="AA119" s="199"/>
      <c r="AB119" s="269">
        <f t="shared" si="21"/>
        <v>3051.3</v>
      </c>
      <c r="AC119" s="1248"/>
      <c r="AD119" s="875"/>
      <c r="AE119" s="269">
        <f>+'Exhibit F'!AF111+'Exhibit G'!AH95+'Exhibit I'!AI74</f>
        <v>2268.7999999999997</v>
      </c>
      <c r="AF119" s="1587"/>
      <c r="AG119" s="198"/>
      <c r="AH119" s="198">
        <f t="shared" si="22"/>
        <v>782.5</v>
      </c>
      <c r="AI119" s="65"/>
      <c r="AJ119" s="873">
        <f t="shared" si="23"/>
        <v>0.34499999999999997</v>
      </c>
    </row>
    <row r="120" spans="1:37" ht="16.5" customHeight="1">
      <c r="A120" s="766"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f>'Exhibit F'!P112+'Exhibit G'!P96+'Exhibit I'!Q75</f>
        <v>1417.1999999999996</v>
      </c>
      <c r="P120" s="198"/>
      <c r="Q120" s="198">
        <f>'Exhibit F'!R112+'Exhibit G'!R96+'Exhibit I'!S75</f>
        <v>1668.5</v>
      </c>
      <c r="R120" s="198"/>
      <c r="S120" s="198"/>
      <c r="T120" s="198"/>
      <c r="U120" s="198"/>
      <c r="V120" s="198"/>
      <c r="W120" s="198"/>
      <c r="X120" s="198"/>
      <c r="Y120" s="198"/>
      <c r="Z120" s="198"/>
      <c r="AA120" s="199"/>
      <c r="AB120" s="269">
        <f t="shared" si="21"/>
        <v>9073</v>
      </c>
      <c r="AC120" s="1248"/>
      <c r="AD120" s="875"/>
      <c r="AE120" s="269">
        <f>+'Exhibit F'!AF112+'Exhibit G'!AH96+'Exhibit I'!AI75</f>
        <v>8599.2999999999993</v>
      </c>
      <c r="AF120" s="1587"/>
      <c r="AG120" s="198"/>
      <c r="AH120" s="198">
        <f t="shared" si="22"/>
        <v>473.7</v>
      </c>
      <c r="AI120" s="65"/>
      <c r="AJ120" s="379">
        <f t="shared" si="23"/>
        <v>5.5E-2</v>
      </c>
    </row>
    <row r="121" spans="1:37" ht="16.5" customHeight="1">
      <c r="A121" s="766"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f>'Exhibit F'!P113+'Exhibit G'!P97+'Exhibit I'!Q76</f>
        <v>56.799999999999933</v>
      </c>
      <c r="P121" s="198"/>
      <c r="Q121" s="198">
        <f>'Exhibit F'!R113+'Exhibit G'!R97+'Exhibit I'!S76</f>
        <v>61.399999999999906</v>
      </c>
      <c r="R121" s="198"/>
      <c r="S121" s="198"/>
      <c r="T121" s="198"/>
      <c r="U121" s="198"/>
      <c r="V121" s="198"/>
      <c r="W121" s="198"/>
      <c r="X121" s="198"/>
      <c r="Y121" s="198"/>
      <c r="Z121" s="198"/>
      <c r="AA121" s="199"/>
      <c r="AB121" s="269">
        <f t="shared" si="21"/>
        <v>1396</v>
      </c>
      <c r="AC121" s="1248"/>
      <c r="AD121" s="875"/>
      <c r="AE121" s="269">
        <f>+'Exhibit F'!AF113+'Exhibit G'!AH97+'Exhibit I'!AI76</f>
        <v>1345.8</v>
      </c>
      <c r="AF121" s="1587"/>
      <c r="AG121" s="198"/>
      <c r="AH121" s="198">
        <f t="shared" si="22"/>
        <v>50.2</v>
      </c>
      <c r="AI121" s="65"/>
      <c r="AJ121" s="379">
        <f t="shared" si="23"/>
        <v>3.6999999999999998E-2</v>
      </c>
    </row>
    <row r="122" spans="1:37" ht="16.5" customHeight="1">
      <c r="A122" s="766"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f>'Exhibit F'!P114+'Exhibit G'!P98+'Exhibit I'!Q77</f>
        <v>512.69999999999982</v>
      </c>
      <c r="P122" s="198"/>
      <c r="Q122" s="198">
        <f>'Exhibit F'!R114+'Exhibit G'!R98+'Exhibit I'!S77</f>
        <v>1185.5999999999999</v>
      </c>
      <c r="R122" s="198"/>
      <c r="S122" s="198"/>
      <c r="T122" s="198"/>
      <c r="U122" s="198"/>
      <c r="V122" s="198"/>
      <c r="W122" s="198"/>
      <c r="X122" s="198"/>
      <c r="Y122" s="198"/>
      <c r="Z122" s="198"/>
      <c r="AA122" s="199"/>
      <c r="AB122" s="198">
        <f>ROUND(SUM(C122:Y122),1)</f>
        <v>4811</v>
      </c>
      <c r="AC122" s="1248"/>
      <c r="AD122" s="875"/>
      <c r="AE122" s="269">
        <f>+'Exhibit F'!AF114+'Exhibit G'!AH98+'Exhibit I'!AI77</f>
        <v>4542.5</v>
      </c>
      <c r="AF122" s="1587"/>
      <c r="AG122" s="198"/>
      <c r="AH122" s="198">
        <f>ROUND(SUM(AB122-AE122),1)</f>
        <v>268.5</v>
      </c>
      <c r="AI122" s="65"/>
      <c r="AJ122" s="379">
        <f t="shared" si="23"/>
        <v>5.8999999999999997E-2</v>
      </c>
    </row>
    <row r="123" spans="1:37" ht="16.5" customHeight="1">
      <c r="A123" s="65" t="s">
        <v>134</v>
      </c>
      <c r="B123" s="65"/>
      <c r="C123" s="1029">
        <f>ROUND(SUM(C113:C122),1)</f>
        <v>14512.8</v>
      </c>
      <c r="D123" s="201"/>
      <c r="E123" s="1029">
        <f>ROUND(SUM(E113:E122),1)</f>
        <v>18172.8</v>
      </c>
      <c r="F123" s="201"/>
      <c r="G123" s="1029">
        <f>ROUND(SUM(G113:G122),1)</f>
        <v>16711.8</v>
      </c>
      <c r="H123" s="201"/>
      <c r="I123" s="1029">
        <f>ROUND(SUM(I113:I122),1)</f>
        <v>14345.9</v>
      </c>
      <c r="J123" s="201"/>
      <c r="K123" s="1029">
        <f>ROUND(SUM(K113:K122),1)</f>
        <v>13701.1</v>
      </c>
      <c r="L123" s="201"/>
      <c r="M123" s="1029">
        <f>ROUND(SUM(M113:M122),1)</f>
        <v>18322.599999999999</v>
      </c>
      <c r="N123" s="201"/>
      <c r="O123" s="1029">
        <f>ROUND(SUM(O113:O122),1)</f>
        <v>15885.4</v>
      </c>
      <c r="P123" s="201"/>
      <c r="Q123" s="1029">
        <f>ROUND(SUM(Q113:Q122),1)</f>
        <v>16403</v>
      </c>
      <c r="R123" s="201"/>
      <c r="S123" s="1029">
        <f>ROUND(SUM(S113:S122),1)</f>
        <v>0</v>
      </c>
      <c r="T123" s="201"/>
      <c r="U123" s="1029">
        <f>ROUND(SUM(U113:U122),1)</f>
        <v>0</v>
      </c>
      <c r="V123" s="201"/>
      <c r="W123" s="1029">
        <f>ROUND(SUM(W113:W122),1)</f>
        <v>0</v>
      </c>
      <c r="X123" s="201"/>
      <c r="Y123" s="1029">
        <f>ROUND(SUM(Y113:Y122),1)</f>
        <v>0</v>
      </c>
      <c r="Z123" s="201"/>
      <c r="AA123" s="202"/>
      <c r="AB123" s="1029">
        <f>ROUND(SUM(AB113:AB122),1)</f>
        <v>128055.4</v>
      </c>
      <c r="AC123" s="1249"/>
      <c r="AD123" s="878"/>
      <c r="AE123" s="1029">
        <f>ROUND(SUM(AE113:AE122),1)</f>
        <v>120622.7</v>
      </c>
      <c r="AF123" s="1588"/>
      <c r="AG123" s="201"/>
      <c r="AH123" s="1029">
        <f>ROUND(SUM(AH113:AH122),1)</f>
        <v>7432.7</v>
      </c>
      <c r="AI123" s="191"/>
      <c r="AJ123" s="1030">
        <f t="shared" si="23"/>
        <v>6.2E-2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587"/>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f>'Exhibit F'!P117+'Exhibit G'!P101+'Exhibit I'!Q80</f>
        <v>1714.7999999999988</v>
      </c>
      <c r="P125" s="198"/>
      <c r="Q125" s="198">
        <f>'Exhibit F'!R117+'Exhibit G'!R101+'Exhibit I'!S80</f>
        <v>1518.6000000000008</v>
      </c>
      <c r="R125" s="198"/>
      <c r="S125" s="198"/>
      <c r="T125" s="198"/>
      <c r="U125" s="198"/>
      <c r="V125" s="198"/>
      <c r="W125" s="198"/>
      <c r="X125" s="198"/>
      <c r="Y125" s="198"/>
      <c r="Z125" s="198"/>
      <c r="AA125" s="199"/>
      <c r="AB125" s="198">
        <f>ROUND(SUM(C125:Y125),1)</f>
        <v>12844.4</v>
      </c>
      <c r="AC125" s="198"/>
      <c r="AD125" s="875"/>
      <c r="AE125" s="269">
        <f>+'Exhibit F'!AF117+'Exhibit G'!AH101+'Exhibit I'!AI80</f>
        <v>11788.099999999999</v>
      </c>
      <c r="AF125" s="1587"/>
      <c r="AG125" s="198"/>
      <c r="AH125" s="198">
        <f>ROUND(SUM(AB125-AE125),1)</f>
        <v>1056.3</v>
      </c>
      <c r="AI125" s="65"/>
      <c r="AJ125" s="379">
        <f>ROUND(IF(AE125=0,0,AH125/ABS(AE125)),3)</f>
        <v>0.09</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f>'Exhibit F'!P118+'Exhibit G'!P102+'Exhibit H'!N59+'Exhibit I'!Q81</f>
        <v>779.10000000000036</v>
      </c>
      <c r="P126" s="198"/>
      <c r="Q126" s="198">
        <f>'Exhibit F'!R118+'Exhibit G'!R102+'Exhibit H'!P59+'Exhibit I'!S81</f>
        <v>729.2</v>
      </c>
      <c r="R126" s="198"/>
      <c r="S126" s="198"/>
      <c r="T126" s="198"/>
      <c r="U126" s="198"/>
      <c r="V126" s="198"/>
      <c r="W126" s="198"/>
      <c r="X126" s="198"/>
      <c r="Y126" s="198"/>
      <c r="Z126" s="198"/>
      <c r="AA126" s="199"/>
      <c r="AB126" s="198">
        <f>ROUND(SUM(C126:Y126),1)</f>
        <v>5995.6</v>
      </c>
      <c r="AC126" s="198"/>
      <c r="AD126" s="875"/>
      <c r="AE126" s="269">
        <f>+'Exhibit F'!AF118+'Exhibit G'!AH102+'Exhibit H'!AD59+'Exhibit I'!AI81</f>
        <v>5650.3000000000011</v>
      </c>
      <c r="AF126" s="1587"/>
      <c r="AG126" s="198"/>
      <c r="AH126" s="198">
        <f>ROUND(SUM(AB126-AE126),1)</f>
        <v>345.3</v>
      </c>
      <c r="AI126" s="65"/>
      <c r="AJ126" s="379">
        <f>ROUND(IF(AE126=0,0,AH126/ABS(AE126)),3)</f>
        <v>6.0999999999999999E-2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f>'Exhibit F'!P119+'Exhibit G'!P103+'Exhibit I'!Q82</f>
        <v>795.7999999999995</v>
      </c>
      <c r="P127" s="198"/>
      <c r="Q127" s="198">
        <f>'Exhibit F'!R119+'Exhibit G'!R103+'Exhibit I'!S82</f>
        <v>777.29999999999984</v>
      </c>
      <c r="R127" s="198"/>
      <c r="S127" s="198"/>
      <c r="T127" s="198"/>
      <c r="U127" s="198"/>
      <c r="V127" s="198"/>
      <c r="W127" s="198"/>
      <c r="X127" s="198"/>
      <c r="Y127" s="198"/>
      <c r="Z127" s="198"/>
      <c r="AA127" s="199"/>
      <c r="AB127" s="198">
        <f>ROUND(SUM(C127:Y127),1)</f>
        <v>6289</v>
      </c>
      <c r="AC127" s="198"/>
      <c r="AD127" s="875"/>
      <c r="AE127" s="269">
        <f>+'Exhibit F'!AF119+'Exhibit G'!AH103+'Exhibit I'!AI82</f>
        <v>5710</v>
      </c>
      <c r="AF127" s="1587"/>
      <c r="AG127" s="198"/>
      <c r="AH127" s="198">
        <f>ROUND(SUM(AB127-AE127),1)</f>
        <v>579</v>
      </c>
      <c r="AI127" s="65"/>
      <c r="AJ127" s="379">
        <f>ROUND(IF(AE127=0,0,AH127/ABS(AE127)),3)</f>
        <v>0.10100000000000001</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587"/>
      <c r="AG128" s="198"/>
      <c r="AH128" s="198"/>
      <c r="AI128" s="65"/>
      <c r="AJ128" s="288"/>
    </row>
    <row r="129" spans="1:44" ht="16.5" customHeight="1">
      <c r="A129" s="65" t="s">
        <v>1473</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f>'Exhibit G'!P105+'Exhibit H'!N61</f>
        <v>0.10000000000004139</v>
      </c>
      <c r="P129" s="198"/>
      <c r="Q129" s="198">
        <f>'Exhibit G'!R105+'Exhibit H'!P61</f>
        <v>6.0000000000000044</v>
      </c>
      <c r="R129" s="198"/>
      <c r="S129" s="198"/>
      <c r="T129" s="198"/>
      <c r="U129" s="198"/>
      <c r="V129" s="198"/>
      <c r="W129" s="198"/>
      <c r="X129" s="198"/>
      <c r="Y129" s="198"/>
      <c r="Z129" s="198"/>
      <c r="AA129" s="199"/>
      <c r="AB129" s="198">
        <f>ROUND(SUM(C129:Y129),1)</f>
        <v>295</v>
      </c>
      <c r="AC129" s="198"/>
      <c r="AD129" s="875"/>
      <c r="AE129" s="269">
        <f>+'Exhibit H'!AD61+'Exhibit G'!AH105</f>
        <v>348.3</v>
      </c>
      <c r="AF129" s="1587"/>
      <c r="AG129" s="198"/>
      <c r="AH129" s="198">
        <f>ROUND(SUM(AB129-AE129),1)</f>
        <v>-53.3</v>
      </c>
      <c r="AI129" s="65"/>
      <c r="AJ129" s="379">
        <f>ROUND(IF(AE129=0,0,AH129/ABS(AE129)),3)</f>
        <v>-0.153</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f>'Exhibit G'!P106+'Exhibit I'!Q83</f>
        <v>981.60000000000048</v>
      </c>
      <c r="P130" s="198"/>
      <c r="Q130" s="200">
        <f>'Exhibit G'!R106+'Exhibit I'!S83</f>
        <v>871.49999999999943</v>
      </c>
      <c r="R130" s="198"/>
      <c r="S130" s="200"/>
      <c r="T130" s="198"/>
      <c r="U130" s="200"/>
      <c r="V130" s="198"/>
      <c r="W130" s="200"/>
      <c r="X130" s="198"/>
      <c r="Y130" s="200"/>
      <c r="Z130" s="198"/>
      <c r="AA130" s="199"/>
      <c r="AB130" s="200">
        <f>ROUND(SUM(C130:Y130),1)</f>
        <v>6887.4</v>
      </c>
      <c r="AC130" s="198"/>
      <c r="AD130" s="875"/>
      <c r="AE130" s="388">
        <f>+'Exhibit G'!AH106+'Exhibit I'!AI83</f>
        <v>6491.5</v>
      </c>
      <c r="AF130" s="1587"/>
      <c r="AG130" s="198"/>
      <c r="AH130" s="200">
        <f>ROUND(SUM(AB130-AE130),1)</f>
        <v>395.9</v>
      </c>
      <c r="AI130" s="65"/>
      <c r="AJ130" s="877">
        <f>ROUND(IF(AE130=0,0,AH130/ABS(AE130)),3)</f>
        <v>6.0999999999999999E-2</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5"/>
      <c r="AE131" s="198"/>
      <c r="AF131" s="1587"/>
      <c r="AG131" s="198"/>
      <c r="AH131" s="198"/>
      <c r="AI131" s="65"/>
      <c r="AJ131" s="288"/>
    </row>
    <row r="132" spans="1:44" ht="16.5" customHeight="1">
      <c r="A132" s="40" t="s">
        <v>162</v>
      </c>
      <c r="B132" s="65"/>
      <c r="C132" s="768">
        <f>ROUND(SUM(C123:C130),1)</f>
        <v>18165.599999999999</v>
      </c>
      <c r="D132" s="201"/>
      <c r="E132" s="768">
        <f>ROUND(SUM(E123:E130),1)</f>
        <v>22271.200000000001</v>
      </c>
      <c r="F132" s="201"/>
      <c r="G132" s="768">
        <f>ROUND(SUM(G123:G130),1)</f>
        <v>20436.400000000001</v>
      </c>
      <c r="H132" s="201"/>
      <c r="I132" s="768">
        <f>ROUND(SUM(I123:I130),1)</f>
        <v>18887.2</v>
      </c>
      <c r="J132" s="201"/>
      <c r="K132" s="768">
        <f>ROUND(SUM(K123:K130),1)</f>
        <v>17497.599999999999</v>
      </c>
      <c r="L132" s="201"/>
      <c r="M132" s="768">
        <f>ROUND(SUM(M123:M130),1)</f>
        <v>22646.400000000001</v>
      </c>
      <c r="N132" s="201"/>
      <c r="O132" s="768">
        <f>ROUND(SUM(O123:O130),1)</f>
        <v>20156.8</v>
      </c>
      <c r="P132" s="201"/>
      <c r="Q132" s="768">
        <f>ROUND(SUM(Q123:Q130),1)</f>
        <v>20305.599999999999</v>
      </c>
      <c r="R132" s="201"/>
      <c r="S132" s="768">
        <f>ROUND(SUM(S123:S130),1)</f>
        <v>0</v>
      </c>
      <c r="T132" s="201"/>
      <c r="U132" s="768">
        <f>ROUND(SUM(U123:U130),1)</f>
        <v>0</v>
      </c>
      <c r="V132" s="201"/>
      <c r="W132" s="768">
        <f>ROUND(SUM(W123:W130),1)</f>
        <v>0</v>
      </c>
      <c r="X132" s="201"/>
      <c r="Y132" s="768">
        <f>ROUND(SUM(Y123:Y130),1)</f>
        <v>0</v>
      </c>
      <c r="Z132" s="201"/>
      <c r="AA132" s="202"/>
      <c r="AB132" s="768">
        <f>ROUND(SUM(AB123:AB130),1)</f>
        <v>160366.79999999999</v>
      </c>
      <c r="AC132" s="201"/>
      <c r="AD132" s="878"/>
      <c r="AE132" s="768">
        <f>ROUND(SUM(AE123:AE130),1)</f>
        <v>150610.9</v>
      </c>
      <c r="AF132" s="1588"/>
      <c r="AG132" s="201"/>
      <c r="AH132" s="768">
        <f>ROUND(SUM(AB132-AE132),1)</f>
        <v>9755.9</v>
      </c>
      <c r="AI132" s="191"/>
      <c r="AJ132" s="874">
        <f>ROUND(IF(AE132=0,0,AH132/ABS(AE132)),3)</f>
        <v>6.5000000000000002E-2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587"/>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587"/>
      <c r="AG134" s="198"/>
      <c r="AH134" s="269"/>
      <c r="AI134" s="65"/>
      <c r="AJ134" s="273"/>
    </row>
    <row r="135" spans="1:44" ht="16.5" customHeight="1">
      <c r="A135" s="40" t="s">
        <v>144</v>
      </c>
      <c r="B135" s="65"/>
      <c r="C135" s="768">
        <f>ROUND(SUM(C109-C132),1)</f>
        <v>7949.7</v>
      </c>
      <c r="D135" s="201"/>
      <c r="E135" s="768">
        <f>ROUND(SUM(E109-E132),1)</f>
        <v>-6708.9</v>
      </c>
      <c r="F135" s="201"/>
      <c r="G135" s="768">
        <f>ROUND(SUM(G109-G132),1)</f>
        <v>3741.4</v>
      </c>
      <c r="H135" s="201"/>
      <c r="I135" s="768">
        <f>ROUND(SUM(I109-I132),1)</f>
        <v>372.2</v>
      </c>
      <c r="J135" s="201"/>
      <c r="K135" s="768">
        <f>ROUND(SUM(K109-K132),1)</f>
        <v>1396.1</v>
      </c>
      <c r="L135" s="201"/>
      <c r="M135" s="768">
        <f>ROUND(SUM(M109-M132),1)</f>
        <v>891.3</v>
      </c>
      <c r="N135" s="201"/>
      <c r="O135" s="768">
        <f>ROUND(SUM(O109-O132),1)</f>
        <v>-3319.9</v>
      </c>
      <c r="P135" s="201"/>
      <c r="Q135" s="768">
        <f>ROUND(SUM(Q109-Q132),1)</f>
        <v>-3894.3</v>
      </c>
      <c r="R135" s="201"/>
      <c r="S135" s="768">
        <f>ROUND(SUM(S109-S132),1)</f>
        <v>0</v>
      </c>
      <c r="T135" s="201"/>
      <c r="U135" s="768">
        <f>ROUND(SUM(U109-U132),1)</f>
        <v>0</v>
      </c>
      <c r="V135" s="201"/>
      <c r="W135" s="768">
        <f>ROUND(SUM(W109-W132),1)</f>
        <v>0</v>
      </c>
      <c r="X135" s="201"/>
      <c r="Y135" s="768">
        <f>ROUND(SUM(Y109-Y132),1)</f>
        <v>0</v>
      </c>
      <c r="Z135" s="201"/>
      <c r="AA135" s="202"/>
      <c r="AB135" s="768">
        <f>ROUND(SUM(AB109-AB132),1)</f>
        <v>427.6</v>
      </c>
      <c r="AC135" s="201"/>
      <c r="AD135" s="878"/>
      <c r="AE135" s="768">
        <f>ROUND(SUM(AE109-AE132),1)</f>
        <v>937.8</v>
      </c>
      <c r="AF135" s="1588"/>
      <c r="AG135" s="201"/>
      <c r="AH135" s="883">
        <f>ROUND(SUM(AB135-AE135),1)</f>
        <v>-510.2</v>
      </c>
      <c r="AI135" s="191"/>
      <c r="AJ135" s="879">
        <f>ROUND(IF(AE135=0,0,AH135/ABS(AE135)),3)</f>
        <v>-0.54400000000000004</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587"/>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2"/>
      <c r="AA137" s="199"/>
      <c r="AB137" s="198"/>
      <c r="AC137" s="1232"/>
      <c r="AD137" s="198"/>
      <c r="AE137" s="198"/>
      <c r="AF137" s="1587"/>
      <c r="AG137" s="198"/>
      <c r="AH137" s="269"/>
      <c r="AI137" s="65"/>
      <c r="AJ137" s="273"/>
    </row>
    <row r="138" spans="1:44" ht="16.5" customHeight="1">
      <c r="A138" s="65" t="s">
        <v>146</v>
      </c>
      <c r="B138" s="65"/>
      <c r="C138" s="689">
        <v>0</v>
      </c>
      <c r="D138" s="689"/>
      <c r="E138" s="689">
        <v>0</v>
      </c>
      <c r="F138" s="689"/>
      <c r="G138" s="689">
        <v>0</v>
      </c>
      <c r="H138" s="204"/>
      <c r="I138" s="689">
        <v>0</v>
      </c>
      <c r="J138" s="204"/>
      <c r="K138" s="689">
        <v>0</v>
      </c>
      <c r="L138" s="204"/>
      <c r="M138" s="689">
        <v>0</v>
      </c>
      <c r="N138" s="204"/>
      <c r="O138" s="689">
        <v>0</v>
      </c>
      <c r="P138" s="204"/>
      <c r="Q138" s="689">
        <v>0</v>
      </c>
      <c r="R138" s="689"/>
      <c r="S138" s="689"/>
      <c r="T138" s="689"/>
      <c r="U138" s="689"/>
      <c r="V138" s="689"/>
      <c r="W138" s="689"/>
      <c r="X138" s="689"/>
      <c r="Y138" s="689"/>
      <c r="Z138" s="198"/>
      <c r="AA138" s="199"/>
      <c r="AB138" s="198">
        <f>ROUND(SUM(C138:Y138),1)</f>
        <v>0</v>
      </c>
      <c r="AC138" s="198"/>
      <c r="AD138" s="875"/>
      <c r="AE138" s="198">
        <f>+'Exhibit A'!AD48</f>
        <v>0</v>
      </c>
      <c r="AF138" s="1587"/>
      <c r="AG138" s="198"/>
      <c r="AH138" s="198">
        <f>ROUND(SUM(AB138-AE138),1)</f>
        <v>0</v>
      </c>
      <c r="AI138" s="193"/>
      <c r="AJ138" s="271">
        <f>ROUND(IF(AE138=0,0,AH138/ABS(AE138)),3)</f>
        <v>0</v>
      </c>
    </row>
    <row r="139" spans="1:44" ht="16.5" customHeight="1">
      <c r="A139" s="65" t="s">
        <v>147</v>
      </c>
      <c r="B139" s="65"/>
      <c r="C139" s="372">
        <v>6950.8</v>
      </c>
      <c r="D139" s="2023"/>
      <c r="E139" s="689">
        <v>4054.1</v>
      </c>
      <c r="F139" s="689"/>
      <c r="G139" s="689">
        <v>7379.7</v>
      </c>
      <c r="H139" s="198"/>
      <c r="I139" s="689">
        <v>3961.9</v>
      </c>
      <c r="J139" s="198"/>
      <c r="K139" s="689">
        <v>4982.6000000000004</v>
      </c>
      <c r="L139" s="198"/>
      <c r="M139" s="689">
        <v>6938.7</v>
      </c>
      <c r="N139" s="198"/>
      <c r="O139" s="689">
        <v>2879.9</v>
      </c>
      <c r="P139" s="198"/>
      <c r="Q139" s="689">
        <f>'Exhibit A'!$V49</f>
        <v>3664.6</v>
      </c>
      <c r="R139" s="689"/>
      <c r="S139" s="689"/>
      <c r="T139" s="689"/>
      <c r="U139" s="689"/>
      <c r="V139" s="689"/>
      <c r="W139" s="689"/>
      <c r="X139" s="689"/>
      <c r="Y139" s="689"/>
      <c r="Z139" s="198"/>
      <c r="AA139" s="199"/>
      <c r="AB139" s="198">
        <f>ROUND(SUM(C139:Y139),1)</f>
        <v>40812.300000000003</v>
      </c>
      <c r="AC139" s="198"/>
      <c r="AD139" s="199"/>
      <c r="AE139" s="198">
        <f>+'Exhibit A'!AD49</f>
        <v>36260.9</v>
      </c>
      <c r="AF139" s="1587"/>
      <c r="AG139" s="198"/>
      <c r="AH139" s="198">
        <f>ROUND(SUM(AB139-AE139),1)</f>
        <v>4551.3999999999996</v>
      </c>
      <c r="AI139" s="65"/>
      <c r="AJ139" s="271">
        <f>ROUND(IF(AE139=0,0,AH139/ABS(AE139)),3)</f>
        <v>0.126</v>
      </c>
    </row>
    <row r="140" spans="1:44" ht="16.5" customHeight="1">
      <c r="A140" s="65" t="s">
        <v>149</v>
      </c>
      <c r="C140" s="899">
        <v>-6951.8</v>
      </c>
      <c r="D140" s="2023"/>
      <c r="E140" s="769">
        <v>-4056.3</v>
      </c>
      <c r="F140" s="769"/>
      <c r="G140" s="769">
        <v>-13415.6</v>
      </c>
      <c r="H140" s="11"/>
      <c r="I140" s="769">
        <v>-3959.2</v>
      </c>
      <c r="J140" s="11"/>
      <c r="K140" s="769">
        <v>-4989.3</v>
      </c>
      <c r="L140" s="11"/>
      <c r="M140" s="769">
        <v>-7019.3</v>
      </c>
      <c r="N140" s="11"/>
      <c r="O140" s="769">
        <v>-2883.4</v>
      </c>
      <c r="P140" s="11"/>
      <c r="Q140" s="769">
        <f>'Exhibit A'!$V50</f>
        <v>-3667.7</v>
      </c>
      <c r="R140" s="689"/>
      <c r="S140" s="769"/>
      <c r="T140" s="689"/>
      <c r="U140" s="769"/>
      <c r="V140" s="769"/>
      <c r="W140" s="769"/>
      <c r="X140" s="769"/>
      <c r="Y140" s="769"/>
      <c r="Z140" s="11"/>
      <c r="AA140" s="205"/>
      <c r="AB140" s="200">
        <f>ROUND(SUM(C140:Y140),1)</f>
        <v>-46942.6</v>
      </c>
      <c r="AC140" s="11"/>
      <c r="AD140" s="205"/>
      <c r="AE140" s="200">
        <f>+'Exhibit A'!AD50</f>
        <v>-36338.300000000003</v>
      </c>
      <c r="AF140" s="1589"/>
      <c r="AG140" s="11"/>
      <c r="AH140" s="200">
        <f>ROUND(SUM(-AB140+AE140),1)</f>
        <v>10604.3</v>
      </c>
      <c r="AI140" s="273"/>
      <c r="AJ140" s="539">
        <f>ROUND(IF(AE140=0,0,AH140/ABS(AE140)),3)</f>
        <v>0.29199999999999998</v>
      </c>
      <c r="AK140" s="880"/>
    </row>
    <row r="141" spans="1:44" ht="16.5" customHeight="1">
      <c r="A141" s="65"/>
      <c r="C141" s="1052"/>
      <c r="D141" s="1144"/>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89"/>
      <c r="AG141" s="11"/>
      <c r="AH141" s="198"/>
      <c r="AI141" s="273"/>
      <c r="AJ141" s="288"/>
    </row>
    <row r="142" spans="1:44" ht="16.5" customHeight="1">
      <c r="A142" s="40" t="s">
        <v>150</v>
      </c>
      <c r="C142" s="1000">
        <f>ROUND(SUM(C138:C140),1)</f>
        <v>-1</v>
      </c>
      <c r="D142" s="2024"/>
      <c r="E142" s="768">
        <f>ROUND(SUM(E138:E140),1)</f>
        <v>-2.2000000000000002</v>
      </c>
      <c r="F142" s="206"/>
      <c r="G142" s="768">
        <f>ROUND(SUM(G138:G140),1)</f>
        <v>-6035.9</v>
      </c>
      <c r="H142" s="206"/>
      <c r="I142" s="768">
        <f>ROUND(SUM(I138:I140),1)</f>
        <v>2.7</v>
      </c>
      <c r="J142" s="206"/>
      <c r="K142" s="768">
        <f>ROUND(SUM(K138:K140),1)</f>
        <v>-6.7</v>
      </c>
      <c r="L142" s="206"/>
      <c r="M142" s="768">
        <f>ROUND(SUM(M138:M140),1)</f>
        <v>-80.599999999999994</v>
      </c>
      <c r="N142" s="206"/>
      <c r="O142" s="768">
        <f>ROUND(SUM(O138:O140),1)</f>
        <v>-3.5</v>
      </c>
      <c r="P142" s="206"/>
      <c r="Q142" s="768">
        <f>ROUND(SUM(Q138:Q140),1)</f>
        <v>-3.1</v>
      </c>
      <c r="R142" s="206"/>
      <c r="S142" s="768">
        <f>ROUND(SUM(S138:S140),1)</f>
        <v>0</v>
      </c>
      <c r="T142" s="206"/>
      <c r="U142" s="768">
        <f>ROUND(SUM(U138:U140),1)</f>
        <v>0</v>
      </c>
      <c r="V142" s="206"/>
      <c r="W142" s="768">
        <f>ROUND(SUM(W138:W140),1)</f>
        <v>0</v>
      </c>
      <c r="X142" s="206"/>
      <c r="Y142" s="768">
        <f>ROUND(SUM(Y138:Y140),1)</f>
        <v>0</v>
      </c>
      <c r="Z142" s="206"/>
      <c r="AA142" s="207"/>
      <c r="AB142" s="768">
        <f>ROUND(SUM(AB138:AB141),1)</f>
        <v>-6130.3</v>
      </c>
      <c r="AC142" s="206"/>
      <c r="AD142" s="207"/>
      <c r="AE142" s="768">
        <f>SUM(AE138:AE141)</f>
        <v>-77.400000000001455</v>
      </c>
      <c r="AF142" s="1590"/>
      <c r="AG142" s="206"/>
      <c r="AH142" s="768">
        <f>ROUND(SUM(+AH139-AH140+AH138),1)</f>
        <v>-6052.9</v>
      </c>
      <c r="AI142" s="40"/>
      <c r="AJ142" s="879">
        <f>ROUND(IF(AE142=0,0,AH142/ABS(AE142)),3)</f>
        <v>-78.203000000000003</v>
      </c>
      <c r="AK142" s="133"/>
    </row>
    <row r="143" spans="1:44" ht="5.0999999999999996"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89"/>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89"/>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89"/>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-3323.4</v>
      </c>
      <c r="P146" s="206"/>
      <c r="Q146" s="208">
        <f>ROUND(SUM(Q135+Q142),1)</f>
        <v>-3897.4</v>
      </c>
      <c r="R146" s="206"/>
      <c r="S146" s="208">
        <f>ROUND(SUM(S135+S142),1)</f>
        <v>0</v>
      </c>
      <c r="T146" s="206"/>
      <c r="U146" s="208">
        <f>ROUND(SUM(U135+U142),1)</f>
        <v>0</v>
      </c>
      <c r="V146" s="206"/>
      <c r="W146" s="208">
        <f>ROUND(SUM(W135+W142),1)</f>
        <v>0</v>
      </c>
      <c r="X146" s="206"/>
      <c r="Y146" s="208">
        <f>ROUND(SUM(Y135+Y142),1)</f>
        <v>0</v>
      </c>
      <c r="Z146" s="206"/>
      <c r="AA146" s="207"/>
      <c r="AB146" s="208">
        <f>ROUND(SUM(AB135+AB142),1)</f>
        <v>-5702.7</v>
      </c>
      <c r="AC146" s="206"/>
      <c r="AD146" s="207"/>
      <c r="AE146" s="208">
        <f>AE135+AE142</f>
        <v>860.3999999999985</v>
      </c>
      <c r="AF146" s="1589"/>
      <c r="AG146" s="11"/>
      <c r="AH146" s="883">
        <f>ROUND(SUM(AB146-AE146),1)</f>
        <v>-6563.1</v>
      </c>
      <c r="AI146" s="40"/>
      <c r="AJ146" s="879">
        <f>ROUND(IF(AE146=0,0,AH146/ABS(AE146)),3)</f>
        <v>-7.6280000000000001</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7"/>
      <c r="E147" s="1027"/>
      <c r="G147" s="1027"/>
      <c r="I147" s="1027"/>
      <c r="K147" s="1027"/>
      <c r="M147" s="1027"/>
      <c r="O147" s="1027"/>
      <c r="Q147" s="1027"/>
      <c r="S147" s="1027"/>
      <c r="U147" s="1027"/>
      <c r="W147" s="1027"/>
      <c r="Y147" s="1027"/>
      <c r="AA147" s="209"/>
      <c r="AB147" s="1027"/>
      <c r="AD147" s="209"/>
      <c r="AE147" s="1027"/>
      <c r="AF147" s="1589"/>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71891.100000000006</v>
      </c>
      <c r="P148" s="212"/>
      <c r="Q148" s="211">
        <f>ROUND(SUM(Q16+Q146),1)</f>
        <v>67993.7</v>
      </c>
      <c r="R148" s="212"/>
      <c r="S148" s="211">
        <f>ROUND(SUM(S16+S146),1)</f>
        <v>0</v>
      </c>
      <c r="T148" s="212"/>
      <c r="U148" s="211">
        <f>ROUND(SUM(U16+U146),1)</f>
        <v>0</v>
      </c>
      <c r="V148" s="212"/>
      <c r="W148" s="211">
        <f>ROUND(SUM(W16+W146),1)</f>
        <v>0</v>
      </c>
      <c r="X148" s="212"/>
      <c r="Y148" s="211">
        <f>ROUND(SUM(Y16+Y146),1)</f>
        <v>0</v>
      </c>
      <c r="Z148" s="70"/>
      <c r="AA148" s="213"/>
      <c r="AB148" s="211">
        <f>ROUND(SUM(AB16+AB146),1)</f>
        <v>67993.7</v>
      </c>
      <c r="AC148" s="70"/>
      <c r="AD148" s="213"/>
      <c r="AE148" s="211">
        <f>AE16+AE146</f>
        <v>66772.599999999991</v>
      </c>
      <c r="AF148" s="1589"/>
      <c r="AG148" s="11"/>
      <c r="AH148" s="211">
        <f>ROUND(SUM(AB148-AE148),1)</f>
        <v>1221.0999999999999</v>
      </c>
      <c r="AI148" s="40"/>
      <c r="AJ148" s="881">
        <f>ROUND(IF(AE148=0,0,AH148/ABS(AE148)),3)</f>
        <v>1.7999999999999999E-2</v>
      </c>
      <c r="AK148" s="133"/>
    </row>
    <row r="149" spans="1:59" ht="16.5" customHeight="1" thickTop="1">
      <c r="A149" s="214"/>
      <c r="AH149" s="273"/>
      <c r="AI149" s="273"/>
      <c r="AJ149" s="273"/>
    </row>
    <row r="150" spans="1:59" ht="16.5" customHeight="1">
      <c r="A150" s="1033"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90" zoomScaleNormal="90" workbookViewId="0"/>
  </sheetViews>
  <sheetFormatPr defaultColWidth="8.88671875" defaultRowHeight="16.5" customHeight="1"/>
  <cols>
    <col min="1" max="1" width="43" style="61" customWidth="1"/>
    <col min="2" max="2" width="1.88671875" style="61" customWidth="1"/>
    <col min="3" max="3" width="13.109375" style="61" customWidth="1"/>
    <col min="4" max="4" width="1.88671875" style="61" customWidth="1"/>
    <col min="5" max="5" width="13.109375" style="61" customWidth="1"/>
    <col min="6" max="6" width="1.88671875" style="61" customWidth="1"/>
    <col min="7" max="7" width="13.5546875" style="61" customWidth="1"/>
    <col min="8" max="8" width="1.88671875" style="61" customWidth="1"/>
    <col min="9" max="9" width="13.88671875" style="61" customWidth="1"/>
    <col min="10" max="10" width="1.88671875" style="61" customWidth="1"/>
    <col min="11" max="11" width="14.5546875" style="61" customWidth="1"/>
    <col min="12" max="12" width="1.88671875" style="61" customWidth="1"/>
    <col min="13" max="13" width="13.109375" style="61" customWidth="1"/>
    <col min="14" max="14" width="1.88671875" style="61" customWidth="1"/>
    <col min="15" max="15" width="14.109375" style="61" customWidth="1"/>
    <col min="16" max="16" width="1.88671875" style="61" customWidth="1"/>
    <col min="17" max="17" width="13.109375" style="61" customWidth="1"/>
    <col min="18" max="18" width="1.88671875" style="61" customWidth="1"/>
    <col min="19" max="19" width="13.88671875" style="61" customWidth="1"/>
    <col min="20" max="20" width="1.88671875" style="61" customWidth="1"/>
    <col min="21" max="21" width="13" style="61" customWidth="1"/>
    <col min="22" max="22" width="1.88671875" style="61" customWidth="1"/>
    <col min="23" max="23" width="13.109375" style="61" customWidth="1"/>
    <col min="24" max="24" width="1.88671875" style="61" customWidth="1"/>
    <col min="25" max="25" width="13.109375" style="61" customWidth="1"/>
    <col min="26" max="27" width="1.88671875" style="61" customWidth="1"/>
    <col min="28" max="28" width="15" style="61" customWidth="1"/>
    <col min="29" max="30" width="1.88671875" style="61" customWidth="1"/>
    <col min="31" max="31" width="13.88671875" style="61" customWidth="1"/>
    <col min="32" max="33" width="1.88671875" style="61" customWidth="1"/>
    <col min="34" max="34" width="12.88671875" style="61" bestFit="1" customWidth="1"/>
    <col min="35" max="35" width="1" style="61" customWidth="1"/>
    <col min="36" max="36" width="12.109375" style="61" bestFit="1" customWidth="1"/>
    <col min="37" max="16384" width="8.88671875" style="61"/>
  </cols>
  <sheetData>
    <row r="1" spans="1:37" ht="15">
      <c r="A1" s="765" t="s">
        <v>97</v>
      </c>
    </row>
    <row r="2" spans="1:37" ht="15">
      <c r="A2" s="369"/>
    </row>
    <row r="3" spans="1:37" ht="23.25">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8"/>
      <c r="AD5" s="2099"/>
      <c r="AE5" s="2099"/>
      <c r="AF5" s="2099"/>
      <c r="AG5" s="2099"/>
      <c r="AH5" s="2099"/>
      <c r="AI5" s="2099"/>
      <c r="AJ5" s="2099"/>
    </row>
    <row r="6" spans="1:37" ht="23.25">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7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101" t="str">
        <f>'Cashflow Governmental'!AB12</f>
        <v>8 Months Ended November 30</v>
      </c>
      <c r="AC12" s="2101"/>
      <c r="AD12" s="2101"/>
      <c r="AE12" s="2101"/>
      <c r="AF12" s="2101"/>
      <c r="AG12" s="2101"/>
      <c r="AH12" s="2101"/>
      <c r="AI12" s="2101"/>
      <c r="AJ12" s="2101"/>
    </row>
    <row r="13" spans="1:37" ht="15.7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70"/>
      <c r="AJ13" s="322" t="s">
        <v>111</v>
      </c>
    </row>
    <row r="14" spans="1:37" ht="15.75">
      <c r="A14" s="65"/>
      <c r="B14" s="65"/>
      <c r="C14" s="322" t="s">
        <v>332</v>
      </c>
      <c r="D14" s="191"/>
      <c r="E14" s="322" t="s">
        <v>333</v>
      </c>
      <c r="F14" s="191"/>
      <c r="G14" s="322" t="s">
        <v>334</v>
      </c>
      <c r="H14" s="191"/>
      <c r="I14" s="322" t="s">
        <v>335</v>
      </c>
      <c r="J14" s="191"/>
      <c r="K14" s="322" t="s">
        <v>336</v>
      </c>
      <c r="L14" s="191"/>
      <c r="M14" s="322" t="s">
        <v>337</v>
      </c>
      <c r="N14" s="191"/>
      <c r="O14" s="322" t="s">
        <v>338</v>
      </c>
      <c r="P14" s="191"/>
      <c r="Q14" s="882" t="s">
        <v>339</v>
      </c>
      <c r="R14" s="191"/>
      <c r="S14" s="322" t="s">
        <v>340</v>
      </c>
      <c r="T14" s="191"/>
      <c r="U14" s="322" t="s">
        <v>341</v>
      </c>
      <c r="V14" s="191"/>
      <c r="W14" s="322" t="s">
        <v>342</v>
      </c>
      <c r="X14" s="191"/>
      <c r="Y14" s="322" t="s">
        <v>343</v>
      </c>
      <c r="Z14" s="191"/>
      <c r="AA14" s="191"/>
      <c r="AB14" s="866" t="str">
        <f>'Cashflow Governmental'!AB14</f>
        <v>2025</v>
      </c>
      <c r="AC14" s="191"/>
      <c r="AD14" s="191"/>
      <c r="AE14" s="866" t="str">
        <f>'Cashflow Governmental'!AE14</f>
        <v>2024</v>
      </c>
      <c r="AF14" s="191"/>
      <c r="AG14" s="191"/>
      <c r="AH14" s="882" t="s">
        <v>112</v>
      </c>
      <c r="AI14" s="870"/>
      <c r="AJ14" s="882" t="s">
        <v>113</v>
      </c>
    </row>
    <row r="15" spans="1:37" ht="5.25" customHeight="1">
      <c r="A15" s="65"/>
      <c r="B15" s="65"/>
      <c r="C15" s="1027"/>
      <c r="D15" s="65"/>
      <c r="E15" s="1027"/>
      <c r="F15" s="65"/>
      <c r="G15" s="1027"/>
      <c r="H15" s="65"/>
      <c r="I15" s="1027"/>
      <c r="J15" s="65"/>
      <c r="K15" s="1027"/>
      <c r="L15" s="65"/>
      <c r="M15" s="1027"/>
      <c r="N15" s="65"/>
      <c r="O15" s="1027" t="s">
        <v>103</v>
      </c>
      <c r="P15" s="65"/>
      <c r="Q15" s="194"/>
      <c r="R15" s="65"/>
      <c r="S15" s="1027"/>
      <c r="T15" s="65"/>
      <c r="U15" s="1027" t="s">
        <v>103</v>
      </c>
      <c r="V15" s="65"/>
      <c r="W15" s="1027"/>
      <c r="X15" s="65"/>
      <c r="Y15" s="1027"/>
      <c r="Z15" s="65"/>
      <c r="AA15" s="65"/>
      <c r="AB15" s="1027"/>
      <c r="AC15" s="65"/>
      <c r="AD15" s="65"/>
      <c r="AE15" s="1027"/>
      <c r="AF15" s="65"/>
      <c r="AG15" s="65"/>
      <c r="AI15" s="65"/>
    </row>
    <row r="16" spans="1:37" ht="15.7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f>M147</f>
        <v>68593.899999999994</v>
      </c>
      <c r="P16" s="194"/>
      <c r="Q16" s="194">
        <f>O147</f>
        <v>64088.7</v>
      </c>
      <c r="R16" s="194"/>
      <c r="S16" s="194"/>
      <c r="T16" s="194"/>
      <c r="U16" s="194"/>
      <c r="V16" s="194"/>
      <c r="W16" s="194"/>
      <c r="X16" s="194"/>
      <c r="Y16" s="194"/>
      <c r="Z16" s="194"/>
      <c r="AA16" s="195"/>
      <c r="AB16" s="194">
        <f>C16</f>
        <v>67321.899999999994</v>
      </c>
      <c r="AC16" s="194"/>
      <c r="AD16" s="871"/>
      <c r="AE16" s="194">
        <f>'Exhibit F'!AF13+'Exhibit G State'!AF13+'Exhibit H'!AD13</f>
        <v>56077.299999999996</v>
      </c>
      <c r="AF16" s="194"/>
      <c r="AG16" s="1579"/>
      <c r="AH16" s="194">
        <f>ROUND(SUM(AB16-AE16),1)</f>
        <v>11244.6</v>
      </c>
      <c r="AI16" s="191"/>
      <c r="AJ16" s="77">
        <f>ROUND(SUM(AH16/AE16),3)</f>
        <v>0.20100000000000001</v>
      </c>
      <c r="AK16" s="133"/>
    </row>
    <row r="17" spans="1:36" ht="1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2"/>
      <c r="AE17" s="65" t="s">
        <v>103</v>
      </c>
      <c r="AF17" s="65"/>
      <c r="AG17" s="1578"/>
      <c r="AH17" s="273"/>
      <c r="AI17" s="65"/>
      <c r="AJ17" s="273"/>
    </row>
    <row r="18" spans="1:36" ht="15.7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2"/>
      <c r="AE18" s="65"/>
      <c r="AF18" s="65"/>
      <c r="AG18" s="1578"/>
      <c r="AH18" s="273"/>
      <c r="AI18" s="65"/>
      <c r="AJ18" s="273"/>
    </row>
    <row r="19" spans="1:36" ht="15.75">
      <c r="A19" s="1235"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65"/>
      <c r="AG19" s="1578"/>
      <c r="AH19" s="273"/>
      <c r="AI19" s="65"/>
      <c r="AJ19" s="273"/>
    </row>
    <row r="20" spans="1:36" ht="1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2"/>
      <c r="AE20" s="65"/>
      <c r="AF20" s="65"/>
      <c r="AG20" s="1578"/>
      <c r="AH20" s="273"/>
      <c r="AI20" s="65"/>
      <c r="AJ20" s="273"/>
    </row>
    <row r="21" spans="1:36" ht="1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f>'Exhibit F'!P18</f>
        <v>4449.7000000000025</v>
      </c>
      <c r="P21" s="65"/>
      <c r="Q21" s="198">
        <f>'Exhibit F'!R18</f>
        <v>4307.1999999999953</v>
      </c>
      <c r="R21" s="198"/>
      <c r="S21" s="198"/>
      <c r="T21" s="198"/>
      <c r="U21" s="198"/>
      <c r="V21" s="198"/>
      <c r="W21" s="198"/>
      <c r="X21" s="198"/>
      <c r="Y21" s="198"/>
      <c r="Z21" s="65"/>
      <c r="AA21" s="396"/>
      <c r="AB21" s="198">
        <f>ROUND(SUM(C21:Y21),1)</f>
        <v>35499.9</v>
      </c>
      <c r="AC21" s="65"/>
      <c r="AD21" s="872"/>
      <c r="AE21" s="198">
        <f>+'Exhibit F'!AF18</f>
        <v>33166.199999999997</v>
      </c>
      <c r="AF21" s="65"/>
      <c r="AG21" s="1578"/>
      <c r="AH21" s="269">
        <f>ROUND(SUM(+AB21-AE21),1)</f>
        <v>2333.6999999999998</v>
      </c>
      <c r="AI21" s="66"/>
      <c r="AJ21" s="288">
        <f t="shared" ref="AJ21:AJ25" si="0">ROUND(SUM(+AH21/ABS(AE21)),3)</f>
        <v>7.0000000000000007E-2</v>
      </c>
    </row>
    <row r="22" spans="1:36" ht="1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f>'Exhibit F'!P19</f>
        <v>166.90000000000146</v>
      </c>
      <c r="P22" s="65"/>
      <c r="Q22" s="198">
        <f>'Exhibit F'!R19</f>
        <v>96.099999999998545</v>
      </c>
      <c r="R22" s="198"/>
      <c r="S22" s="198"/>
      <c r="T22" s="198"/>
      <c r="U22" s="198"/>
      <c r="V22" s="198"/>
      <c r="W22" s="198"/>
      <c r="X22" s="198"/>
      <c r="Y22" s="198"/>
      <c r="Z22" s="65"/>
      <c r="AA22" s="396"/>
      <c r="AB22" s="198">
        <f>ROUND(SUM(C22:Y22),1)</f>
        <v>11102.8</v>
      </c>
      <c r="AC22" s="65"/>
      <c r="AD22" s="872"/>
      <c r="AE22" s="198">
        <f>+'Exhibit F'!AF19</f>
        <v>9308</v>
      </c>
      <c r="AF22" s="65"/>
      <c r="AG22" s="1578"/>
      <c r="AH22" s="269">
        <f t="shared" ref="AH22:AH28" si="1">ROUND(SUM(+AB22-AE22),1)</f>
        <v>1794.8</v>
      </c>
      <c r="AI22" s="66"/>
      <c r="AJ22" s="614">
        <f t="shared" si="0"/>
        <v>0.193</v>
      </c>
    </row>
    <row r="23" spans="1:36" ht="15">
      <c r="A23" s="289"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f>'Exhibit F'!P20</f>
        <v>817.20000000000027</v>
      </c>
      <c r="P23" s="65"/>
      <c r="Q23" s="198">
        <f>'Exhibit F'!R20</f>
        <v>48.5</v>
      </c>
      <c r="R23" s="198"/>
      <c r="S23" s="198"/>
      <c r="T23" s="198"/>
      <c r="U23" s="198"/>
      <c r="V23" s="198"/>
      <c r="W23" s="198"/>
      <c r="X23" s="198"/>
      <c r="Y23" s="198"/>
      <c r="Z23" s="65"/>
      <c r="AA23" s="396"/>
      <c r="AB23" s="198">
        <f>ROUND(SUM(C23:Y23),1)</f>
        <v>4191.6000000000004</v>
      </c>
      <c r="AC23" s="65"/>
      <c r="AD23" s="872"/>
      <c r="AE23" s="198">
        <f>+'Exhibit F'!AF20</f>
        <v>3286.7</v>
      </c>
      <c r="AF23" s="65"/>
      <c r="AG23" s="1578"/>
      <c r="AH23" s="269">
        <f t="shared" si="1"/>
        <v>904.9</v>
      </c>
      <c r="AI23" s="66"/>
      <c r="AJ23" s="288">
        <f t="shared" si="0"/>
        <v>0.27500000000000002</v>
      </c>
    </row>
    <row r="24" spans="1:36" ht="1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f>'Exhibit F'!P21</f>
        <v>-448.1</v>
      </c>
      <c r="P24" s="65"/>
      <c r="Q24" s="198">
        <f>'Exhibit F'!R21</f>
        <v>-35.5</v>
      </c>
      <c r="R24" s="198"/>
      <c r="S24" s="198"/>
      <c r="T24" s="198"/>
      <c r="U24" s="198"/>
      <c r="V24" s="198"/>
      <c r="W24" s="198"/>
      <c r="X24" s="198"/>
      <c r="Y24" s="198"/>
      <c r="Z24" s="65"/>
      <c r="AA24" s="396"/>
      <c r="AB24" s="198">
        <f>ROUND(SUM(C24:Y24),1)</f>
        <v>-1311.5</v>
      </c>
      <c r="AC24" s="65"/>
      <c r="AD24" s="872"/>
      <c r="AE24" s="198">
        <f>+'Exhibit F'!AF21</f>
        <v>-1223</v>
      </c>
      <c r="AF24" s="65"/>
      <c r="AG24" s="1578"/>
      <c r="AH24" s="269">
        <f>-ROUND(SUM(+AB24-AE24),1)</f>
        <v>88.5</v>
      </c>
      <c r="AI24" s="66"/>
      <c r="AJ24" s="288">
        <f t="shared" si="0"/>
        <v>7.1999999999999995E-2</v>
      </c>
    </row>
    <row r="25" spans="1:36" ht="1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f>'Exhibit F'!P22</f>
        <v>131.80000000000007</v>
      </c>
      <c r="P25" s="65"/>
      <c r="Q25" s="198">
        <f>'Exhibit F'!R22</f>
        <v>128.59999999999991</v>
      </c>
      <c r="R25" s="198"/>
      <c r="S25" s="198"/>
      <c r="T25" s="198"/>
      <c r="U25" s="198"/>
      <c r="V25" s="198"/>
      <c r="W25" s="198"/>
      <c r="X25" s="198"/>
      <c r="Y25" s="198"/>
      <c r="Z25" s="65"/>
      <c r="AA25" s="396"/>
      <c r="AB25" s="198">
        <f t="shared" ref="AB25:AB29" si="2">ROUND(SUM(C25:Y25),1)</f>
        <v>1241</v>
      </c>
      <c r="AC25" s="65"/>
      <c r="AD25" s="872"/>
      <c r="AE25" s="198">
        <f>+'Exhibit F'!AF22</f>
        <v>1173.5</v>
      </c>
      <c r="AF25" s="65"/>
      <c r="AG25" s="1578"/>
      <c r="AH25" s="269">
        <f t="shared" si="1"/>
        <v>67.5</v>
      </c>
      <c r="AI25" s="66"/>
      <c r="AJ25" s="288">
        <f t="shared" si="0"/>
        <v>5.8000000000000003E-2</v>
      </c>
    </row>
    <row r="26" spans="1:36" ht="15.75">
      <c r="A26" s="290"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5117.5</v>
      </c>
      <c r="P26" s="65"/>
      <c r="Q26" s="71">
        <f>ROUND(SUM(Q21:Q25),1)</f>
        <v>4544.8999999999996</v>
      </c>
      <c r="R26" s="65"/>
      <c r="S26" s="71">
        <f>ROUND(SUM(S21:S25),1)</f>
        <v>0</v>
      </c>
      <c r="T26" s="65"/>
      <c r="U26" s="71">
        <f>ROUND(SUM(U21:U25),1)</f>
        <v>0</v>
      </c>
      <c r="V26" s="65"/>
      <c r="W26" s="71">
        <f>ROUND(SUM(W21:W25),1)</f>
        <v>0</v>
      </c>
      <c r="X26" s="65"/>
      <c r="Y26" s="71">
        <f>ROUND(SUM(Y21:Y25),1)</f>
        <v>0</v>
      </c>
      <c r="Z26" s="65"/>
      <c r="AA26" s="396"/>
      <c r="AB26" s="71">
        <f>ROUND(SUM(AB21:AB25),1)</f>
        <v>50723.8</v>
      </c>
      <c r="AC26" s="65"/>
      <c r="AD26" s="872"/>
      <c r="AE26" s="71">
        <f>ROUND(SUM(AE21:AE25),1)</f>
        <v>45711.4</v>
      </c>
      <c r="AF26" s="65"/>
      <c r="AG26" s="1578"/>
      <c r="AH26" s="71">
        <f t="shared" si="1"/>
        <v>5012.3999999999996</v>
      </c>
      <c r="AI26" s="66"/>
      <c r="AJ26" s="422">
        <f>ROUND(SUM(+AH26/ABS(AE26)),3)</f>
        <v>0.11</v>
      </c>
    </row>
    <row r="27" spans="1:36" ht="1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f>'Exhibit F'!P24+'Exhibit G State'!P17</f>
        <v>0</v>
      </c>
      <c r="P27" s="65"/>
      <c r="Q27" s="198">
        <f>'Exhibit F'!R24+'Exhibit G State'!R17</f>
        <v>0</v>
      </c>
      <c r="R27" s="198"/>
      <c r="S27" s="198"/>
      <c r="T27" s="198"/>
      <c r="U27" s="198"/>
      <c r="V27" s="198"/>
      <c r="W27" s="198"/>
      <c r="X27" s="198"/>
      <c r="Y27" s="198"/>
      <c r="Z27" s="65"/>
      <c r="AA27" s="396"/>
      <c r="AB27" s="198">
        <f>ROUND(SUM(C27:Y27),1)</f>
        <v>0</v>
      </c>
      <c r="AC27" s="65"/>
      <c r="AD27" s="872"/>
      <c r="AE27" s="198">
        <f>+'Exhibit F'!AF24+'Exhibit G State'!AF17</f>
        <v>0</v>
      </c>
      <c r="AF27" s="65"/>
      <c r="AG27" s="1578"/>
      <c r="AH27" s="269">
        <f t="shared" si="1"/>
        <v>0</v>
      </c>
      <c r="AI27" s="66"/>
      <c r="AJ27" s="271">
        <f>ROUND(IF(AE27=0,0,AH27/ABS(AE27)),3)</f>
        <v>0</v>
      </c>
    </row>
    <row r="28" spans="1:36" ht="15">
      <c r="A28" s="426"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f>'Exhibit F'!P25+'Exhibit H'!N17</f>
        <v>0</v>
      </c>
      <c r="P28" s="65"/>
      <c r="Q28" s="198">
        <f>'Exhibit F'!R25+'Exhibit H'!P17</f>
        <v>0</v>
      </c>
      <c r="R28" s="198"/>
      <c r="S28" s="198"/>
      <c r="T28" s="198"/>
      <c r="U28" s="198"/>
      <c r="V28" s="198"/>
      <c r="W28" s="198"/>
      <c r="X28" s="198"/>
      <c r="Y28" s="198"/>
      <c r="Z28" s="65"/>
      <c r="AA28" s="396"/>
      <c r="AB28" s="198">
        <f t="shared" si="2"/>
        <v>0</v>
      </c>
      <c r="AC28" s="65"/>
      <c r="AD28" s="872"/>
      <c r="AE28" s="198">
        <f>+'Exhibit F'!AF25+'Exhibit H'!AD17</f>
        <v>0</v>
      </c>
      <c r="AF28" s="65"/>
      <c r="AG28" s="1578"/>
      <c r="AH28" s="269">
        <f t="shared" si="1"/>
        <v>0</v>
      </c>
      <c r="AI28" s="66"/>
      <c r="AJ28" s="271">
        <f>ROUND(IF(AE28=0,0,AH28/ABS(AE28)),3)</f>
        <v>0</v>
      </c>
    </row>
    <row r="29" spans="1:36" ht="1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f>'Exhibit F'!P26</f>
        <v>-3095.8999999999996</v>
      </c>
      <c r="P29" s="65"/>
      <c r="Q29" s="198">
        <f>'Exhibit F'!R26</f>
        <v>-1848.8000000000011</v>
      </c>
      <c r="R29" s="198"/>
      <c r="S29" s="198"/>
      <c r="T29" s="198"/>
      <c r="U29" s="198"/>
      <c r="V29" s="198"/>
      <c r="W29" s="198"/>
      <c r="X29" s="198"/>
      <c r="Y29" s="198"/>
      <c r="Z29" s="65"/>
      <c r="AA29" s="396"/>
      <c r="AB29" s="198">
        <f t="shared" si="2"/>
        <v>-12492.6</v>
      </c>
      <c r="AC29" s="65"/>
      <c r="AD29" s="872"/>
      <c r="AE29" s="198">
        <f>+'Exhibit F'!AF26</f>
        <v>-10382.200000000001</v>
      </c>
      <c r="AF29" s="65"/>
      <c r="AG29" s="1578"/>
      <c r="AH29" s="269">
        <f>-ROUND(SUM(+AB29-AE29),1)</f>
        <v>2110.4</v>
      </c>
      <c r="AI29" s="66"/>
      <c r="AJ29" s="288">
        <f>ROUND(SUM(+AH29/ABS(AE29)),3)</f>
        <v>0.20300000000000001</v>
      </c>
    </row>
    <row r="30" spans="1:36" ht="15.7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2021.6</v>
      </c>
      <c r="P30" s="65"/>
      <c r="Q30" s="71">
        <f>ROUND(SUM(Q26+Q27+Q28+Q29),1)</f>
        <v>2696.1</v>
      </c>
      <c r="R30" s="65"/>
      <c r="S30" s="71">
        <f>ROUND(SUM(S26+S27+S28+S29),1)</f>
        <v>0</v>
      </c>
      <c r="T30" s="65"/>
      <c r="U30" s="71">
        <f>ROUND(SUM(U26+U27+U28+U29),1)</f>
        <v>0</v>
      </c>
      <c r="V30" s="65"/>
      <c r="W30" s="71">
        <f>ROUND(SUM(W26+W27+W28+W29),1)</f>
        <v>0</v>
      </c>
      <c r="X30" s="65"/>
      <c r="Y30" s="71">
        <f>ROUND(SUM(Y26+Y27+Y28+Y29),1)</f>
        <v>0</v>
      </c>
      <c r="Z30" s="65"/>
      <c r="AA30" s="396"/>
      <c r="AB30" s="71">
        <f>ROUND(SUM(AB26+AB27+AB28+AB29),1)</f>
        <v>38231.199999999997</v>
      </c>
      <c r="AC30" s="65"/>
      <c r="AD30" s="872"/>
      <c r="AE30" s="71">
        <f>ROUND(SUM(AE26+AE27+AE28+AE29),1)</f>
        <v>35329.199999999997</v>
      </c>
      <c r="AF30" s="65"/>
      <c r="AG30" s="1578"/>
      <c r="AH30" s="71">
        <f>ROUND(SUM(AH26+AH27+AH28-AH29),1)</f>
        <v>2902</v>
      </c>
      <c r="AI30" s="326"/>
      <c r="AJ30" s="422">
        <f>ROUND(SUM(+AH30/ABS(AE30)),3)</f>
        <v>8.2000000000000003E-2</v>
      </c>
    </row>
    <row r="31" spans="1:36" ht="1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2"/>
      <c r="AE31" s="198"/>
      <c r="AF31" s="65"/>
      <c r="AG31" s="1578"/>
      <c r="AH31" s="273"/>
      <c r="AI31" s="65"/>
      <c r="AJ31" s="273"/>
    </row>
    <row r="32" spans="1:36" ht="1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f>'Exhibit F'!P29+'Exhibit G'!P20+'Exhibit H'!N20</f>
        <v>1790.4</v>
      </c>
      <c r="P32" s="65"/>
      <c r="Q32" s="198">
        <f>'Exhibit F'!R29+'Exhibit G'!R20+'Exhibit H'!P20</f>
        <v>1741.5999999999981</v>
      </c>
      <c r="R32" s="198"/>
      <c r="S32" s="198"/>
      <c r="T32" s="198"/>
      <c r="U32" s="198"/>
      <c r="V32" s="198"/>
      <c r="W32" s="198"/>
      <c r="X32" s="198"/>
      <c r="Y32" s="198"/>
      <c r="Z32" s="65"/>
      <c r="AA32" s="396"/>
      <c r="AB32" s="198">
        <f t="shared" ref="AB32:AB39" si="3">ROUND(SUM(C32:Y32),1)</f>
        <v>14317.6</v>
      </c>
      <c r="AC32" s="65"/>
      <c r="AD32" s="872"/>
      <c r="AE32" s="198">
        <f>+'Exhibit F'!AF29+'Exhibit H'!AD20+'Exhibit G State'!AF20</f>
        <v>13452</v>
      </c>
      <c r="AF32" s="65"/>
      <c r="AG32" s="1578"/>
      <c r="AH32" s="269">
        <f t="shared" ref="AH32:AH39" si="4">ROUND(SUM(+AB32-AE32),1)</f>
        <v>865.6</v>
      </c>
      <c r="AI32" s="66"/>
      <c r="AJ32" s="288">
        <f>ROUND(SUM(+AH32/ABS(AE32)),3)</f>
        <v>6.4000000000000001E-2</v>
      </c>
    </row>
    <row r="33" spans="1:36" ht="1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f>'Exhibit F'!P30+'Exhibit G'!P21</f>
        <v>0</v>
      </c>
      <c r="P33" s="65"/>
      <c r="Q33" s="198">
        <f>'Exhibit F'!R30+'Exhibit G'!R21</f>
        <v>9.9999999999996092E-2</v>
      </c>
      <c r="R33" s="198"/>
      <c r="S33" s="198"/>
      <c r="T33" s="198"/>
      <c r="U33" s="198"/>
      <c r="V33" s="198"/>
      <c r="W33" s="198"/>
      <c r="X33" s="198"/>
      <c r="Y33" s="198"/>
      <c r="Z33" s="65"/>
      <c r="AA33" s="396"/>
      <c r="AB33" s="198">
        <f t="shared" si="3"/>
        <v>27.2</v>
      </c>
      <c r="AC33" s="65"/>
      <c r="AD33" s="872"/>
      <c r="AE33" s="198">
        <f>+'Exhibit F'!AF30+'Exhibit G State'!AF21</f>
        <v>20.6</v>
      </c>
      <c r="AF33" s="65"/>
      <c r="AG33" s="1578"/>
      <c r="AH33" s="269">
        <f t="shared" si="4"/>
        <v>6.6</v>
      </c>
      <c r="AI33" s="66"/>
      <c r="AJ33" s="548">
        <f>ROUND(IF(AE33=0,1,AH33/ABS(AE33)),3)</f>
        <v>0.32</v>
      </c>
    </row>
    <row r="34" spans="1:36" ht="1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f>'Exhibit F'!P31+'Exhibit G'!P22</f>
        <v>61.599999999999937</v>
      </c>
      <c r="P34" s="65"/>
      <c r="Q34" s="198">
        <f>'Exhibit F'!R31+'Exhibit G'!R22</f>
        <v>57.100000000000023</v>
      </c>
      <c r="R34" s="198"/>
      <c r="S34" s="198"/>
      <c r="T34" s="198"/>
      <c r="U34" s="198"/>
      <c r="V34" s="198"/>
      <c r="W34" s="198"/>
      <c r="X34" s="198"/>
      <c r="Y34" s="198"/>
      <c r="Z34" s="65"/>
      <c r="AA34" s="396"/>
      <c r="AB34" s="198">
        <f t="shared" si="3"/>
        <v>537.20000000000005</v>
      </c>
      <c r="AC34" s="65"/>
      <c r="AD34" s="872"/>
      <c r="AE34" s="198">
        <f>+'Exhibit F'!AF31+'Exhibit G State'!AF22</f>
        <v>582</v>
      </c>
      <c r="AF34" s="65"/>
      <c r="AG34" s="1578"/>
      <c r="AH34" s="269">
        <f t="shared" si="4"/>
        <v>-44.8</v>
      </c>
      <c r="AI34" s="66"/>
      <c r="AJ34" s="288">
        <f>ROUND(SUM(+AH34/ABS(AE34)),3)</f>
        <v>-7.6999999999999999E-2</v>
      </c>
    </row>
    <row r="35" spans="1:36" ht="1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f>'Exhibit G'!P23</f>
        <v>2.7</v>
      </c>
      <c r="P35" s="65"/>
      <c r="Q35" s="198">
        <f>'Exhibit G'!R23</f>
        <v>5.3000000000000158</v>
      </c>
      <c r="R35" s="198"/>
      <c r="S35" s="198"/>
      <c r="T35" s="198"/>
      <c r="U35" s="198"/>
      <c r="V35" s="198"/>
      <c r="W35" s="198"/>
      <c r="X35" s="198"/>
      <c r="Y35" s="198"/>
      <c r="Z35" s="65"/>
      <c r="AA35" s="396"/>
      <c r="AB35" s="198">
        <f t="shared" si="3"/>
        <v>96.4</v>
      </c>
      <c r="AC35" s="65"/>
      <c r="AD35" s="872"/>
      <c r="AE35" s="198">
        <f>'Exhibit G State'!AF23</f>
        <v>54.1</v>
      </c>
      <c r="AF35" s="65"/>
      <c r="AG35" s="1578"/>
      <c r="AH35" s="269">
        <f>ROUND(SUM(+AB35-AE35),1)</f>
        <v>42.3</v>
      </c>
      <c r="AI35" s="66"/>
      <c r="AJ35" s="271">
        <f>ROUND(IF(AE35=0,1,AH35/ABS(AE35)),3)</f>
        <v>0.78200000000000003</v>
      </c>
    </row>
    <row r="36" spans="1:36" ht="1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f>'Exhibit F'!P32+'Exhibit G'!P24</f>
        <v>9.4</v>
      </c>
      <c r="P36" s="65"/>
      <c r="Q36" s="198">
        <f>'Exhibit F'!R32+'Exhibit G'!R24</f>
        <v>8.4000000000000075</v>
      </c>
      <c r="R36" s="198"/>
      <c r="S36" s="198"/>
      <c r="T36" s="198"/>
      <c r="U36" s="198"/>
      <c r="V36" s="198"/>
      <c r="W36" s="198"/>
      <c r="X36" s="198"/>
      <c r="Y36" s="198"/>
      <c r="Z36" s="65"/>
      <c r="AA36" s="396"/>
      <c r="AB36" s="198">
        <f t="shared" si="3"/>
        <v>70.7</v>
      </c>
      <c r="AC36" s="65"/>
      <c r="AD36" s="872"/>
      <c r="AE36" s="198">
        <f>+'Exhibit F'!AF32+'Exhibit G State'!AF24</f>
        <v>71.2</v>
      </c>
      <c r="AF36" s="65"/>
      <c r="AG36" s="1578"/>
      <c r="AH36" s="269">
        <f t="shared" si="4"/>
        <v>-0.5</v>
      </c>
      <c r="AI36" s="66"/>
      <c r="AJ36" s="288">
        <f>ROUND(SUM(+AH36/ABS(AE36)),3)</f>
        <v>-7.0000000000000001E-3</v>
      </c>
    </row>
    <row r="37" spans="1:36" ht="1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f>'Exhibit F'!P33+'Exhibit G'!P25</f>
        <v>0</v>
      </c>
      <c r="P37" s="65"/>
      <c r="Q37" s="198">
        <f>'Exhibit F'!R33+'Exhibit G'!R25</f>
        <v>0</v>
      </c>
      <c r="R37" s="198"/>
      <c r="S37" s="198"/>
      <c r="T37" s="198"/>
      <c r="U37" s="198"/>
      <c r="V37" s="198"/>
      <c r="W37" s="198"/>
      <c r="X37" s="198"/>
      <c r="Y37" s="198"/>
      <c r="Z37" s="65"/>
      <c r="AA37" s="197"/>
      <c r="AB37" s="198">
        <f t="shared" si="3"/>
        <v>0.8</v>
      </c>
      <c r="AC37" s="65"/>
      <c r="AD37" s="872"/>
      <c r="AE37" s="198">
        <f>+'Exhibit F'!AF33+'Exhibit G State'!AF25</f>
        <v>1.2</v>
      </c>
      <c r="AF37" s="65"/>
      <c r="AG37" s="1578"/>
      <c r="AH37" s="269">
        <f t="shared" si="4"/>
        <v>-0.4</v>
      </c>
      <c r="AI37" s="66"/>
      <c r="AJ37" s="288">
        <f>ROUND(SUM(+AH37/ABS(AE37)),3)</f>
        <v>-0.33300000000000002</v>
      </c>
    </row>
    <row r="38" spans="1:36" ht="1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f>'Exhibit F'!P34+'Exhibit G'!P26</f>
        <v>22.400000000000009</v>
      </c>
      <c r="P38" s="65"/>
      <c r="Q38" s="198">
        <f>'Exhibit F'!R34+'Exhibit G'!R26</f>
        <v>22.099999999999984</v>
      </c>
      <c r="R38" s="198"/>
      <c r="S38" s="198"/>
      <c r="T38" s="198"/>
      <c r="U38" s="198"/>
      <c r="V38" s="198"/>
      <c r="W38" s="198"/>
      <c r="X38" s="198"/>
      <c r="Y38" s="198"/>
      <c r="Z38" s="65"/>
      <c r="AA38" s="396"/>
      <c r="AB38" s="198">
        <f t="shared" si="3"/>
        <v>185</v>
      </c>
      <c r="AC38" s="65"/>
      <c r="AD38" s="872"/>
      <c r="AE38" s="198">
        <f>+'Exhibit F'!AF34+'Exhibit G State'!AF26</f>
        <v>184.6</v>
      </c>
      <c r="AF38" s="65"/>
      <c r="AG38" s="1578"/>
      <c r="AH38" s="269">
        <f t="shared" si="4"/>
        <v>0.4</v>
      </c>
      <c r="AI38" s="66"/>
      <c r="AJ38" s="548">
        <f t="shared" ref="AJ38" si="5">ROUND(IF(AE38=0,1,AH38/ABS(AE38)),3)</f>
        <v>2E-3</v>
      </c>
    </row>
    <row r="39" spans="1:36" ht="1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f>'Exhibit F'!P35+'Exhibit G'!P27</f>
        <v>0.10000000000000003</v>
      </c>
      <c r="P39" s="65"/>
      <c r="Q39" s="198">
        <f>'Exhibit F'!R35+'Exhibit G'!R27</f>
        <v>0</v>
      </c>
      <c r="R39" s="198"/>
      <c r="S39" s="198"/>
      <c r="T39" s="198"/>
      <c r="U39" s="198"/>
      <c r="V39" s="198"/>
      <c r="W39" s="198"/>
      <c r="X39" s="198"/>
      <c r="Y39" s="198"/>
      <c r="Z39" s="65"/>
      <c r="AA39" s="396"/>
      <c r="AB39" s="198">
        <f t="shared" si="3"/>
        <v>0.4</v>
      </c>
      <c r="AC39" s="65"/>
      <c r="AD39" s="872"/>
      <c r="AE39" s="198">
        <f>+'Exhibit F'!AF35+'Exhibit G State'!AF27</f>
        <v>1.2</v>
      </c>
      <c r="AF39" s="65"/>
      <c r="AG39" s="1578"/>
      <c r="AH39" s="269">
        <f t="shared" si="4"/>
        <v>-0.8</v>
      </c>
      <c r="AI39" s="66"/>
      <c r="AJ39" s="548">
        <f>ROUND(IF(AE39=0,1,AH39/ABS(AE39)),3)</f>
        <v>-0.66700000000000004</v>
      </c>
    </row>
    <row r="40" spans="1:36" ht="15">
      <c r="A40" s="289"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f>'Exhibit F'!P36+'Exhibit G'!P28</f>
        <v>0.19999999999999946</v>
      </c>
      <c r="P40" s="65"/>
      <c r="Q40" s="198">
        <f>'Exhibit F'!R36+'Exhibit G'!R28</f>
        <v>9.9999999999999811E-2</v>
      </c>
      <c r="R40" s="198"/>
      <c r="S40" s="198"/>
      <c r="T40" s="198"/>
      <c r="U40" s="198"/>
      <c r="V40" s="198"/>
      <c r="W40" s="198"/>
      <c r="X40" s="198"/>
      <c r="Y40" s="198"/>
      <c r="Z40" s="65"/>
      <c r="AA40" s="396"/>
      <c r="AB40" s="198">
        <f>ROUND(SUM(C40:Y40),1)</f>
        <v>10.199999999999999</v>
      </c>
      <c r="AC40" s="65"/>
      <c r="AD40" s="872"/>
      <c r="AE40" s="198">
        <f>+'Exhibit F'!AF36+'Exhibit G State'!AF28</f>
        <v>10.9</v>
      </c>
      <c r="AF40" s="65"/>
      <c r="AG40" s="1578"/>
      <c r="AH40" s="269">
        <f>ROUND(SUM(+AB40-AE40),1)</f>
        <v>-0.7</v>
      </c>
      <c r="AI40" s="66"/>
      <c r="AJ40" s="548">
        <f>ROUND(IF(AE40=0,1,AH40/ABS(AE40)),3)</f>
        <v>-6.4000000000000001E-2</v>
      </c>
    </row>
    <row r="41" spans="1:36" ht="1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f>'Exhibit F'!P37</f>
        <v>4.5000000000000018</v>
      </c>
      <c r="P41" s="65"/>
      <c r="Q41" s="198">
        <f>'Exhibit F'!R37</f>
        <v>9.9999999999999645E-2</v>
      </c>
      <c r="R41" s="198"/>
      <c r="S41" s="198"/>
      <c r="T41" s="198"/>
      <c r="U41" s="198"/>
      <c r="V41" s="198"/>
      <c r="W41" s="198"/>
      <c r="X41" s="198"/>
      <c r="Y41" s="198"/>
      <c r="Z41" s="65"/>
      <c r="AA41" s="396"/>
      <c r="AB41" s="198">
        <f t="shared" ref="AB41" si="6">ROUND(SUM(C41:Y41),1)</f>
        <v>17.3</v>
      </c>
      <c r="AC41" s="65"/>
      <c r="AD41" s="872"/>
      <c r="AE41" s="198">
        <f>+'Exhibit F'!AF37</f>
        <v>15.6</v>
      </c>
      <c r="AF41" s="65"/>
      <c r="AG41" s="1578"/>
      <c r="AH41" s="269">
        <f t="shared" ref="AH41" si="7">ROUND(SUM(+AB41-AE41),1)</f>
        <v>1.7</v>
      </c>
      <c r="AI41" s="66"/>
      <c r="AJ41" s="548">
        <f>ROUND(IF(AE41=0,1,AH41/ABS(AE41)),3)</f>
        <v>0.109</v>
      </c>
    </row>
    <row r="42" spans="1:36" ht="15.7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1891.3</v>
      </c>
      <c r="P42" s="65"/>
      <c r="Q42" s="71">
        <f>ROUND(SUM(Q32:Q41),1)</f>
        <v>1834.8</v>
      </c>
      <c r="R42" s="65"/>
      <c r="S42" s="71">
        <f>ROUND(SUM(S32:S41),1)</f>
        <v>0</v>
      </c>
      <c r="T42" s="65"/>
      <c r="U42" s="71">
        <f>ROUND(SUM(U32:U41),1)</f>
        <v>0</v>
      </c>
      <c r="V42" s="65"/>
      <c r="W42" s="71">
        <f>ROUND(SUM(W32:W41),1)</f>
        <v>0</v>
      </c>
      <c r="X42" s="65"/>
      <c r="Y42" s="71">
        <f>ROUND(SUM(Y32:Y41),1)</f>
        <v>0</v>
      </c>
      <c r="Z42" s="65"/>
      <c r="AA42" s="396"/>
      <c r="AB42" s="71">
        <f>ROUND(SUM(AB32:AB41),1)</f>
        <v>15262.8</v>
      </c>
      <c r="AC42" s="65"/>
      <c r="AD42" s="872"/>
      <c r="AE42" s="71">
        <f>ROUND(SUM(AE32:AE41),1)</f>
        <v>14393.4</v>
      </c>
      <c r="AF42" s="65"/>
      <c r="AG42" s="1578"/>
      <c r="AH42" s="71">
        <f>ROUND(SUM(AH32:AH41),1)</f>
        <v>869.4</v>
      </c>
      <c r="AI42" s="326"/>
      <c r="AJ42" s="422">
        <f>ROUND(SUM(+AH42/ABS(AE42)),3)</f>
        <v>0.06</v>
      </c>
    </row>
    <row r="43" spans="1:36" ht="1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2"/>
      <c r="AE43" s="198"/>
      <c r="AF43" s="65"/>
      <c r="AG43" s="1578"/>
      <c r="AH43" s="273"/>
      <c r="AI43" s="65"/>
      <c r="AJ43" s="273"/>
    </row>
    <row r="44" spans="1:36" ht="1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f>'Exhibit F'!P40+'Exhibit G'!P31</f>
        <v>172.2999999999995</v>
      </c>
      <c r="P44" s="65"/>
      <c r="Q44" s="198">
        <f>'Exhibit F'!R40+'Exhibit G'!R31</f>
        <v>26.300000000000182</v>
      </c>
      <c r="R44" s="198"/>
      <c r="S44" s="198"/>
      <c r="T44" s="198"/>
      <c r="U44" s="198"/>
      <c r="V44" s="198"/>
      <c r="W44" s="198"/>
      <c r="X44" s="198"/>
      <c r="Y44" s="198"/>
      <c r="Z44" s="65"/>
      <c r="AA44" s="396"/>
      <c r="AB44" s="198">
        <f t="shared" ref="AB44:AB49" si="8">ROUND(SUM(C44:Y44),1)</f>
        <v>4346.2</v>
      </c>
      <c r="AC44" s="65"/>
      <c r="AD44" s="872"/>
      <c r="AE44" s="198">
        <f>+'Exhibit F'!AF40+'Exhibit G State'!AF31</f>
        <v>4676.8</v>
      </c>
      <c r="AF44" s="65"/>
      <c r="AG44" s="1578"/>
      <c r="AH44" s="269">
        <f t="shared" ref="AH44:AH56" si="9">ROUND(SUM(+AB44-AE44),1)</f>
        <v>-330.6</v>
      </c>
      <c r="AI44" s="66"/>
      <c r="AJ44" s="288">
        <f t="shared" ref="AJ44:AJ50" si="10">ROUND(SUM(+AH44/ABS(AE44)),3)</f>
        <v>-7.0999999999999994E-2</v>
      </c>
    </row>
    <row r="45" spans="1:36" ht="1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f>'Exhibit F'!P41+'Exhibit G'!P32</f>
        <v>0.90000000000000924</v>
      </c>
      <c r="P45" s="65"/>
      <c r="Q45" s="198">
        <f>'Exhibit F'!R41+'Exhibit G'!R32</f>
        <v>22.999999999999975</v>
      </c>
      <c r="R45" s="198"/>
      <c r="S45" s="198"/>
      <c r="T45" s="198"/>
      <c r="U45" s="198"/>
      <c r="V45" s="198"/>
      <c r="W45" s="198"/>
      <c r="X45" s="198"/>
      <c r="Y45" s="198"/>
      <c r="Z45" s="65"/>
      <c r="AA45" s="396"/>
      <c r="AB45" s="198">
        <f t="shared" si="8"/>
        <v>235.1</v>
      </c>
      <c r="AC45" s="65"/>
      <c r="AD45" s="872"/>
      <c r="AE45" s="198">
        <f>+'Exhibit G State'!AF32+'Exhibit F'!AF41</f>
        <v>229.70000000000002</v>
      </c>
      <c r="AF45" s="65"/>
      <c r="AG45" s="1578"/>
      <c r="AH45" s="269">
        <f t="shared" si="9"/>
        <v>5.4</v>
      </c>
      <c r="AI45" s="66"/>
      <c r="AJ45" s="288">
        <f t="shared" si="10"/>
        <v>2.4E-2</v>
      </c>
    </row>
    <row r="46" spans="1:36" ht="1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f>'Exhibit F'!P42+'Exhibit G'!P33</f>
        <v>2.3999999999999524</v>
      </c>
      <c r="P46" s="65"/>
      <c r="Q46" s="198">
        <f>'Exhibit F'!R42+'Exhibit G'!R33</f>
        <v>5.3999999999999746</v>
      </c>
      <c r="R46" s="198"/>
      <c r="S46" s="198"/>
      <c r="T46" s="198"/>
      <c r="U46" s="198"/>
      <c r="V46" s="198"/>
      <c r="W46" s="198"/>
      <c r="X46" s="198"/>
      <c r="Y46" s="198"/>
      <c r="Z46" s="65"/>
      <c r="AA46" s="396"/>
      <c r="AB46" s="198">
        <f t="shared" si="8"/>
        <v>1112.0999999999999</v>
      </c>
      <c r="AC46" s="65"/>
      <c r="AD46" s="872"/>
      <c r="AE46" s="198">
        <f>+'Exhibit F'!AF42+'Exhibit G State'!AF33</f>
        <v>1267.4000000000001</v>
      </c>
      <c r="AF46" s="65"/>
      <c r="AG46" s="1578"/>
      <c r="AH46" s="269">
        <f t="shared" si="9"/>
        <v>-155.30000000000001</v>
      </c>
      <c r="AI46" s="66"/>
      <c r="AJ46" s="288">
        <f t="shared" si="10"/>
        <v>-0.123</v>
      </c>
    </row>
    <row r="47" spans="1:36" ht="1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f>'Exhibit F'!P43+'Exhibit G'!P34</f>
        <v>-0.6000000000000002</v>
      </c>
      <c r="P47" s="65"/>
      <c r="Q47" s="198">
        <f>'Exhibit F'!R43+'Exhibit G'!R34</f>
        <v>-8.800000000000006</v>
      </c>
      <c r="R47" s="198"/>
      <c r="S47" s="198"/>
      <c r="T47" s="198"/>
      <c r="U47" s="198"/>
      <c r="V47" s="198"/>
      <c r="W47" s="198"/>
      <c r="X47" s="198"/>
      <c r="Y47" s="198"/>
      <c r="Z47" s="65"/>
      <c r="AA47" s="396"/>
      <c r="AB47" s="198">
        <f t="shared" si="8"/>
        <v>-24.8</v>
      </c>
      <c r="AC47" s="65"/>
      <c r="AD47" s="872"/>
      <c r="AE47" s="198">
        <f>+'Exhibit F'!AF43+'Exhibit G State'!AF34</f>
        <v>-0.4</v>
      </c>
      <c r="AF47" s="65"/>
      <c r="AG47" s="1578"/>
      <c r="AH47" s="269">
        <f t="shared" si="9"/>
        <v>-24.4</v>
      </c>
      <c r="AI47" s="66"/>
      <c r="AJ47" s="548">
        <f>ROUND(IF(AE47=0,1,AH47/ABS(AE47)),3)</f>
        <v>-61</v>
      </c>
    </row>
    <row r="48" spans="1:36" ht="1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f>'Exhibit F'!P44+'Exhibit H'!N23</f>
        <v>-823.80000000000007</v>
      </c>
      <c r="P48" s="65"/>
      <c r="Q48" s="198">
        <f>'Exhibit F'!R44+'Exhibit H'!P23</f>
        <v>-22.600000000000691</v>
      </c>
      <c r="R48" s="198"/>
      <c r="S48" s="198"/>
      <c r="T48" s="198"/>
      <c r="U48" s="198"/>
      <c r="V48" s="198"/>
      <c r="W48" s="198"/>
      <c r="X48" s="198"/>
      <c r="Y48" s="198"/>
      <c r="Z48" s="65"/>
      <c r="AA48" s="396"/>
      <c r="AB48" s="198">
        <f t="shared" si="8"/>
        <v>6169.4</v>
      </c>
      <c r="AC48" s="65"/>
      <c r="AD48" s="872"/>
      <c r="AE48" s="198">
        <f>+'Exhibit F'!AF44+'Exhibit H'!AD23</f>
        <v>5585.2</v>
      </c>
      <c r="AF48" s="65"/>
      <c r="AG48" s="1578"/>
      <c r="AH48" s="269">
        <f t="shared" si="9"/>
        <v>584.20000000000005</v>
      </c>
      <c r="AI48" s="66"/>
      <c r="AJ48" s="271">
        <f>ROUND(IF(AE48=0,1,AH48/ABS(AE48)),3)</f>
        <v>0.105</v>
      </c>
    </row>
    <row r="49" spans="1:36" ht="1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f>'Exhibit F'!P45+'Exhibit G'!P35</f>
        <v>39.599999999999973</v>
      </c>
      <c r="P49" s="65"/>
      <c r="Q49" s="198">
        <f>'Exhibit F'!R45+'Exhibit G'!R35</f>
        <v>34.200000000000024</v>
      </c>
      <c r="R49" s="198"/>
      <c r="S49" s="198"/>
      <c r="T49" s="198"/>
      <c r="U49" s="198"/>
      <c r="V49" s="198"/>
      <c r="W49" s="198"/>
      <c r="X49" s="198"/>
      <c r="Y49" s="198"/>
      <c r="Z49" s="65"/>
      <c r="AA49" s="396"/>
      <c r="AB49" s="198">
        <f t="shared" si="8"/>
        <v>303.60000000000002</v>
      </c>
      <c r="AC49" s="65"/>
      <c r="AD49" s="872"/>
      <c r="AE49" s="198">
        <f>+'Exhibit F'!AF45+'Exhibit G State'!AF35</f>
        <v>323.60000000000002</v>
      </c>
      <c r="AF49" s="65"/>
      <c r="AG49" s="1578"/>
      <c r="AH49" s="269">
        <f t="shared" si="9"/>
        <v>-20</v>
      </c>
      <c r="AI49" s="66"/>
      <c r="AJ49" s="288">
        <f t="shared" si="10"/>
        <v>-6.2E-2</v>
      </c>
    </row>
    <row r="50" spans="1:36" ht="15.7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-609.20000000000005</v>
      </c>
      <c r="P50" s="65"/>
      <c r="Q50" s="71">
        <f>ROUND(SUM(Q44:Q49),1)</f>
        <v>57.5</v>
      </c>
      <c r="R50" s="65"/>
      <c r="S50" s="71">
        <f>ROUND(SUM(S44:S49),1)</f>
        <v>0</v>
      </c>
      <c r="T50" s="65"/>
      <c r="U50" s="71">
        <f>ROUND(SUM(U44:U49),1)</f>
        <v>0</v>
      </c>
      <c r="V50" s="65"/>
      <c r="W50" s="71">
        <f>ROUND(SUM(W44:W49),1)</f>
        <v>0</v>
      </c>
      <c r="X50" s="65"/>
      <c r="Y50" s="71">
        <f>ROUND(SUM(Y44:Y49),1)</f>
        <v>0</v>
      </c>
      <c r="Z50" s="65"/>
      <c r="AA50" s="396"/>
      <c r="AB50" s="71">
        <f>ROUND(SUM(AB44:AB49),1)</f>
        <v>12141.6</v>
      </c>
      <c r="AC50" s="65"/>
      <c r="AD50" s="872"/>
      <c r="AE50" s="71">
        <f>ROUND(SUM(AE44:AE49),1)</f>
        <v>12082.3</v>
      </c>
      <c r="AF50" s="65"/>
      <c r="AG50" s="1578"/>
      <c r="AH50" s="71">
        <f>ROUND(SUM(AH44:AH49),1)</f>
        <v>59.3</v>
      </c>
      <c r="AI50" s="326"/>
      <c r="AJ50" s="422">
        <f t="shared" si="10"/>
        <v>5.0000000000000001E-3</v>
      </c>
    </row>
    <row r="51" spans="1:36" ht="1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2"/>
      <c r="AE51" s="198"/>
      <c r="AF51" s="65"/>
      <c r="AG51" s="1578"/>
      <c r="AH51" s="273"/>
      <c r="AI51" s="65"/>
      <c r="AJ51" s="273"/>
    </row>
    <row r="52" spans="1:36" ht="15">
      <c r="A52" s="289"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f>'Exhibit F'!P48</f>
        <v>0</v>
      </c>
      <c r="P52" s="65"/>
      <c r="Q52" s="198">
        <f>'Exhibit F'!R48</f>
        <v>0</v>
      </c>
      <c r="R52" s="198"/>
      <c r="S52" s="198"/>
      <c r="T52" s="198"/>
      <c r="U52" s="198"/>
      <c r="V52" s="198"/>
      <c r="W52" s="198"/>
      <c r="X52" s="198"/>
      <c r="Y52" s="198"/>
      <c r="Z52" s="65"/>
      <c r="AA52" s="396"/>
      <c r="AB52" s="198">
        <f t="shared" ref="AB52:AB56" si="11">ROUND(SUM(C52:Y52),1)</f>
        <v>0</v>
      </c>
      <c r="AC52" s="65"/>
      <c r="AD52" s="872"/>
      <c r="AE52" s="198">
        <f>+'Exhibit F'!AF48</f>
        <v>0</v>
      </c>
      <c r="AF52" s="65"/>
      <c r="AG52" s="1578"/>
      <c r="AH52" s="269">
        <f t="shared" si="9"/>
        <v>0</v>
      </c>
      <c r="AI52" s="65"/>
      <c r="AJ52" s="271">
        <f>ROUND(IF(AE52=0,0,AH52/ABS(AE52)),3)</f>
        <v>0</v>
      </c>
    </row>
    <row r="53" spans="1:36" ht="15">
      <c r="A53" s="289"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f>'Exhibit F'!P49</f>
        <v>166.7</v>
      </c>
      <c r="P53" s="65"/>
      <c r="Q53" s="198">
        <f>'Exhibit F'!R49</f>
        <v>132.49999999999994</v>
      </c>
      <c r="R53" s="198"/>
      <c r="S53" s="198"/>
      <c r="T53" s="198"/>
      <c r="U53" s="198"/>
      <c r="V53" s="198"/>
      <c r="W53" s="198"/>
      <c r="X53" s="198"/>
      <c r="Y53" s="198"/>
      <c r="Z53" s="65"/>
      <c r="AA53" s="396"/>
      <c r="AB53" s="198">
        <f t="shared" si="11"/>
        <v>1084.8</v>
      </c>
      <c r="AC53" s="65"/>
      <c r="AD53" s="872"/>
      <c r="AE53" s="198">
        <f>+'Exhibit F'!AF49</f>
        <v>916.1</v>
      </c>
      <c r="AF53" s="65"/>
      <c r="AG53" s="1578"/>
      <c r="AH53" s="269">
        <f t="shared" si="9"/>
        <v>168.7</v>
      </c>
      <c r="AI53" s="65"/>
      <c r="AJ53" s="288">
        <f t="shared" ref="AJ53:AJ58" si="12">ROUND(SUM(+AH53/ABS(AE53)),3)</f>
        <v>0.184</v>
      </c>
    </row>
    <row r="54" spans="1:36" ht="15">
      <c r="A54" s="289"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f>'Exhibit F'!P50</f>
        <v>1.8</v>
      </c>
      <c r="P54" s="65"/>
      <c r="Q54" s="198">
        <f>'Exhibit F'!R50</f>
        <v>0.49999999999999956</v>
      </c>
      <c r="R54" s="198"/>
      <c r="S54" s="198"/>
      <c r="T54" s="198"/>
      <c r="U54" s="198"/>
      <c r="V54" s="198"/>
      <c r="W54" s="198"/>
      <c r="X54" s="198"/>
      <c r="Y54" s="198"/>
      <c r="Z54" s="65"/>
      <c r="AA54" s="396"/>
      <c r="AB54" s="198">
        <f t="shared" si="11"/>
        <v>10.1</v>
      </c>
      <c r="AC54" s="65"/>
      <c r="AD54" s="872"/>
      <c r="AE54" s="198">
        <f>+'Exhibit F'!AF50</f>
        <v>9.6999999999999993</v>
      </c>
      <c r="AF54" s="65"/>
      <c r="AG54" s="1578"/>
      <c r="AH54" s="269">
        <f t="shared" si="9"/>
        <v>0.4</v>
      </c>
      <c r="AI54" s="65"/>
      <c r="AJ54" s="288">
        <f t="shared" si="12"/>
        <v>4.1000000000000002E-2</v>
      </c>
    </row>
    <row r="55" spans="1:36" ht="1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f>'Exhibit F'!P51+'Exhibit H'!N26</f>
        <v>100.3000000000001</v>
      </c>
      <c r="P55" s="65"/>
      <c r="Q55" s="198">
        <f>'Exhibit F'!R51+'Exhibit H'!P26</f>
        <v>94.799999999999983</v>
      </c>
      <c r="R55" s="198"/>
      <c r="S55" s="198"/>
      <c r="T55" s="198"/>
      <c r="U55" s="198"/>
      <c r="V55" s="198"/>
      <c r="W55" s="198"/>
      <c r="X55" s="198"/>
      <c r="Y55" s="198"/>
      <c r="Z55" s="65"/>
      <c r="AA55" s="396"/>
      <c r="AB55" s="198">
        <f t="shared" si="11"/>
        <v>804.4</v>
      </c>
      <c r="AC55" s="65"/>
      <c r="AD55" s="872"/>
      <c r="AE55" s="198">
        <f>+'Exhibit F'!AF51+'Exhibit I State'!AG27+'Exhibit H'!AD26</f>
        <v>677.7</v>
      </c>
      <c r="AF55" s="65"/>
      <c r="AG55" s="1578"/>
      <c r="AH55" s="269">
        <f t="shared" si="9"/>
        <v>126.7</v>
      </c>
      <c r="AI55" s="65"/>
      <c r="AJ55" s="288">
        <f t="shared" si="12"/>
        <v>0.187</v>
      </c>
    </row>
    <row r="56" spans="1:36" ht="15">
      <c r="A56" s="289"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f>'Exhibit F'!P52</f>
        <v>0</v>
      </c>
      <c r="P56" s="65"/>
      <c r="Q56" s="198">
        <f>'Exhibit F'!R52</f>
        <v>0.4</v>
      </c>
      <c r="R56" s="198"/>
      <c r="S56" s="198"/>
      <c r="T56" s="198"/>
      <c r="U56" s="198"/>
      <c r="V56" s="198"/>
      <c r="W56" s="198"/>
      <c r="X56" s="198"/>
      <c r="Y56" s="198"/>
      <c r="Z56" s="65"/>
      <c r="AA56" s="396"/>
      <c r="AB56" s="198">
        <f t="shared" si="11"/>
        <v>0.7</v>
      </c>
      <c r="AC56" s="65"/>
      <c r="AD56" s="872"/>
      <c r="AE56" s="198">
        <f>+'Exhibit F'!AF52</f>
        <v>0.4</v>
      </c>
      <c r="AF56" s="65"/>
      <c r="AG56" s="1578"/>
      <c r="AH56" s="269">
        <f t="shared" si="9"/>
        <v>0.3</v>
      </c>
      <c r="AI56" s="65"/>
      <c r="AJ56" s="271">
        <f>ROUND(IF(AE56=0,1,AH56/ABS(AE56)),3)</f>
        <v>0.75</v>
      </c>
    </row>
    <row r="57" spans="1:36" ht="1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f>'Exhibit F'!P53+'Exhibit H'!N27</f>
        <v>0.79999999999999949</v>
      </c>
      <c r="P57" s="65"/>
      <c r="Q57" s="198">
        <f>'Exhibit F'!R53+'Exhibit H'!P27</f>
        <v>0.40000000000000069</v>
      </c>
      <c r="R57" s="198"/>
      <c r="S57" s="198"/>
      <c r="T57" s="198"/>
      <c r="U57" s="198"/>
      <c r="V57" s="198"/>
      <c r="W57" s="198"/>
      <c r="X57" s="198"/>
      <c r="Y57" s="198"/>
      <c r="Z57" s="65"/>
      <c r="AA57" s="396"/>
      <c r="AB57" s="198">
        <f t="shared" ref="AB57" si="13">ROUND(SUM(C57:Y57),1)</f>
        <v>3.2</v>
      </c>
      <c r="AC57" s="65"/>
      <c r="AD57" s="872"/>
      <c r="AE57" s="198">
        <f>+'Exhibit F'!AF53+'Exhibit H'!AD27</f>
        <v>3.6</v>
      </c>
      <c r="AF57" s="65"/>
      <c r="AG57" s="1578"/>
      <c r="AH57" s="269">
        <f t="shared" ref="AH57" si="14">ROUND(SUM(+AB57-AE57),1)</f>
        <v>-0.4</v>
      </c>
      <c r="AI57" s="66"/>
      <c r="AJ57" s="271">
        <f>ROUND(IF(AE57=0,1,AH57/ABS(AE57)),3)</f>
        <v>-0.111</v>
      </c>
    </row>
    <row r="58" spans="1:36" ht="15.7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269.60000000000002</v>
      </c>
      <c r="P58" s="65"/>
      <c r="Q58" s="71">
        <f>ROUND(SUM(Q52:Q57),1)</f>
        <v>228.6</v>
      </c>
      <c r="R58" s="65"/>
      <c r="S58" s="71">
        <f>ROUND(SUM(S52:S57),1)</f>
        <v>0</v>
      </c>
      <c r="T58" s="65"/>
      <c r="U58" s="71">
        <f>ROUND(SUM(U52:U57),1)</f>
        <v>0</v>
      </c>
      <c r="V58" s="65"/>
      <c r="W58" s="71">
        <f>ROUND(SUM(W52:W57),1)</f>
        <v>0</v>
      </c>
      <c r="X58" s="65"/>
      <c r="Y58" s="71">
        <f>ROUND(SUM(Y52:Y57),1)</f>
        <v>0</v>
      </c>
      <c r="Z58" s="65"/>
      <c r="AA58" s="396"/>
      <c r="AB58" s="71">
        <f>ROUND(SUM(AB52:AB57),1)</f>
        <v>1903.2</v>
      </c>
      <c r="AC58" s="65"/>
      <c r="AD58" s="872"/>
      <c r="AE58" s="71">
        <f>ROUND(SUM(AE52:AE57),1)</f>
        <v>1607.5</v>
      </c>
      <c r="AF58" s="65"/>
      <c r="AG58" s="1578"/>
      <c r="AH58" s="71">
        <f>ROUND(SUM(AH52:AH57),1)</f>
        <v>295.7</v>
      </c>
      <c r="AI58" s="326"/>
      <c r="AJ58" s="422">
        <f t="shared" si="12"/>
        <v>0.184</v>
      </c>
    </row>
    <row r="59" spans="1:36" ht="15.7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5"/>
      <c r="AE59" s="198"/>
      <c r="AF59" s="198"/>
      <c r="AG59" s="1580"/>
      <c r="AH59" s="198"/>
      <c r="AI59" s="65"/>
      <c r="AJ59" s="77"/>
    </row>
    <row r="60" spans="1:36" ht="15.75">
      <c r="A60" s="87" t="s">
        <v>441</v>
      </c>
      <c r="B60" s="369"/>
      <c r="C60" s="999">
        <f>ROUND(SUM(C58+C50+C42+C30),1)</f>
        <v>13021.1</v>
      </c>
      <c r="D60" s="269"/>
      <c r="E60" s="999">
        <f>ROUND(SUM(E58+E50+E42+E30),1)</f>
        <v>6091</v>
      </c>
      <c r="F60" s="269"/>
      <c r="G60" s="999">
        <f>ROUND(SUM(G58+G50+G42+G30),1)</f>
        <v>13764.1</v>
      </c>
      <c r="H60" s="269"/>
      <c r="I60" s="999">
        <f>ROUND(SUM(I58+I50+I42+I30),1)</f>
        <v>6695.5</v>
      </c>
      <c r="J60" s="269"/>
      <c r="K60" s="999">
        <f>ROUND(SUM(K58+K50+K42+K30),1)</f>
        <v>6586.4</v>
      </c>
      <c r="L60" s="269"/>
      <c r="M60" s="999">
        <f>ROUND(SUM(M58+M50+M42+M30),1)</f>
        <v>12990.4</v>
      </c>
      <c r="N60" s="269"/>
      <c r="O60" s="999">
        <f>ROUND(SUM(O58+O50+O42+O30),1)</f>
        <v>3573.3</v>
      </c>
      <c r="P60" s="269"/>
      <c r="Q60" s="999">
        <f>ROUND(SUM(Q58+Q50+Q42+Q30),1)</f>
        <v>4817</v>
      </c>
      <c r="R60" s="269"/>
      <c r="S60" s="999">
        <f>ROUND(SUM(S58+S50+S42+S30),1)</f>
        <v>0</v>
      </c>
      <c r="T60" s="269"/>
      <c r="U60" s="999">
        <f>ROUND(SUM(U58+U50+U42+U30),1)</f>
        <v>0</v>
      </c>
      <c r="V60" s="269"/>
      <c r="W60" s="999">
        <f>ROUND(SUM(W58+W50+W42+W30),1)</f>
        <v>0</v>
      </c>
      <c r="X60" s="273"/>
      <c r="Y60" s="999">
        <f>ROUND(SUM(Y58+Y50+Y42+Y30),1)</f>
        <v>0</v>
      </c>
      <c r="Z60" s="273"/>
      <c r="AA60" s="868"/>
      <c r="AB60" s="883">
        <f>ROUND(SUM(C60:Y60),1)</f>
        <v>67538.8</v>
      </c>
      <c r="AC60" s="269"/>
      <c r="AD60" s="529"/>
      <c r="AE60" s="1034">
        <f>ROUND(SUM(+AE30+AE42+AE50+AE58),1)</f>
        <v>63412.4</v>
      </c>
      <c r="AF60" s="269"/>
      <c r="AG60" s="713"/>
      <c r="AH60" s="1034">
        <f>ROUND(+AB60-AE60,1)</f>
        <v>4126.3999999999996</v>
      </c>
      <c r="AI60" s="269"/>
      <c r="AJ60" s="373">
        <f>ROUND(SUM(+AH60/ABS(AE60)),3)</f>
        <v>6.5000000000000002E-2</v>
      </c>
    </row>
    <row r="61" spans="1:36" ht="1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98"/>
      <c r="AG61" s="1580"/>
      <c r="AH61" s="198"/>
      <c r="AI61" s="65"/>
      <c r="AJ61" s="288"/>
    </row>
    <row r="62" spans="1:36" ht="15.75">
      <c r="A62" s="1235"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5"/>
      <c r="AE62" s="198"/>
      <c r="AF62" s="198"/>
      <c r="AG62" s="1580"/>
      <c r="AH62" s="198"/>
      <c r="AI62" s="65"/>
      <c r="AJ62" s="271"/>
    </row>
    <row r="63" spans="1:36" ht="1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98"/>
      <c r="AG63" s="1580"/>
      <c r="AH63" s="198"/>
      <c r="AI63" s="65"/>
      <c r="AJ63" s="271"/>
    </row>
    <row r="64" spans="1:36" ht="1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f>+'Exhibit F'!P60+'Exhibit G State'!P42</f>
        <v>31.399999999999991</v>
      </c>
      <c r="P64" s="198"/>
      <c r="Q64" s="198">
        <f>+'Exhibit F'!R60+'Exhibit G State'!R42</f>
        <v>131.40000000000003</v>
      </c>
      <c r="R64" s="198"/>
      <c r="S64" s="198"/>
      <c r="T64" s="198"/>
      <c r="U64" s="198"/>
      <c r="V64" s="198"/>
      <c r="W64" s="198"/>
      <c r="X64" s="198"/>
      <c r="Y64" s="198"/>
      <c r="Z64" s="198"/>
      <c r="AA64" s="199"/>
      <c r="AB64" s="198">
        <f>ROUND(SUM(C64:Y64),1)</f>
        <v>282.39999999999998</v>
      </c>
      <c r="AC64" s="198"/>
      <c r="AD64" s="875"/>
      <c r="AE64" s="198">
        <f>+'Exhibit F'!AF60+'Exhibit G State'!AF42</f>
        <v>279</v>
      </c>
      <c r="AF64" s="198"/>
      <c r="AG64" s="1580"/>
      <c r="AH64" s="198">
        <f t="shared" ref="AH64:AH104" si="15">ROUND(SUM(AB64-AE64),1)</f>
        <v>3.4</v>
      </c>
      <c r="AI64" s="65"/>
      <c r="AJ64" s="288">
        <f>ROUND(SUM(AH64/ABS(AE64)),3)</f>
        <v>1.2E-2</v>
      </c>
    </row>
    <row r="65" spans="1:36" ht="15">
      <c r="A65" s="355"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f>+'Exhibit F'!P61</f>
        <v>2.8000000000000131</v>
      </c>
      <c r="P65" s="198"/>
      <c r="Q65" s="198">
        <f>+'Exhibit F'!R61</f>
        <v>1.2999999999999989</v>
      </c>
      <c r="R65" s="198"/>
      <c r="S65" s="198"/>
      <c r="T65" s="198"/>
      <c r="U65" s="198"/>
      <c r="V65" s="198"/>
      <c r="W65" s="198"/>
      <c r="X65" s="198"/>
      <c r="Y65" s="198"/>
      <c r="Z65" s="198"/>
      <c r="AA65" s="199"/>
      <c r="AB65" s="198">
        <f>ROUND(SUM(C65:Y65),1)</f>
        <v>54.4</v>
      </c>
      <c r="AC65" s="198"/>
      <c r="AD65" s="875"/>
      <c r="AE65" s="198">
        <f>+'Exhibit F'!AF61</f>
        <v>37.799999999999997</v>
      </c>
      <c r="AF65" s="198"/>
      <c r="AG65" s="1580"/>
      <c r="AH65" s="198">
        <f t="shared" si="15"/>
        <v>16.600000000000001</v>
      </c>
      <c r="AI65" s="65"/>
      <c r="AJ65" s="614">
        <f>ROUND(SUM(AH65/ABS(AE65)),3)</f>
        <v>0.439</v>
      </c>
    </row>
    <row r="66" spans="1:36" ht="1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98"/>
      <c r="AG66" s="1580"/>
      <c r="AH66" s="198" t="s">
        <v>103</v>
      </c>
      <c r="AI66" s="65" t="s">
        <v>103</v>
      </c>
      <c r="AJ66" s="271" t="s">
        <v>103</v>
      </c>
    </row>
    <row r="67" spans="1:36" ht="1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f>+'Exhibit F'!P63+'Exhibit G State'!P44</f>
        <v>80.500000000000057</v>
      </c>
      <c r="P67" s="198"/>
      <c r="Q67" s="198">
        <f>+'Exhibit F'!R63+'Exhibit G State'!R44</f>
        <v>47.39999999999992</v>
      </c>
      <c r="R67" s="198"/>
      <c r="S67" s="198"/>
      <c r="T67" s="198"/>
      <c r="U67" s="198"/>
      <c r="V67" s="198"/>
      <c r="W67" s="198"/>
      <c r="X67" s="198"/>
      <c r="Y67" s="198"/>
      <c r="Z67" s="198"/>
      <c r="AA67" s="199"/>
      <c r="AB67" s="198">
        <f>ROUND(SUM(C67:Y67),1)</f>
        <v>479.5</v>
      </c>
      <c r="AC67" s="198"/>
      <c r="AD67" s="875"/>
      <c r="AE67" s="198">
        <f>+'Exhibit F'!AF63+'Exhibit G State'!AF44</f>
        <v>510.20000000000005</v>
      </c>
      <c r="AF67" s="198"/>
      <c r="AG67" s="1580"/>
      <c r="AH67" s="198">
        <f t="shared" si="15"/>
        <v>-30.7</v>
      </c>
      <c r="AI67" s="65"/>
      <c r="AJ67" s="288">
        <f>ROUND(SUM(AH67/ABS(AE67)),3)</f>
        <v>-0.06</v>
      </c>
    </row>
    <row r="68" spans="1:36" ht="1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f>+'Exhibit F'!P64+'Exhibit G State'!P45</f>
        <v>694.30000000000075</v>
      </c>
      <c r="P68" s="198"/>
      <c r="Q68" s="198">
        <f>+'Exhibit F'!R64+'Exhibit G State'!R45</f>
        <v>671.89999999999964</v>
      </c>
      <c r="R68" s="198"/>
      <c r="S68" s="198"/>
      <c r="T68" s="198"/>
      <c r="U68" s="198"/>
      <c r="V68" s="198"/>
      <c r="W68" s="198"/>
      <c r="X68" s="198"/>
      <c r="Y68" s="198"/>
      <c r="Z68" s="198"/>
      <c r="AA68" s="199"/>
      <c r="AB68" s="198">
        <f>ROUND(SUM(C68:Y68),1)</f>
        <v>5490.8</v>
      </c>
      <c r="AC68" s="198"/>
      <c r="AD68" s="875"/>
      <c r="AE68" s="198">
        <f>+'Exhibit F'!AF64+'Exhibit G State'!AF45+'Exhibit H'!AD34</f>
        <v>5345.1</v>
      </c>
      <c r="AF68" s="198"/>
      <c r="AG68" s="1580"/>
      <c r="AH68" s="198">
        <f t="shared" si="15"/>
        <v>145.69999999999999</v>
      </c>
      <c r="AI68" s="65"/>
      <c r="AJ68" s="288">
        <f>ROUND(SUM(AH68/ABS(AE68)),3)</f>
        <v>2.7E-2</v>
      </c>
    </row>
    <row r="69" spans="1:36" ht="1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f>+'Exhibit F'!P65+'Exhibit G State'!P46</f>
        <v>0</v>
      </c>
      <c r="P69" s="198"/>
      <c r="Q69" s="198">
        <f>+'Exhibit F'!R65+'Exhibit G State'!R46</f>
        <v>-22.000000000000011</v>
      </c>
      <c r="R69" s="198"/>
      <c r="S69" s="198"/>
      <c r="T69" s="198"/>
      <c r="U69" s="198"/>
      <c r="V69" s="198"/>
      <c r="W69" s="198"/>
      <c r="X69" s="198"/>
      <c r="Y69" s="198"/>
      <c r="Z69" s="198"/>
      <c r="AA69" s="199"/>
      <c r="AB69" s="198">
        <f>ROUND(SUM(C69:Y69),1)</f>
        <v>46.7</v>
      </c>
      <c r="AC69" s="198"/>
      <c r="AD69" s="875"/>
      <c r="AE69" s="198">
        <f>+'Exhibit F'!AF65+'Exhibit G State'!AF46</f>
        <v>47.3</v>
      </c>
      <c r="AF69" s="198"/>
      <c r="AG69" s="1580"/>
      <c r="AH69" s="198">
        <f t="shared" si="15"/>
        <v>-0.6</v>
      </c>
      <c r="AI69" s="65"/>
      <c r="AJ69" s="548">
        <f>ROUND(IF(AE69=0,0,AH69/ABS(AE69)),3)</f>
        <v>-1.2999999999999999E-2</v>
      </c>
    </row>
    <row r="70" spans="1:36" ht="1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f>+'Exhibit F'!P66+'Exhibit G State'!P47</f>
        <v>591</v>
      </c>
      <c r="P70" s="198"/>
      <c r="Q70" s="198">
        <f>+'Exhibit F'!R66+'Exhibit G State'!R47</f>
        <v>1014.8</v>
      </c>
      <c r="R70" s="198"/>
      <c r="S70" s="198"/>
      <c r="T70" s="198"/>
      <c r="U70" s="198"/>
      <c r="V70" s="198"/>
      <c r="W70" s="198"/>
      <c r="X70" s="198"/>
      <c r="Y70" s="198"/>
      <c r="Z70" s="198"/>
      <c r="AA70" s="199"/>
      <c r="AB70" s="198">
        <f>ROUND(SUM(C70:Y70),1)</f>
        <v>2237.1</v>
      </c>
      <c r="AC70" s="198"/>
      <c r="AD70" s="875"/>
      <c r="AE70" s="198">
        <f>+'Exhibit F'!AF66+'Exhibit G State'!AF47</f>
        <v>0.2</v>
      </c>
      <c r="AF70" s="198"/>
      <c r="AG70" s="1580"/>
      <c r="AH70" s="198">
        <f t="shared" si="15"/>
        <v>2236.9</v>
      </c>
      <c r="AI70" s="65"/>
      <c r="AJ70" s="548">
        <f>ROUND(IF(AE70=0,1,AH70/ABS(AE70)),3)</f>
        <v>11184.5</v>
      </c>
    </row>
    <row r="71" spans="1:36" ht="1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98"/>
      <c r="AG71" s="1580"/>
      <c r="AH71" s="198"/>
      <c r="AI71" s="65"/>
      <c r="AJ71" s="271"/>
    </row>
    <row r="72" spans="1:36" ht="1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f>+'Exhibit F'!P68+'Exhibit H'!N36</f>
        <v>7.3</v>
      </c>
      <c r="P72" s="198"/>
      <c r="Q72" s="198">
        <f>+'Exhibit F'!R68+'Exhibit H'!P36</f>
        <v>5.4000000000000012</v>
      </c>
      <c r="R72" s="198"/>
      <c r="S72" s="198"/>
      <c r="T72" s="198"/>
      <c r="U72" s="198"/>
      <c r="V72" s="198"/>
      <c r="W72" s="198"/>
      <c r="X72" s="198"/>
      <c r="Y72" s="198"/>
      <c r="Z72" s="198"/>
      <c r="AA72" s="199"/>
      <c r="AB72" s="198">
        <f t="shared" ref="AB72:AB79" si="16">ROUND(SUM(C72:Y72),1)</f>
        <v>41</v>
      </c>
      <c r="AC72" s="198"/>
      <c r="AD72" s="875"/>
      <c r="AE72" s="198">
        <f>+'Exhibit F'!AF68+'Exhibit H'!AD36</f>
        <v>41.2</v>
      </c>
      <c r="AF72" s="198"/>
      <c r="AG72" s="1580"/>
      <c r="AH72" s="198">
        <f t="shared" si="15"/>
        <v>-0.2</v>
      </c>
      <c r="AI72" s="65"/>
      <c r="AJ72" s="288">
        <f>ROUND(SUM(AH72/ABS(AE72)),3)</f>
        <v>-5.0000000000000001E-3</v>
      </c>
    </row>
    <row r="73" spans="1:36" ht="15">
      <c r="A73" s="355"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f>'Exhibit G State'!P49</f>
        <v>0</v>
      </c>
      <c r="P73" s="198"/>
      <c r="Q73" s="198">
        <f>'Exhibit G State'!R49</f>
        <v>0</v>
      </c>
      <c r="R73" s="198"/>
      <c r="S73" s="198"/>
      <c r="T73" s="198"/>
      <c r="U73" s="198"/>
      <c r="V73" s="198"/>
      <c r="W73" s="198"/>
      <c r="X73" s="198"/>
      <c r="Y73" s="198"/>
      <c r="Z73" s="198"/>
      <c r="AA73" s="199"/>
      <c r="AB73" s="198">
        <f t="shared" si="16"/>
        <v>2.6</v>
      </c>
      <c r="AC73" s="198"/>
      <c r="AD73" s="875"/>
      <c r="AE73" s="198">
        <f>'Exhibit G State'!AF49</f>
        <v>2.5</v>
      </c>
      <c r="AF73" s="198"/>
      <c r="AG73" s="1580"/>
      <c r="AH73" s="198">
        <f t="shared" si="15"/>
        <v>0.1</v>
      </c>
      <c r="AI73" s="65"/>
      <c r="AJ73" s="271">
        <f>ROUND(IF(AE73=0,0,AH73/ABS(AE73)),3)</f>
        <v>0.04</v>
      </c>
    </row>
    <row r="74" spans="1:36" ht="1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f>+'Exhibit F'!P70+'Exhibit G State'!P50+'Exhibit H'!N37</f>
        <v>76.500000000000028</v>
      </c>
      <c r="P74" s="198"/>
      <c r="Q74" s="198">
        <f>+'Exhibit F'!R70+'Exhibit G State'!R50+'Exhibit H'!P37</f>
        <v>63.999999999999943</v>
      </c>
      <c r="R74" s="198"/>
      <c r="S74" s="198"/>
      <c r="T74" s="198"/>
      <c r="U74" s="198"/>
      <c r="V74" s="198"/>
      <c r="W74" s="198"/>
      <c r="X74" s="198"/>
      <c r="Y74" s="198"/>
      <c r="Z74" s="198"/>
      <c r="AA74" s="199"/>
      <c r="AB74" s="198">
        <f t="shared" si="16"/>
        <v>634.1</v>
      </c>
      <c r="AC74" s="198"/>
      <c r="AD74" s="875"/>
      <c r="AE74" s="198">
        <f>+'Exhibit F'!AF70+'Exhibit G State'!AF50+'Exhibit H'!AD37</f>
        <v>616.5</v>
      </c>
      <c r="AF74" s="198"/>
      <c r="AG74" s="1580"/>
      <c r="AH74" s="198">
        <f t="shared" si="15"/>
        <v>17.600000000000001</v>
      </c>
      <c r="AI74" s="65"/>
      <c r="AJ74" s="288">
        <f>ROUND(SUM(AH74/AE74),3)</f>
        <v>2.9000000000000001E-2</v>
      </c>
    </row>
    <row r="75" spans="1:36" ht="1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f>+'Exhibit F'!P71+'Exhibit G State'!P51+'Exhibit H'!N38</f>
        <v>13.899999999999975</v>
      </c>
      <c r="P75" s="198"/>
      <c r="Q75" s="198">
        <f>+'Exhibit F'!R71+'Exhibit G State'!R51+'Exhibit H'!P38</f>
        <v>46.000000000000014</v>
      </c>
      <c r="R75" s="198"/>
      <c r="S75" s="198"/>
      <c r="T75" s="198"/>
      <c r="U75" s="198"/>
      <c r="V75" s="198"/>
      <c r="W75" s="198"/>
      <c r="X75" s="198"/>
      <c r="Y75" s="198"/>
      <c r="Z75" s="198"/>
      <c r="AA75" s="199"/>
      <c r="AB75" s="198">
        <f t="shared" si="16"/>
        <v>210.5</v>
      </c>
      <c r="AC75" s="198"/>
      <c r="AD75" s="875"/>
      <c r="AE75" s="198">
        <f>+'Exhibit F'!AF71+'Exhibit G State'!AF51+'Exhibit H'!AD38</f>
        <v>179.6</v>
      </c>
      <c r="AF75" s="198"/>
      <c r="AG75" s="1580"/>
      <c r="AH75" s="198">
        <f t="shared" si="15"/>
        <v>30.9</v>
      </c>
      <c r="AI75" s="65"/>
      <c r="AJ75" s="288">
        <f>ROUND(SUM(AH75/ABS(AE75)),3)</f>
        <v>0.17199999999999999</v>
      </c>
    </row>
    <row r="76" spans="1:36" ht="1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f>+'Exhibit F'!P72+'Exhibit G State'!P52+'Exhibit H'!N39</f>
        <v>0.3999999999999998</v>
      </c>
      <c r="P76" s="198"/>
      <c r="Q76" s="198">
        <f>+'Exhibit F'!R72+'Exhibit G State'!R52+'Exhibit H'!P39</f>
        <v>0.80000000000000016</v>
      </c>
      <c r="R76" s="198"/>
      <c r="S76" s="198"/>
      <c r="T76" s="198"/>
      <c r="U76" s="198"/>
      <c r="V76" s="198"/>
      <c r="W76" s="198"/>
      <c r="X76" s="198"/>
      <c r="Y76" s="198"/>
      <c r="Z76" s="198"/>
      <c r="AA76" s="199"/>
      <c r="AB76" s="198">
        <f t="shared" si="16"/>
        <v>3.8</v>
      </c>
      <c r="AC76" s="198"/>
      <c r="AD76" s="875"/>
      <c r="AE76" s="198">
        <f>+'Exhibit F'!AF72+'Exhibit G State'!AF52+'Exhibit H'!AD39</f>
        <v>4.0999999999999996</v>
      </c>
      <c r="AF76" s="198"/>
      <c r="AG76" s="1580"/>
      <c r="AH76" s="198">
        <f t="shared" si="15"/>
        <v>-0.3</v>
      </c>
      <c r="AI76" s="65"/>
      <c r="AJ76" s="288">
        <f>ROUND(SUM(AH76/ABS(AE76)),3)</f>
        <v>-7.2999999999999995E-2</v>
      </c>
    </row>
    <row r="77" spans="1:36" ht="1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f>+'Exhibit F'!P73+'Exhibit G State'!P53+'Exhibit H'!N40</f>
        <v>9.6000000000000192</v>
      </c>
      <c r="P77" s="198"/>
      <c r="Q77" s="198">
        <f>+'Exhibit F'!R73+'Exhibit G State'!R53+'Exhibit H'!P40</f>
        <v>31.399999999999967</v>
      </c>
      <c r="R77" s="198"/>
      <c r="S77" s="198"/>
      <c r="T77" s="198"/>
      <c r="U77" s="198"/>
      <c r="V77" s="198"/>
      <c r="W77" s="198"/>
      <c r="X77" s="198"/>
      <c r="Y77" s="198"/>
      <c r="Z77" s="198"/>
      <c r="AA77" s="199"/>
      <c r="AB77" s="198">
        <f t="shared" si="16"/>
        <v>397</v>
      </c>
      <c r="AC77" s="198"/>
      <c r="AD77" s="875"/>
      <c r="AE77" s="198">
        <f>+'Exhibit F'!AF73+'Exhibit G State'!AF53+'Exhibit H'!AD40</f>
        <v>392.2</v>
      </c>
      <c r="AF77" s="198"/>
      <c r="AG77" s="1580"/>
      <c r="AH77" s="198">
        <f t="shared" si="15"/>
        <v>4.8</v>
      </c>
      <c r="AI77" s="65"/>
      <c r="AJ77" s="271">
        <f>ROUND(IF(AE77=0,0,AH77/ABS(AE77)),3)</f>
        <v>1.2E-2</v>
      </c>
    </row>
    <row r="78" spans="1:36" ht="1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f>+'Exhibit F'!P74+'Exhibit G State'!P54+'Exhibit H'!N41</f>
        <v>91.099999999999937</v>
      </c>
      <c r="P78" s="198"/>
      <c r="Q78" s="198">
        <f>+'Exhibit F'!R74+'Exhibit G State'!R54+'Exhibit H'!P41</f>
        <v>92.900000000000034</v>
      </c>
      <c r="R78" s="198"/>
      <c r="S78" s="198"/>
      <c r="T78" s="198"/>
      <c r="U78" s="198"/>
      <c r="V78" s="198"/>
      <c r="W78" s="198"/>
      <c r="X78" s="198"/>
      <c r="Y78" s="198"/>
      <c r="Z78" s="198"/>
      <c r="AA78" s="199"/>
      <c r="AB78" s="198">
        <f t="shared" si="16"/>
        <v>714.4</v>
      </c>
      <c r="AC78" s="198"/>
      <c r="AD78" s="875"/>
      <c r="AE78" s="198">
        <f>+'Exhibit F'!AF74+'Exhibit G State'!AF54+'Exhibit H'!AD41</f>
        <v>659.6</v>
      </c>
      <c r="AF78" s="198"/>
      <c r="AG78" s="1580"/>
      <c r="AH78" s="198">
        <f t="shared" si="15"/>
        <v>54.8</v>
      </c>
      <c r="AI78" s="65"/>
      <c r="AJ78" s="288">
        <f>ROUND(SUM(AH78/ABS(AE78)),3)</f>
        <v>8.3000000000000004E-2</v>
      </c>
    </row>
    <row r="79" spans="1:36" ht="1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f>+'Exhibit F'!P75+'Exhibit G State'!P55</f>
        <v>70.999999999999972</v>
      </c>
      <c r="P79" s="198"/>
      <c r="Q79" s="198">
        <f>+'Exhibit F'!R75+'Exhibit G State'!R55</f>
        <v>43.700000000000045</v>
      </c>
      <c r="R79" s="198"/>
      <c r="S79" s="198"/>
      <c r="T79" s="198"/>
      <c r="U79" s="198"/>
      <c r="V79" s="198"/>
      <c r="W79" s="198"/>
      <c r="X79" s="198"/>
      <c r="Y79" s="198"/>
      <c r="Z79" s="198"/>
      <c r="AA79" s="199"/>
      <c r="AB79" s="198">
        <f t="shared" si="16"/>
        <v>361.2</v>
      </c>
      <c r="AC79" s="198"/>
      <c r="AD79" s="875"/>
      <c r="AE79" s="198">
        <f>+'Exhibit F'!AF75+'Exhibit G State'!AF55</f>
        <v>316.2</v>
      </c>
      <c r="AF79" s="198"/>
      <c r="AG79" s="1580"/>
      <c r="AH79" s="198">
        <f t="shared" si="15"/>
        <v>45</v>
      </c>
      <c r="AI79" s="65"/>
      <c r="AJ79" s="288">
        <f>ROUND(SUM(AH79/ABS(AE79)),3)</f>
        <v>0.14199999999999999</v>
      </c>
    </row>
    <row r="80" spans="1:36" ht="1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98"/>
      <c r="AG80" s="1580"/>
      <c r="AH80" s="198"/>
      <c r="AI80" s="65"/>
      <c r="AJ80" s="288" t="s">
        <v>103</v>
      </c>
    </row>
    <row r="81" spans="1:36" ht="15">
      <c r="A81" s="355"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f>+'Exhibit G State'!P57</f>
        <v>41.999999999999986</v>
      </c>
      <c r="P81" s="198"/>
      <c r="Q81" s="198">
        <f>+'Exhibit G State'!R57</f>
        <v>13.199999999999974</v>
      </c>
      <c r="R81" s="198"/>
      <c r="S81" s="198"/>
      <c r="T81" s="198"/>
      <c r="U81" s="198"/>
      <c r="V81" s="198"/>
      <c r="W81" s="198"/>
      <c r="X81" s="198"/>
      <c r="Y81" s="198"/>
      <c r="Z81" s="198"/>
      <c r="AA81" s="199"/>
      <c r="AB81" s="198">
        <f t="shared" ref="AB81:AB86" si="17">ROUND(SUM(C81:Y81),1)</f>
        <v>203.7</v>
      </c>
      <c r="AC81" s="198"/>
      <c r="AD81" s="875"/>
      <c r="AE81" s="269">
        <f>+'Exhibit G State'!AF57</f>
        <v>193.5</v>
      </c>
      <c r="AF81" s="198"/>
      <c r="AG81" s="1580"/>
      <c r="AH81" s="198">
        <f t="shared" si="15"/>
        <v>10.199999999999999</v>
      </c>
      <c r="AI81" s="65"/>
      <c r="AJ81" s="271">
        <f>ROUND(IF(AE81=0,1,AH81/ABS(AE81)),3)</f>
        <v>5.2999999999999999E-2</v>
      </c>
    </row>
    <row r="82" spans="1:36" ht="1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f>+'Exhibit G State'!P58</f>
        <v>223.30000000000007</v>
      </c>
      <c r="P82" s="198"/>
      <c r="Q82" s="198">
        <f>+'Exhibit G State'!R58</f>
        <v>182.99999999999989</v>
      </c>
      <c r="R82" s="198"/>
      <c r="S82" s="198"/>
      <c r="T82" s="198"/>
      <c r="U82" s="198"/>
      <c r="V82" s="198"/>
      <c r="W82" s="198"/>
      <c r="X82" s="198"/>
      <c r="Y82" s="198"/>
      <c r="Z82" s="198"/>
      <c r="AA82" s="199"/>
      <c r="AB82" s="198">
        <f t="shared" si="17"/>
        <v>1588.7</v>
      </c>
      <c r="AC82" s="198"/>
      <c r="AD82" s="875"/>
      <c r="AE82" s="198">
        <f>+'Exhibit G State'!AF58</f>
        <v>1584.5</v>
      </c>
      <c r="AF82" s="198"/>
      <c r="AG82" s="1580"/>
      <c r="AH82" s="198">
        <f t="shared" ref="AH82:AH83" si="18">ROUND(SUM(AB82-AE82),1)</f>
        <v>4.2</v>
      </c>
      <c r="AI82" s="65"/>
      <c r="AJ82" s="271">
        <f t="shared" ref="AJ82:AJ83" si="19">ROUND(IF(AE82=0,1,AH82/ABS(AE82)),3)</f>
        <v>3.0000000000000001E-3</v>
      </c>
    </row>
    <row r="83" spans="1:36" ht="1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f>+'Exhibit G State'!P59+'Exhibit F'!P77</f>
        <v>112.19999999999997</v>
      </c>
      <c r="P83" s="198"/>
      <c r="Q83" s="198">
        <f>+'Exhibit G State'!R59+'Exhibit F'!R77</f>
        <v>135.2000000000001</v>
      </c>
      <c r="R83" s="198"/>
      <c r="S83" s="198"/>
      <c r="T83" s="198"/>
      <c r="U83" s="198"/>
      <c r="V83" s="198"/>
      <c r="W83" s="198"/>
      <c r="X83" s="198"/>
      <c r="Y83" s="198"/>
      <c r="Z83" s="198"/>
      <c r="AA83" s="199"/>
      <c r="AB83" s="198">
        <f t="shared" si="17"/>
        <v>829.6</v>
      </c>
      <c r="AC83" s="198"/>
      <c r="AD83" s="875"/>
      <c r="AE83" s="198">
        <f>+'Exhibit G State'!AF59+'Exhibit F'!AF77</f>
        <v>700.4</v>
      </c>
      <c r="AF83" s="198"/>
      <c r="AG83" s="1580"/>
      <c r="AH83" s="198">
        <f t="shared" si="18"/>
        <v>129.19999999999999</v>
      </c>
      <c r="AI83" s="65"/>
      <c r="AJ83" s="271">
        <f t="shared" si="19"/>
        <v>0.184</v>
      </c>
    </row>
    <row r="84" spans="1:36" ht="1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f>+'Exhibit G State'!P60</f>
        <v>109.20000000000005</v>
      </c>
      <c r="P84" s="198"/>
      <c r="Q84" s="198">
        <f>+'Exhibit G State'!R60</f>
        <v>83.699999999999932</v>
      </c>
      <c r="R84" s="198"/>
      <c r="S84" s="198"/>
      <c r="T84" s="198"/>
      <c r="U84" s="198"/>
      <c r="V84" s="198"/>
      <c r="W84" s="198"/>
      <c r="X84" s="198"/>
      <c r="Y84" s="198"/>
      <c r="Z84" s="198"/>
      <c r="AA84" s="199"/>
      <c r="AB84" s="198">
        <f t="shared" si="17"/>
        <v>736.9</v>
      </c>
      <c r="AC84" s="198"/>
      <c r="AD84" s="875"/>
      <c r="AE84" s="269">
        <f>+'Exhibit G State'!AF60</f>
        <v>722.3</v>
      </c>
      <c r="AF84" s="198"/>
      <c r="AG84" s="1580"/>
      <c r="AH84" s="198">
        <f t="shared" si="15"/>
        <v>14.6</v>
      </c>
      <c r="AI84" s="65"/>
      <c r="AJ84" s="548">
        <f>ROUND(IF(AE84=0,1,AH84/ABS(AE84)),3)</f>
        <v>0.02</v>
      </c>
    </row>
    <row r="85" spans="1:36" ht="1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f>+'Exhibit F'!P78+'Exhibit H'!N42+'Exhibit G State'!P61</f>
        <v>258.69999999999982</v>
      </c>
      <c r="P85" s="198"/>
      <c r="Q85" s="198">
        <f>+'Exhibit F'!R78+'Exhibit H'!P42+'Exhibit G State'!R61</f>
        <v>245.49999999999997</v>
      </c>
      <c r="R85" s="198"/>
      <c r="S85" s="198"/>
      <c r="T85" s="198"/>
      <c r="U85" s="198"/>
      <c r="V85" s="198"/>
      <c r="W85" s="198"/>
      <c r="X85" s="198"/>
      <c r="Y85" s="198"/>
      <c r="Z85" s="198"/>
      <c r="AA85" s="199"/>
      <c r="AB85" s="198">
        <f t="shared" si="17"/>
        <v>2118.9</v>
      </c>
      <c r="AC85" s="198"/>
      <c r="AD85" s="875"/>
      <c r="AE85" s="269">
        <f>+'Exhibit F'!AF78+'Exhibit H'!AD42+'Exhibit G State'!AF61</f>
        <v>2340.1000000000004</v>
      </c>
      <c r="AF85" s="198"/>
      <c r="AG85" s="1580"/>
      <c r="AH85" s="198">
        <f t="shared" si="15"/>
        <v>-221.2</v>
      </c>
      <c r="AI85" s="65"/>
      <c r="AJ85" s="614">
        <f>ROUND(SUM(AH85/ABS(AE85)),3)</f>
        <v>-9.5000000000000001E-2</v>
      </c>
    </row>
    <row r="86" spans="1:36" ht="1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f>+'Exhibit F'!P79+'Exhibit H'!N43+'Exhibit G State'!P62</f>
        <v>3.4000000000000012</v>
      </c>
      <c r="P86" s="198"/>
      <c r="Q86" s="198">
        <f>+'Exhibit F'!R79+'Exhibit H'!P43+'Exhibit G State'!R62</f>
        <v>0.59999999999999698</v>
      </c>
      <c r="R86" s="198"/>
      <c r="S86" s="198"/>
      <c r="T86" s="198"/>
      <c r="U86" s="198"/>
      <c r="V86" s="198"/>
      <c r="W86" s="198"/>
      <c r="X86" s="198"/>
      <c r="Y86" s="198"/>
      <c r="Z86" s="198"/>
      <c r="AA86" s="199"/>
      <c r="AB86" s="198">
        <f t="shared" si="17"/>
        <v>25.5</v>
      </c>
      <c r="AC86" s="198"/>
      <c r="AD86" s="875"/>
      <c r="AE86" s="198">
        <f>+'Exhibit F'!AF79+'Exhibit H'!AD43+'Exhibit G State'!AF62</f>
        <v>26.2</v>
      </c>
      <c r="AF86" s="198"/>
      <c r="AG86" s="1580"/>
      <c r="AH86" s="198">
        <f>ROUND(SUM(AB86-AE86),1)</f>
        <v>-0.7</v>
      </c>
      <c r="AI86" s="65"/>
      <c r="AJ86" s="614">
        <f>ROUND(SUM(AH86/ABS(AE86)),3)</f>
        <v>-2.7E-2</v>
      </c>
    </row>
    <row r="87" spans="1:36" ht="1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98"/>
      <c r="AG87" s="1580"/>
      <c r="AH87" s="198"/>
      <c r="AI87" s="65"/>
      <c r="AJ87" s="271"/>
    </row>
    <row r="88" spans="1:36" ht="15">
      <c r="A88" s="355"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f>+'Exhibit G State'!P64</f>
        <v>0</v>
      </c>
      <c r="P88" s="198"/>
      <c r="Q88" s="198">
        <f>+'Exhibit G State'!R64</f>
        <v>0</v>
      </c>
      <c r="R88" s="198"/>
      <c r="S88" s="198"/>
      <c r="T88" s="198"/>
      <c r="U88" s="198"/>
      <c r="V88" s="198"/>
      <c r="W88" s="198"/>
      <c r="X88" s="198"/>
      <c r="Y88" s="198"/>
      <c r="Z88" s="198"/>
      <c r="AA88" s="199"/>
      <c r="AB88" s="198">
        <f t="shared" ref="AB88:AB92" si="20">ROUND(SUM(C88:Y88),1)</f>
        <v>0</v>
      </c>
      <c r="AC88" s="198"/>
      <c r="AD88" s="875"/>
      <c r="AE88" s="198">
        <f>+'Exhibit G State'!AF64+'Exhibit H'!AD45+'Exhibit F'!AF81</f>
        <v>0</v>
      </c>
      <c r="AF88" s="198"/>
      <c r="AG88" s="1580"/>
      <c r="AH88" s="198">
        <f t="shared" si="15"/>
        <v>0</v>
      </c>
      <c r="AI88" s="65"/>
      <c r="AJ88" s="271">
        <f>ROUND(IF(AE88=0,0,AH88/ABS(AE88)),3)</f>
        <v>0</v>
      </c>
    </row>
    <row r="89" spans="1:36" ht="1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f>+'Exhibit F'!P82+'Exhibit G State'!P65</f>
        <v>6</v>
      </c>
      <c r="P89" s="198"/>
      <c r="Q89" s="198">
        <f>+'Exhibit F'!R82+'Exhibit G State'!R65</f>
        <v>0</v>
      </c>
      <c r="R89" s="198"/>
      <c r="S89" s="198"/>
      <c r="T89" s="198"/>
      <c r="U89" s="198"/>
      <c r="V89" s="198"/>
      <c r="W89" s="198"/>
      <c r="X89" s="198"/>
      <c r="Y89" s="198"/>
      <c r="Z89" s="198"/>
      <c r="AA89" s="199"/>
      <c r="AB89" s="198">
        <f t="shared" si="20"/>
        <v>27.9</v>
      </c>
      <c r="AC89" s="198"/>
      <c r="AD89" s="875"/>
      <c r="AE89" s="198">
        <f>+'Exhibit F'!AF82+'Exhibit G State'!AF65</f>
        <v>17.100000000000001</v>
      </c>
      <c r="AF89" s="198"/>
      <c r="AG89" s="1580"/>
      <c r="AH89" s="198">
        <f t="shared" si="15"/>
        <v>10.8</v>
      </c>
      <c r="AI89" s="65"/>
      <c r="AJ89" s="614">
        <f>ROUND(IF(AE89=0,1,AH89/ABS(AE89)),3)</f>
        <v>0.63200000000000001</v>
      </c>
    </row>
    <row r="90" spans="1:36" ht="1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f>+'Exhibit F'!P83+'Exhibit G State'!P66</f>
        <v>5.7999999999999989</v>
      </c>
      <c r="P90" s="198"/>
      <c r="Q90" s="198">
        <f>+'Exhibit F'!R83+'Exhibit G State'!R66</f>
        <v>0.50000000000000089</v>
      </c>
      <c r="R90" s="198"/>
      <c r="S90" s="198"/>
      <c r="T90" s="198"/>
      <c r="U90" s="198"/>
      <c r="V90" s="198"/>
      <c r="W90" s="198"/>
      <c r="X90" s="198"/>
      <c r="Y90" s="198"/>
      <c r="Z90" s="198"/>
      <c r="AA90" s="199"/>
      <c r="AB90" s="198">
        <f t="shared" si="20"/>
        <v>24.1</v>
      </c>
      <c r="AC90" s="198"/>
      <c r="AD90" s="875"/>
      <c r="AE90" s="198">
        <f>+'Exhibit F'!AF83+'Exhibit G State'!AF66</f>
        <v>15.899999999999999</v>
      </c>
      <c r="AF90" s="198"/>
      <c r="AG90" s="1580"/>
      <c r="AH90" s="198">
        <f t="shared" si="15"/>
        <v>8.1999999999999993</v>
      </c>
      <c r="AI90" s="65"/>
      <c r="AJ90" s="614">
        <f>ROUND(SUM(AH90/ABS(AE90)),3)</f>
        <v>0.51600000000000001</v>
      </c>
    </row>
    <row r="91" spans="1:36" ht="1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f>+'Exhibit F'!P84+'Exhibit G State'!P67</f>
        <v>9.1999999999999993</v>
      </c>
      <c r="P91" s="198"/>
      <c r="Q91" s="198">
        <f>+'Exhibit F'!R84+'Exhibit G State'!R67</f>
        <v>4.5000000000000009</v>
      </c>
      <c r="R91" s="198"/>
      <c r="S91" s="198"/>
      <c r="T91" s="198"/>
      <c r="U91" s="198"/>
      <c r="V91" s="198"/>
      <c r="W91" s="198"/>
      <c r="X91" s="198"/>
      <c r="Y91" s="198"/>
      <c r="Z91" s="198"/>
      <c r="AA91" s="199"/>
      <c r="AB91" s="198">
        <f t="shared" si="20"/>
        <v>52.2</v>
      </c>
      <c r="AC91" s="198"/>
      <c r="AD91" s="875"/>
      <c r="AE91" s="198">
        <f>+'Exhibit F'!AF84+'Exhibit G State'!AF67</f>
        <v>37.699999999999996</v>
      </c>
      <c r="AF91" s="198"/>
      <c r="AG91" s="1580"/>
      <c r="AH91" s="198">
        <f t="shared" si="15"/>
        <v>14.5</v>
      </c>
      <c r="AI91" s="65"/>
      <c r="AJ91" s="614">
        <f>ROUND(SUM(AH91/ABS(AE91)),3)</f>
        <v>0.38500000000000001</v>
      </c>
    </row>
    <row r="92" spans="1:36" ht="1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f>+'Exhibit F'!P85+'Exhibit H'!N46+'Exhibit G State'!P68</f>
        <v>1.6999999999999944</v>
      </c>
      <c r="P92" s="198"/>
      <c r="Q92" s="198">
        <f>+'Exhibit F'!R85+'Exhibit H'!P46+'Exhibit G State'!R68</f>
        <v>105.09999999999998</v>
      </c>
      <c r="R92" s="198"/>
      <c r="S92" s="198"/>
      <c r="T92" s="198"/>
      <c r="U92" s="198"/>
      <c r="V92" s="198"/>
      <c r="W92" s="198"/>
      <c r="X92" s="198"/>
      <c r="Y92" s="198"/>
      <c r="Z92" s="198"/>
      <c r="AA92" s="199"/>
      <c r="AB92" s="198">
        <f t="shared" si="20"/>
        <v>207.1</v>
      </c>
      <c r="AC92" s="198"/>
      <c r="AD92" s="875"/>
      <c r="AE92" s="198">
        <f>+'Exhibit F'!AF85+'Exhibit H'!AD46+'Exhibit G State'!AF68</f>
        <v>191.8</v>
      </c>
      <c r="AF92" s="198"/>
      <c r="AG92" s="1580"/>
      <c r="AH92" s="198">
        <f t="shared" si="15"/>
        <v>15.3</v>
      </c>
      <c r="AI92" s="65"/>
      <c r="AJ92" s="614">
        <f>ROUND(SUM(AH92/ABS(AE92)),3)</f>
        <v>0.08</v>
      </c>
    </row>
    <row r="93" spans="1:36" ht="1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98"/>
      <c r="AG93" s="1580"/>
      <c r="AH93" s="198"/>
      <c r="AI93" s="65"/>
      <c r="AJ93" s="271"/>
    </row>
    <row r="94" spans="1:36" ht="1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f>+'Exhibit F'!P87+'Exhibit G State'!P70</f>
        <v>9.5</v>
      </c>
      <c r="P94" s="198"/>
      <c r="Q94" s="198">
        <f>+'Exhibit F'!R87+'Exhibit G State'!R70</f>
        <v>27.29999999999999</v>
      </c>
      <c r="R94" s="198"/>
      <c r="S94" s="198"/>
      <c r="T94" s="198"/>
      <c r="U94" s="198"/>
      <c r="V94" s="198"/>
      <c r="W94" s="198"/>
      <c r="X94" s="198"/>
      <c r="Y94" s="198"/>
      <c r="Z94" s="198"/>
      <c r="AA94" s="199"/>
      <c r="AB94" s="198">
        <f t="shared" ref="AB94:AB104" si="21">ROUND(SUM(C94:Y94),1)</f>
        <v>168.5</v>
      </c>
      <c r="AC94" s="198"/>
      <c r="AD94" s="875"/>
      <c r="AE94" s="198">
        <f>+'Exhibit F'!AF87+'Exhibit G State'!AF70</f>
        <v>161.1</v>
      </c>
      <c r="AF94" s="198"/>
      <c r="AG94" s="1580"/>
      <c r="AH94" s="198">
        <f t="shared" si="15"/>
        <v>7.4</v>
      </c>
      <c r="AI94" s="65"/>
      <c r="AJ94" s="614">
        <f>ROUND(SUM(AH94/ABS(AE94)),3)</f>
        <v>4.5999999999999999E-2</v>
      </c>
    </row>
    <row r="95" spans="1:36" ht="1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f>+'Exhibit G State'!P71+'Exhibit F'!P88</f>
        <v>-0.19999999999999996</v>
      </c>
      <c r="P95" s="198"/>
      <c r="Q95" s="198">
        <f>+'Exhibit G State'!R71+'Exhibit F'!R88</f>
        <v>1.5000000000000013</v>
      </c>
      <c r="R95" s="198"/>
      <c r="S95" s="198"/>
      <c r="T95" s="198"/>
      <c r="U95" s="198"/>
      <c r="V95" s="198"/>
      <c r="W95" s="198"/>
      <c r="X95" s="198"/>
      <c r="Y95" s="198"/>
      <c r="Z95" s="198"/>
      <c r="AA95" s="199"/>
      <c r="AB95" s="198">
        <f t="shared" si="21"/>
        <v>12.6</v>
      </c>
      <c r="AC95" s="198"/>
      <c r="AD95" s="875"/>
      <c r="AE95" s="198">
        <f>+'Exhibit G State'!AF71+'Exhibit F'!AF88</f>
        <v>3.4000000000000004</v>
      </c>
      <c r="AF95" s="198"/>
      <c r="AG95" s="1580"/>
      <c r="AH95" s="198">
        <f t="shared" si="15"/>
        <v>9.1999999999999993</v>
      </c>
      <c r="AI95" s="65"/>
      <c r="AJ95" s="548">
        <f>ROUND(IF(AE95=0,1,AH95/ABS(AE95)),3)</f>
        <v>2.706</v>
      </c>
    </row>
    <row r="96" spans="1:36" ht="1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f>+'Exhibit F'!P89+'Exhibit G State'!P72</f>
        <v>0.60000000000000142</v>
      </c>
      <c r="P96" s="198"/>
      <c r="Q96" s="198">
        <f>+'Exhibit F'!R89+'Exhibit G State'!R72</f>
        <v>0.19999999999999929</v>
      </c>
      <c r="R96" s="198"/>
      <c r="S96" s="198"/>
      <c r="T96" s="198"/>
      <c r="U96" s="198"/>
      <c r="V96" s="198"/>
      <c r="W96" s="198"/>
      <c r="X96" s="198"/>
      <c r="Y96" s="198"/>
      <c r="Z96" s="198"/>
      <c r="AA96" s="199"/>
      <c r="AB96" s="198">
        <f t="shared" si="21"/>
        <v>9.5</v>
      </c>
      <c r="AC96" s="198"/>
      <c r="AD96" s="875"/>
      <c r="AE96" s="198">
        <f>+'Exhibit F'!AF89+'Exhibit G State'!AF72</f>
        <v>13.9</v>
      </c>
      <c r="AF96" s="198"/>
      <c r="AG96" s="1580"/>
      <c r="AH96" s="198">
        <f t="shared" si="15"/>
        <v>-4.4000000000000004</v>
      </c>
      <c r="AI96" s="65"/>
      <c r="AJ96" s="614">
        <f t="shared" ref="AJ96:AJ103" si="22">ROUND(SUM(AH96/ABS(AE96)),3)</f>
        <v>-0.317</v>
      </c>
    </row>
    <row r="97" spans="1:45" ht="1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f>+'Exhibit F'!P90+'Exhibit G State'!P73</f>
        <v>13.299999999999995</v>
      </c>
      <c r="P97" s="198"/>
      <c r="Q97" s="198">
        <f>+'Exhibit F'!R90+'Exhibit G State'!R73</f>
        <v>11.600000000000005</v>
      </c>
      <c r="R97" s="198"/>
      <c r="S97" s="198"/>
      <c r="T97" s="198"/>
      <c r="U97" s="198"/>
      <c r="V97" s="198"/>
      <c r="W97" s="198"/>
      <c r="X97" s="198"/>
      <c r="Y97" s="198"/>
      <c r="Z97" s="198"/>
      <c r="AA97" s="199"/>
      <c r="AB97" s="198">
        <f t="shared" si="21"/>
        <v>76.400000000000006</v>
      </c>
      <c r="AC97" s="198"/>
      <c r="AD97" s="875"/>
      <c r="AE97" s="198">
        <f>+'Exhibit F'!AF90+'Exhibit G State'!AF73</f>
        <v>57.800000000000004</v>
      </c>
      <c r="AF97" s="198"/>
      <c r="AG97" s="1580"/>
      <c r="AH97" s="198">
        <f t="shared" si="15"/>
        <v>18.600000000000001</v>
      </c>
      <c r="AI97" s="65"/>
      <c r="AJ97" s="271">
        <f>ROUND(IF(AE97=0,0,AH97/ABS(AE97)),3)</f>
        <v>0.32200000000000001</v>
      </c>
    </row>
    <row r="98" spans="1:45" ht="1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f>+'Exhibit F'!P91+'Exhibit H'!N48+'Exhibit G State'!P74</f>
        <v>319.10000000000008</v>
      </c>
      <c r="P98" s="198"/>
      <c r="Q98" s="198">
        <f>+'Exhibit F'!R91+'Exhibit H'!P48+'Exhibit G State'!R74</f>
        <v>325.09999999999945</v>
      </c>
      <c r="R98" s="198"/>
      <c r="S98" s="198"/>
      <c r="T98" s="198"/>
      <c r="U98" s="198"/>
      <c r="V98" s="198"/>
      <c r="W98" s="198"/>
      <c r="X98" s="198"/>
      <c r="Y98" s="198"/>
      <c r="Z98" s="198"/>
      <c r="AA98" s="199"/>
      <c r="AB98" s="198">
        <f t="shared" si="21"/>
        <v>2798.5</v>
      </c>
      <c r="AC98" s="198"/>
      <c r="AD98" s="875"/>
      <c r="AE98" s="198">
        <f>+'Exhibit F'!AF91+'Exhibit H'!AD48+'Exhibit G State'!AF74</f>
        <v>2471.7999999999997</v>
      </c>
      <c r="AF98" s="198"/>
      <c r="AG98" s="1580"/>
      <c r="AH98" s="198">
        <f t="shared" si="15"/>
        <v>326.7</v>
      </c>
      <c r="AI98" s="65"/>
      <c r="AJ98" s="614">
        <f t="shared" si="22"/>
        <v>0.13200000000000001</v>
      </c>
    </row>
    <row r="99" spans="1:45" ht="1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f>+'Exhibit G State'!P75+'Exhibit F'!P92</f>
        <v>5.6</v>
      </c>
      <c r="P99" s="198"/>
      <c r="Q99" s="198">
        <f>+'Exhibit G State'!R75+'Exhibit F'!R92</f>
        <v>1</v>
      </c>
      <c r="R99" s="198"/>
      <c r="S99" s="198"/>
      <c r="T99" s="198"/>
      <c r="U99" s="198"/>
      <c r="V99" s="198"/>
      <c r="W99" s="198"/>
      <c r="X99" s="198"/>
      <c r="Y99" s="198"/>
      <c r="Z99" s="198"/>
      <c r="AA99" s="199"/>
      <c r="AB99" s="198">
        <f t="shared" si="21"/>
        <v>26.7</v>
      </c>
      <c r="AC99" s="198"/>
      <c r="AD99" s="875"/>
      <c r="AE99" s="198">
        <f>+'Exhibit G State'!AF75+'Exhibit F'!AF92</f>
        <v>30.1</v>
      </c>
      <c r="AF99" s="198"/>
      <c r="AG99" s="1580"/>
      <c r="AH99" s="198">
        <f t="shared" si="15"/>
        <v>-3.4</v>
      </c>
      <c r="AI99" s="65"/>
      <c r="AJ99" s="288">
        <f>ROUND(SUM(AH99/ABS(AE99)),3)</f>
        <v>-0.113</v>
      </c>
    </row>
    <row r="100" spans="1:45" ht="1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f>+'Exhibit F'!P93+'Exhibit G State'!P76</f>
        <v>3.2999999999999972</v>
      </c>
      <c r="P100" s="198"/>
      <c r="Q100" s="198">
        <f>+'Exhibit F'!R93+'Exhibit G State'!R76</f>
        <v>1.1999999999999964</v>
      </c>
      <c r="R100" s="198"/>
      <c r="S100" s="198"/>
      <c r="T100" s="198"/>
      <c r="U100" s="198"/>
      <c r="V100" s="198"/>
      <c r="W100" s="198"/>
      <c r="X100" s="198"/>
      <c r="Y100" s="198"/>
      <c r="Z100" s="198"/>
      <c r="AA100" s="199"/>
      <c r="AB100" s="198">
        <f t="shared" si="21"/>
        <v>84.4</v>
      </c>
      <c r="AC100" s="198"/>
      <c r="AD100" s="875"/>
      <c r="AE100" s="198">
        <f>+'Exhibit F'!AF93+'Exhibit G State'!AF76</f>
        <v>91</v>
      </c>
      <c r="AF100" s="198"/>
      <c r="AG100" s="1580"/>
      <c r="AH100" s="198">
        <f t="shared" si="15"/>
        <v>-6.6</v>
      </c>
      <c r="AI100" s="65"/>
      <c r="AJ100" s="614">
        <f t="shared" si="22"/>
        <v>-7.2999999999999995E-2</v>
      </c>
    </row>
    <row r="101" spans="1:45" ht="1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f>+'Exhibit F'!P94+'Exhibit G State'!P77</f>
        <v>1.0999999999999996</v>
      </c>
      <c r="P101" s="198"/>
      <c r="Q101" s="198">
        <f>+'Exhibit F'!R94+'Exhibit G State'!R77</f>
        <v>0.29999999999999982</v>
      </c>
      <c r="R101" s="198"/>
      <c r="S101" s="198"/>
      <c r="T101" s="198"/>
      <c r="U101" s="198"/>
      <c r="V101" s="198"/>
      <c r="W101" s="198"/>
      <c r="X101" s="198"/>
      <c r="Y101" s="198"/>
      <c r="Z101" s="198"/>
      <c r="AA101" s="199"/>
      <c r="AB101" s="198">
        <f t="shared" si="21"/>
        <v>2.9</v>
      </c>
      <c r="AC101" s="198"/>
      <c r="AD101" s="875"/>
      <c r="AE101" s="198">
        <f>+'Exhibit F'!AF94+'Exhibit G State'!AF77</f>
        <v>9.1</v>
      </c>
      <c r="AF101" s="198"/>
      <c r="AG101" s="1580"/>
      <c r="AH101" s="198">
        <f t="shared" si="15"/>
        <v>-6.2</v>
      </c>
      <c r="AI101" s="65"/>
      <c r="AJ101" s="288">
        <f t="shared" si="22"/>
        <v>-0.68100000000000005</v>
      </c>
    </row>
    <row r="102" spans="1:45" ht="1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f>+'Exhibit F'!P95+'Exhibit G State'!P78+'Exhibit H'!N49</f>
        <v>74.100000000000065</v>
      </c>
      <c r="P102" s="198"/>
      <c r="Q102" s="198">
        <f>+'Exhibit F'!R95+'Exhibit G State'!R78+'Exhibit H'!P49</f>
        <v>164.19999999999996</v>
      </c>
      <c r="R102" s="198"/>
      <c r="S102" s="198"/>
      <c r="T102" s="198"/>
      <c r="U102" s="198"/>
      <c r="V102" s="198"/>
      <c r="W102" s="198"/>
      <c r="X102" s="198"/>
      <c r="Y102" s="198"/>
      <c r="Z102" s="198"/>
      <c r="AA102" s="199"/>
      <c r="AB102" s="198">
        <f t="shared" si="21"/>
        <v>695.6</v>
      </c>
      <c r="AC102" s="198"/>
      <c r="AD102" s="875"/>
      <c r="AE102" s="198">
        <f>+'Exhibit F'!AF95+'Exhibit G State'!AF78+'Exhibit H'!AD49</f>
        <v>504.90000000000003</v>
      </c>
      <c r="AF102" s="198"/>
      <c r="AG102" s="1580"/>
      <c r="AH102" s="198">
        <f t="shared" si="15"/>
        <v>190.7</v>
      </c>
      <c r="AI102" s="65"/>
      <c r="AJ102" s="614">
        <f t="shared" si="22"/>
        <v>0.378</v>
      </c>
    </row>
    <row r="103" spans="1:45" ht="1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f>+'Exhibit F'!P96+'Exhibit G State'!P79+'Exhibit H'!N50</f>
        <v>2.2999999999999985</v>
      </c>
      <c r="P103" s="198"/>
      <c r="Q103" s="198">
        <f>+'Exhibit F'!R96+'Exhibit G State'!R79+'Exhibit H'!P50</f>
        <v>2.1000000000000005</v>
      </c>
      <c r="R103" s="198"/>
      <c r="S103" s="198"/>
      <c r="T103" s="198"/>
      <c r="U103" s="198"/>
      <c r="V103" s="198"/>
      <c r="W103" s="198"/>
      <c r="X103" s="198"/>
      <c r="Y103" s="198"/>
      <c r="Z103" s="198"/>
      <c r="AA103" s="199"/>
      <c r="AB103" s="198">
        <f t="shared" si="21"/>
        <v>16.8</v>
      </c>
      <c r="AC103" s="198"/>
      <c r="AD103" s="875"/>
      <c r="AE103" s="198">
        <f>+'Exhibit F'!AF96+'Exhibit G State'!AF79+'Exhibit H'!AD50</f>
        <v>13</v>
      </c>
      <c r="AF103" s="198"/>
      <c r="AG103" s="1580"/>
      <c r="AH103" s="198">
        <f t="shared" si="15"/>
        <v>3.8</v>
      </c>
      <c r="AI103" s="65"/>
      <c r="AJ103" s="288">
        <f t="shared" si="22"/>
        <v>0.29199999999999998</v>
      </c>
    </row>
    <row r="104" spans="1:45" ht="1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f>+'Exhibit G State'!P80</f>
        <v>171.49999999999994</v>
      </c>
      <c r="P104" s="198"/>
      <c r="Q104" s="198">
        <f>+'Exhibit G State'!R80</f>
        <v>1.1000000000000796</v>
      </c>
      <c r="R104" s="198"/>
      <c r="S104" s="198"/>
      <c r="T104" s="198"/>
      <c r="U104" s="198"/>
      <c r="V104" s="198"/>
      <c r="W104" s="198"/>
      <c r="X104" s="198"/>
      <c r="Y104" s="198"/>
      <c r="Z104" s="198"/>
      <c r="AA104" s="199"/>
      <c r="AB104" s="198">
        <f t="shared" si="21"/>
        <v>787</v>
      </c>
      <c r="AC104" s="198"/>
      <c r="AD104" s="875"/>
      <c r="AE104" s="198">
        <f>+'Exhibit G State'!AF80</f>
        <v>753.6</v>
      </c>
      <c r="AF104" s="198"/>
      <c r="AG104" s="1580"/>
      <c r="AH104" s="198">
        <f t="shared" si="15"/>
        <v>33.4</v>
      </c>
      <c r="AI104" s="65"/>
      <c r="AJ104" s="288">
        <f>ROUND(SUM(AH104/ABS(AE104)),3)</f>
        <v>4.3999999999999997E-2</v>
      </c>
    </row>
    <row r="105" spans="1:45" ht="15.7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2901.8</v>
      </c>
      <c r="L105" s="13"/>
      <c r="M105" s="71">
        <f>ROUND(SUM(M64:M104),1)</f>
        <v>2889.8</v>
      </c>
      <c r="N105" s="13"/>
      <c r="O105" s="71">
        <f>ROUND(SUM(O64:O104),1)</f>
        <v>3041.5</v>
      </c>
      <c r="P105" s="13"/>
      <c r="Q105" s="71">
        <f>ROUND(SUM(Q64:Q104),1)</f>
        <v>3435.9</v>
      </c>
      <c r="R105" s="13"/>
      <c r="S105" s="71">
        <f>ROUND(SUM(S64:S104),1)</f>
        <v>0</v>
      </c>
      <c r="T105" s="13"/>
      <c r="U105" s="71">
        <f>ROUND(SUM(U64:U104),1)</f>
        <v>0</v>
      </c>
      <c r="V105" s="13"/>
      <c r="W105" s="71">
        <f>ROUND(SUM(W64:W104),1)</f>
        <v>0</v>
      </c>
      <c r="X105" s="40"/>
      <c r="Y105" s="71">
        <f>ROUND(SUM(Y64:Y104),1)</f>
        <v>0</v>
      </c>
      <c r="Z105" s="40"/>
      <c r="AA105" s="72"/>
      <c r="AB105" s="71">
        <f>ROUND(SUM(AB64:AB104),1)</f>
        <v>21449</v>
      </c>
      <c r="AC105" s="13"/>
      <c r="AD105" s="14"/>
      <c r="AE105" s="71">
        <f>ROUND(SUM(AE64:AE104),1)</f>
        <v>18370.7</v>
      </c>
      <c r="AF105" s="13"/>
      <c r="AG105" s="714"/>
      <c r="AH105" s="71">
        <f>ROUND(SUM(AH64:AH104),1)</f>
        <v>3078.3</v>
      </c>
      <c r="AI105" s="13"/>
      <c r="AJ105" s="422">
        <f>ROUND(SUM(+AH105/ABS(AE105)),3)</f>
        <v>0.16800000000000001</v>
      </c>
    </row>
    <row r="106" spans="1:45" ht="1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80"/>
      <c r="AH106" s="198"/>
      <c r="AI106" s="65"/>
      <c r="AJ106" s="288"/>
    </row>
    <row r="107" spans="1:45" ht="1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f>ROUND((+'Exhibit F'!P99+'Exhibit G State'!P83+'Exhibit H'!N53),1)</f>
        <v>0</v>
      </c>
      <c r="P107" s="198"/>
      <c r="Q107" s="200">
        <f>ROUND((+'Exhibit F'!R99+'Exhibit G State'!R83+'Exhibit H'!P53),1)</f>
        <v>0.8</v>
      </c>
      <c r="R107" s="198"/>
      <c r="S107" s="200"/>
      <c r="T107" s="198"/>
      <c r="U107" s="200"/>
      <c r="V107" s="198"/>
      <c r="W107" s="200"/>
      <c r="X107" s="198"/>
      <c r="Y107" s="200"/>
      <c r="Z107" s="198"/>
      <c r="AA107" s="199"/>
      <c r="AB107" s="200">
        <f>ROUND(SUM(C107:Y107),1)</f>
        <v>58.2</v>
      </c>
      <c r="AC107" s="198"/>
      <c r="AD107" s="875"/>
      <c r="AE107" s="200">
        <f>'Exhibit F'!AF99+'Exhibit G State'!AF83+'Exhibit H'!AD53</f>
        <v>41.900000000000006</v>
      </c>
      <c r="AF107" s="198"/>
      <c r="AG107" s="1580"/>
      <c r="AH107" s="200">
        <f>ROUND(SUM(AB107-AE107),1)</f>
        <v>16.3</v>
      </c>
      <c r="AI107" s="65"/>
      <c r="AJ107" s="567">
        <f>ROUND(IF(AE107=0,1,AH107/ABS(AE107)),3)</f>
        <v>0.38900000000000001</v>
      </c>
    </row>
    <row r="108" spans="1:45" ht="1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98"/>
      <c r="AG108" s="1580"/>
      <c r="AH108" s="198"/>
      <c r="AI108" s="65"/>
      <c r="AJ108" s="1035"/>
    </row>
    <row r="109" spans="1:45" ht="15.7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9508.6</v>
      </c>
      <c r="L109" s="13"/>
      <c r="M109" s="362">
        <f>ROUND(SUM(M107+M105+M60),1)</f>
        <v>15887</v>
      </c>
      <c r="N109" s="13"/>
      <c r="O109" s="362">
        <f>ROUND(SUM(O107+O105+O60),1)</f>
        <v>6614.8</v>
      </c>
      <c r="P109" s="13"/>
      <c r="Q109" s="362">
        <f>ROUND(SUM(Q107+Q105+Q60),1)</f>
        <v>8253.7000000000007</v>
      </c>
      <c r="R109" s="13"/>
      <c r="S109" s="362">
        <f>ROUND(SUM(S107+S105+S60),1)</f>
        <v>0</v>
      </c>
      <c r="T109" s="13"/>
      <c r="U109" s="362">
        <f>ROUND(SUM(U107+U105+U60),1)</f>
        <v>0</v>
      </c>
      <c r="V109" s="13"/>
      <c r="W109" s="362">
        <f>ROUND(SUM(W107+W105+W60),1)</f>
        <v>0</v>
      </c>
      <c r="X109" s="40"/>
      <c r="Y109" s="362">
        <f>ROUND(SUM(Y107+Y105+Y60),1)</f>
        <v>0</v>
      </c>
      <c r="Z109" s="1231"/>
      <c r="AA109" s="3"/>
      <c r="AB109" s="362">
        <f>ROUND(SUM(AB107+AB105+AB60),1)</f>
        <v>89046</v>
      </c>
      <c r="AC109" s="13"/>
      <c r="AD109" s="14"/>
      <c r="AE109" s="362">
        <f>ROUND(SUM(AE107+AE105+AE60),1)</f>
        <v>81825</v>
      </c>
      <c r="AF109" s="13"/>
      <c r="AG109" s="714"/>
      <c r="AH109" s="362">
        <f>ROUND(SUM(AH107+AH105+AH60),1)</f>
        <v>7221</v>
      </c>
      <c r="AI109" s="13"/>
      <c r="AJ109" s="373">
        <f>ROUND(SUM(+AH109/ABS(AE109)),3)</f>
        <v>8.7999999999999995E-2</v>
      </c>
      <c r="AK109" s="133"/>
      <c r="AL109" s="133"/>
      <c r="AM109" s="133"/>
      <c r="AN109" s="133"/>
      <c r="AO109" s="133"/>
      <c r="AP109" s="133"/>
      <c r="AQ109" s="133"/>
      <c r="AR109" s="133"/>
      <c r="AS109" s="133"/>
    </row>
    <row r="110" spans="1:45" ht="15.7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98"/>
      <c r="AG110" s="1580"/>
      <c r="AH110" s="269"/>
      <c r="AI110" s="65"/>
      <c r="AJ110" s="273"/>
    </row>
    <row r="111" spans="1:45" ht="15.7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98"/>
      <c r="AG111" s="1580"/>
      <c r="AH111" s="269"/>
      <c r="AI111" s="65"/>
      <c r="AJ111" s="273"/>
    </row>
    <row r="112" spans="1:45" ht="1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98"/>
      <c r="AG112" s="1580"/>
      <c r="AH112" s="198"/>
      <c r="AI112" s="65"/>
      <c r="AJ112" s="288"/>
    </row>
    <row r="113" spans="1:38" ht="15">
      <c r="A113" s="766"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f>+'Exhibit F'!P105+'Exhibit G State'!P89</f>
        <v>1595.0999999999967</v>
      </c>
      <c r="P113" s="198"/>
      <c r="Q113" s="198">
        <f>+'Exhibit F'!R105+'Exhibit G State'!R89</f>
        <v>2205.1000000000035</v>
      </c>
      <c r="R113" s="198"/>
      <c r="S113" s="198"/>
      <c r="T113" s="198"/>
      <c r="U113" s="198"/>
      <c r="V113" s="198"/>
      <c r="W113" s="198"/>
      <c r="X113" s="198"/>
      <c r="Y113" s="198"/>
      <c r="Z113" s="198"/>
      <c r="AA113" s="199"/>
      <c r="AB113" s="269">
        <f>ROUND(SUM(C113:Y113),1)</f>
        <v>23027.200000000001</v>
      </c>
      <c r="AC113" s="198"/>
      <c r="AD113" s="875"/>
      <c r="AE113" s="269">
        <f>+'Exhibit F'!AF105+'Exhibit G State'!AF89</f>
        <v>21932.7</v>
      </c>
      <c r="AF113" s="198"/>
      <c r="AG113" s="1580"/>
      <c r="AH113" s="198">
        <f>ROUND(SUM(AB113-AE113),1)</f>
        <v>1094.5</v>
      </c>
      <c r="AI113" s="65"/>
      <c r="AJ113" s="288">
        <f>ROUND(SUM(AH113/ABS(AE113)),3)</f>
        <v>0.05</v>
      </c>
    </row>
    <row r="114" spans="1:38" ht="15">
      <c r="A114" s="766"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f>+'Exhibit F'!P106+'Exhibit G State'!P90</f>
        <v>0.90000000000000013</v>
      </c>
      <c r="P114" s="198"/>
      <c r="Q114" s="198">
        <f>+'Exhibit F'!R106+'Exhibit G State'!R90</f>
        <v>3.1999999999999993</v>
      </c>
      <c r="R114" s="198"/>
      <c r="S114" s="198"/>
      <c r="T114" s="198"/>
      <c r="U114" s="198"/>
      <c r="V114" s="198"/>
      <c r="W114" s="198"/>
      <c r="X114" s="198"/>
      <c r="Y114" s="198"/>
      <c r="Z114" s="198"/>
      <c r="AA114" s="199"/>
      <c r="AB114" s="269">
        <f t="shared" ref="AB114:AB121" si="23">ROUND(SUM(C114:Y114),1)</f>
        <v>8.6999999999999993</v>
      </c>
      <c r="AC114" s="198"/>
      <c r="AD114" s="875"/>
      <c r="AE114" s="269">
        <f>+'Exhibit F'!AF106+'Exhibit G State'!AF90</f>
        <v>8.6999999999999993</v>
      </c>
      <c r="AF114" s="198"/>
      <c r="AG114" s="1580"/>
      <c r="AH114" s="198">
        <f t="shared" ref="AH114:AH121" si="24">ROUND(SUM(AB114-AE114),1)</f>
        <v>0</v>
      </c>
      <c r="AI114" s="65"/>
      <c r="AJ114" s="614">
        <f>ROUND(IF(AE114=0,1,AH114/ABS(AE114)),3)</f>
        <v>0</v>
      </c>
    </row>
    <row r="115" spans="1:38" ht="15">
      <c r="A115" s="766"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f>+'Exhibit F'!P107+'Exhibit G State'!P91</f>
        <v>52.199999999999775</v>
      </c>
      <c r="P115" s="198"/>
      <c r="Q115" s="198">
        <f>+'Exhibit F'!R107+'Exhibit G State'!R91</f>
        <v>30.400000000000077</v>
      </c>
      <c r="R115" s="198"/>
      <c r="S115" s="198"/>
      <c r="T115" s="198"/>
      <c r="U115" s="198"/>
      <c r="V115" s="198"/>
      <c r="W115" s="198"/>
      <c r="X115" s="198"/>
      <c r="Y115" s="198"/>
      <c r="Z115" s="198"/>
      <c r="AA115" s="199"/>
      <c r="AB115" s="269">
        <f t="shared" si="23"/>
        <v>1010.2</v>
      </c>
      <c r="AC115" s="198"/>
      <c r="AD115" s="875"/>
      <c r="AE115" s="269">
        <f>+'Exhibit F'!AF107+'Exhibit G State'!AF91</f>
        <v>970.3</v>
      </c>
      <c r="AF115" s="198"/>
      <c r="AG115" s="1580"/>
      <c r="AH115" s="198">
        <f t="shared" si="24"/>
        <v>39.9</v>
      </c>
      <c r="AI115" s="65"/>
      <c r="AJ115" s="288">
        <f>ROUND(SUM(AH115/ABS(AE115)),3)</f>
        <v>4.1000000000000002E-2</v>
      </c>
    </row>
    <row r="116" spans="1:38" ht="15">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98"/>
      <c r="AG116" s="1580"/>
      <c r="AH116" s="198" t="s">
        <v>103</v>
      </c>
      <c r="AI116" s="65"/>
      <c r="AJ116" s="288"/>
    </row>
    <row r="117" spans="1:38" ht="15">
      <c r="A117" s="767"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f>+'Exhibit F'!P109+'Exhibit G State'!P93</f>
        <v>3841.0999999999976</v>
      </c>
      <c r="P117" s="198"/>
      <c r="Q117" s="198">
        <f>+'Exhibit F'!R109+'Exhibit G State'!R93</f>
        <v>3542.3999999999996</v>
      </c>
      <c r="R117" s="198"/>
      <c r="S117" s="198"/>
      <c r="T117" s="198"/>
      <c r="U117" s="198"/>
      <c r="V117" s="198"/>
      <c r="W117" s="198"/>
      <c r="X117" s="198"/>
      <c r="Y117" s="198"/>
      <c r="Z117" s="198"/>
      <c r="AA117" s="199"/>
      <c r="AB117" s="269">
        <f t="shared" si="23"/>
        <v>27803.7</v>
      </c>
      <c r="AC117" s="198"/>
      <c r="AD117" s="875"/>
      <c r="AE117" s="269">
        <f>+'Exhibit F'!AF109+'Exhibit G State'!AF93</f>
        <v>24814</v>
      </c>
      <c r="AF117" s="198"/>
      <c r="AG117" s="1580"/>
      <c r="AH117" s="198">
        <f t="shared" si="24"/>
        <v>2989.7</v>
      </c>
      <c r="AI117" s="65"/>
      <c r="AJ117" s="288">
        <f t="shared" ref="AJ117:AJ123" si="25">ROUND(SUM(AH117/ABS(AE117)),3)</f>
        <v>0.12</v>
      </c>
    </row>
    <row r="118" spans="1:38" ht="15">
      <c r="A118" s="766"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f>+'Exhibit F'!P110+'Exhibit G State'!P94</f>
        <v>565.89999999999986</v>
      </c>
      <c r="P118" s="198"/>
      <c r="Q118" s="198">
        <f>+'Exhibit F'!R110+'Exhibit G State'!R94</f>
        <v>374.00000000000011</v>
      </c>
      <c r="R118" s="198"/>
      <c r="S118" s="198"/>
      <c r="T118" s="198"/>
      <c r="U118" s="198"/>
      <c r="V118" s="198"/>
      <c r="W118" s="198"/>
      <c r="X118" s="198"/>
      <c r="Y118" s="198"/>
      <c r="Z118" s="198"/>
      <c r="AA118" s="199"/>
      <c r="AB118" s="269">
        <f t="shared" si="23"/>
        <v>3923.8</v>
      </c>
      <c r="AC118" s="1232"/>
      <c r="AD118" s="198"/>
      <c r="AE118" s="269">
        <f>+'Exhibit F'!AF110+'Exhibit G State'!AF94</f>
        <v>3202.2</v>
      </c>
      <c r="AF118" s="198"/>
      <c r="AG118" s="1580"/>
      <c r="AH118" s="198">
        <f t="shared" si="24"/>
        <v>721.6</v>
      </c>
      <c r="AI118" s="65"/>
      <c r="AJ118" s="288">
        <f t="shared" si="25"/>
        <v>0.22500000000000001</v>
      </c>
    </row>
    <row r="119" spans="1:38" ht="15">
      <c r="A119" s="766"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f>+'Exhibit F'!P111+'Exhibit G State'!P95</f>
        <v>106.09999999999995</v>
      </c>
      <c r="P119" s="198"/>
      <c r="Q119" s="198">
        <f>+'Exhibit F'!R111+'Exhibit G State'!R95</f>
        <v>92.300000000000054</v>
      </c>
      <c r="R119" s="198"/>
      <c r="S119" s="198"/>
      <c r="T119" s="198"/>
      <c r="U119" s="198"/>
      <c r="V119" s="198"/>
      <c r="W119" s="198"/>
      <c r="X119" s="198"/>
      <c r="Y119" s="198"/>
      <c r="Z119" s="198"/>
      <c r="AA119" s="199"/>
      <c r="AB119" s="269">
        <f t="shared" si="23"/>
        <v>629.1</v>
      </c>
      <c r="AC119" s="1248"/>
      <c r="AD119" s="875"/>
      <c r="AE119" s="269">
        <f>+'Exhibit F'!AF111+'Exhibit G State'!AF95</f>
        <v>589.09999999999991</v>
      </c>
      <c r="AF119" s="198"/>
      <c r="AG119" s="1580"/>
      <c r="AH119" s="198">
        <f t="shared" si="24"/>
        <v>40</v>
      </c>
      <c r="AI119" s="65"/>
      <c r="AJ119" s="288">
        <f t="shared" si="25"/>
        <v>6.8000000000000005E-2</v>
      </c>
    </row>
    <row r="120" spans="1:38" ht="15">
      <c r="A120" s="766"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f>+'Exhibit F'!P112+'Exhibit G State'!P96</f>
        <v>762.5999999999998</v>
      </c>
      <c r="P120" s="198"/>
      <c r="Q120" s="198">
        <f>+'Exhibit F'!R112+'Exhibit G State'!R96</f>
        <v>1143.6999999999998</v>
      </c>
      <c r="R120" s="198"/>
      <c r="S120" s="198"/>
      <c r="T120" s="198"/>
      <c r="U120" s="198"/>
      <c r="V120" s="198"/>
      <c r="W120" s="198"/>
      <c r="X120" s="198"/>
      <c r="Y120" s="198"/>
      <c r="Z120" s="198"/>
      <c r="AA120" s="199"/>
      <c r="AB120" s="269">
        <f t="shared" si="23"/>
        <v>3455.3</v>
      </c>
      <c r="AC120" s="1248"/>
      <c r="AD120" s="875"/>
      <c r="AE120" s="269">
        <f>+'Exhibit F'!AF112+'Exhibit G State'!AF96</f>
        <v>3250.1</v>
      </c>
      <c r="AF120" s="198"/>
      <c r="AG120" s="1580"/>
      <c r="AH120" s="198">
        <f t="shared" si="24"/>
        <v>205.2</v>
      </c>
      <c r="AI120" s="65"/>
      <c r="AJ120" s="288">
        <f t="shared" si="25"/>
        <v>6.3E-2</v>
      </c>
    </row>
    <row r="121" spans="1:38" ht="15">
      <c r="A121" s="766"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f>+'Exhibit F'!P113+'Exhibit G State'!P97</f>
        <v>27.400000000000031</v>
      </c>
      <c r="P121" s="198"/>
      <c r="Q121" s="198">
        <f>+'Exhibit F'!R113+'Exhibit G State'!R97</f>
        <v>43.899999999999935</v>
      </c>
      <c r="R121" s="198"/>
      <c r="S121" s="198"/>
      <c r="T121" s="198"/>
      <c r="U121" s="198"/>
      <c r="V121" s="198"/>
      <c r="W121" s="198"/>
      <c r="X121" s="198"/>
      <c r="Y121" s="198"/>
      <c r="Z121" s="198"/>
      <c r="AA121" s="199"/>
      <c r="AB121" s="269">
        <f t="shared" si="23"/>
        <v>218.1</v>
      </c>
      <c r="AC121" s="1248"/>
      <c r="AD121" s="875"/>
      <c r="AE121" s="269">
        <f>+'Exhibit F'!AF113+'Exhibit G State'!AF97</f>
        <v>199.2</v>
      </c>
      <c r="AF121" s="198"/>
      <c r="AG121" s="1580"/>
      <c r="AH121" s="198">
        <f t="shared" si="24"/>
        <v>18.899999999999999</v>
      </c>
      <c r="AI121" s="65"/>
      <c r="AJ121" s="288">
        <f t="shared" si="25"/>
        <v>9.5000000000000001E-2</v>
      </c>
    </row>
    <row r="122" spans="1:38" ht="15">
      <c r="A122" s="766"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f>+'Exhibit F'!P114+'Exhibit G State'!P98</f>
        <v>442.49999999999989</v>
      </c>
      <c r="P122" s="198"/>
      <c r="Q122" s="198">
        <f>+'Exhibit F'!R114+'Exhibit G State'!R98</f>
        <v>797.30000000000018</v>
      </c>
      <c r="R122" s="198"/>
      <c r="S122" s="198"/>
      <c r="T122" s="198"/>
      <c r="U122" s="198"/>
      <c r="V122" s="198"/>
      <c r="W122" s="198"/>
      <c r="X122" s="198"/>
      <c r="Y122" s="198"/>
      <c r="Z122" s="198"/>
      <c r="AA122" s="199"/>
      <c r="AB122" s="198">
        <f>ROUND(SUM(C122:Y122),1)</f>
        <v>3846.2</v>
      </c>
      <c r="AC122" s="1248"/>
      <c r="AD122" s="875"/>
      <c r="AE122" s="269">
        <f>+'Exhibit F'!AF114+'Exhibit G State'!AF98</f>
        <v>3676.2999999999997</v>
      </c>
      <c r="AF122" s="198"/>
      <c r="AG122" s="1580"/>
      <c r="AH122" s="198">
        <f>ROUND(SUM(AB122-AE122),1)</f>
        <v>169.9</v>
      </c>
      <c r="AI122" s="65"/>
      <c r="AJ122" s="288">
        <f t="shared" si="25"/>
        <v>4.5999999999999999E-2</v>
      </c>
    </row>
    <row r="123" spans="1:38" ht="15.75">
      <c r="A123" s="65" t="s">
        <v>134</v>
      </c>
      <c r="B123" s="65"/>
      <c r="C123" s="1036">
        <f>ROUND(SUM(C113:C122),1)</f>
        <v>6752</v>
      </c>
      <c r="D123" s="201"/>
      <c r="E123" s="1036">
        <f>ROUND(SUM(E113:E122),1)</f>
        <v>10524.4</v>
      </c>
      <c r="F123" s="201"/>
      <c r="G123" s="1036">
        <f>ROUND(SUM(G113:G122),1)</f>
        <v>8144.6</v>
      </c>
      <c r="H123" s="201"/>
      <c r="I123" s="1036">
        <f>ROUND(SUM(I113:I122),1)</f>
        <v>6213.5</v>
      </c>
      <c r="J123" s="201"/>
      <c r="K123" s="1036">
        <f>ROUND(SUM(K113:K122),1)</f>
        <v>5761.5</v>
      </c>
      <c r="L123" s="201"/>
      <c r="M123" s="1036">
        <f>ROUND(SUM(M113:M122),1)</f>
        <v>10900.2</v>
      </c>
      <c r="N123" s="201"/>
      <c r="O123" s="1036">
        <f>ROUND(SUM(O113:O122),1)</f>
        <v>7393.8</v>
      </c>
      <c r="P123" s="201"/>
      <c r="Q123" s="1036">
        <f>ROUND(SUM(Q113:Q122),1)</f>
        <v>8232.2999999999993</v>
      </c>
      <c r="R123" s="201"/>
      <c r="S123" s="1036">
        <f>ROUND(SUM(S113:S122),1)</f>
        <v>0</v>
      </c>
      <c r="T123" s="201"/>
      <c r="U123" s="1036">
        <f>ROUND(SUM(U113:U122),1)</f>
        <v>0</v>
      </c>
      <c r="V123" s="201"/>
      <c r="W123" s="1036">
        <f>ROUND(SUM(W113:W122),1)</f>
        <v>0</v>
      </c>
      <c r="X123" s="201"/>
      <c r="Y123" s="1036">
        <f>ROUND(SUM(Y113:Y122),1)</f>
        <v>0</v>
      </c>
      <c r="Z123" s="201"/>
      <c r="AA123" s="1123"/>
      <c r="AB123" s="1036">
        <f>ROUND(SUM(AB113:AB122),1)</f>
        <v>63922.3</v>
      </c>
      <c r="AC123" s="1249"/>
      <c r="AD123" s="878"/>
      <c r="AE123" s="71">
        <f>ROUND(SUM(AE113:AE122),1)</f>
        <v>58642.6</v>
      </c>
      <c r="AF123" s="201"/>
      <c r="AG123" s="1581"/>
      <c r="AH123" s="71">
        <f>ROUND(SUM(AH113:AH122),1)</f>
        <v>5279.7</v>
      </c>
      <c r="AI123" s="191"/>
      <c r="AJ123" s="422">
        <f t="shared" si="25"/>
        <v>0.09</v>
      </c>
      <c r="AK123" s="133"/>
      <c r="AL123" s="133"/>
    </row>
    <row r="124" spans="1:38" ht="1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98"/>
      <c r="AG124" s="1580"/>
      <c r="AH124" s="269"/>
      <c r="AI124" s="65"/>
      <c r="AJ124" s="273"/>
    </row>
    <row r="125" spans="1:38" ht="1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f>+'Exhibit F'!P117+'Exhibit G State'!P101</f>
        <v>1642.7999999999988</v>
      </c>
      <c r="P125" s="198"/>
      <c r="Q125" s="198">
        <f>+'Exhibit F'!R117+'Exhibit G State'!R101</f>
        <v>1447.8000000000006</v>
      </c>
      <c r="R125" s="198"/>
      <c r="S125" s="198"/>
      <c r="T125" s="198"/>
      <c r="U125" s="198"/>
      <c r="V125" s="198"/>
      <c r="W125" s="198"/>
      <c r="X125" s="198"/>
      <c r="Y125" s="198"/>
      <c r="Z125" s="198"/>
      <c r="AA125" s="199"/>
      <c r="AB125" s="198">
        <f>ROUND(SUM(C125:Y125),1)</f>
        <v>12258.5</v>
      </c>
      <c r="AC125" s="198"/>
      <c r="AD125" s="875"/>
      <c r="AE125" s="269">
        <f>+'Exhibit F'!AF117+'Exhibit G State'!AF101</f>
        <v>11271.6</v>
      </c>
      <c r="AF125" s="198"/>
      <c r="AG125" s="1580"/>
      <c r="AH125" s="198">
        <f>ROUND(SUM(AB125-AE125),1)</f>
        <v>986.9</v>
      </c>
      <c r="AI125" s="65"/>
      <c r="AJ125" s="288">
        <f>ROUND(SUM(AH125/ABS(AE125)),3)</f>
        <v>8.7999999999999995E-2</v>
      </c>
    </row>
    <row r="126" spans="1:38" ht="1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f>+'Exhibit F'!P118+'Exhibit G State'!P102+'Exhibit H'!N59</f>
        <v>626.50000000000045</v>
      </c>
      <c r="P126" s="198"/>
      <c r="Q126" s="198">
        <f>+'Exhibit F'!R118+'Exhibit G State'!R102+'Exhibit H'!P59</f>
        <v>567.09999999999991</v>
      </c>
      <c r="R126" s="198"/>
      <c r="S126" s="198"/>
      <c r="T126" s="198"/>
      <c r="U126" s="198"/>
      <c r="V126" s="198"/>
      <c r="W126" s="198"/>
      <c r="X126" s="198"/>
      <c r="Y126" s="198"/>
      <c r="Z126" s="198"/>
      <c r="AA126" s="199"/>
      <c r="AB126" s="198">
        <f>ROUND(SUM(C126:Y126),1)</f>
        <v>4751.2</v>
      </c>
      <c r="AC126" s="198"/>
      <c r="AD126" s="875"/>
      <c r="AE126" s="269">
        <f>+'Exhibit F'!AF118+'Exhibit G State'!AF102+'Exhibit H'!AD59</f>
        <v>4045</v>
      </c>
      <c r="AF126" s="198"/>
      <c r="AG126" s="1580"/>
      <c r="AH126" s="198">
        <f>ROUND(SUM(AB126-AE126),1)</f>
        <v>706.2</v>
      </c>
      <c r="AI126" s="65"/>
      <c r="AJ126" s="288">
        <f>ROUND(SUM(AH126/ABS(AE126)),3)</f>
        <v>0.17499999999999999</v>
      </c>
    </row>
    <row r="127" spans="1:38" ht="1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f>+'Exhibit F'!P119+'Exhibit G State'!P103</f>
        <v>748.69999999999959</v>
      </c>
      <c r="P127" s="198"/>
      <c r="Q127" s="198">
        <f>+'Exhibit F'!R119+'Exhibit G State'!R103</f>
        <v>741.59999999999991</v>
      </c>
      <c r="R127" s="198"/>
      <c r="S127" s="198"/>
      <c r="T127" s="198"/>
      <c r="U127" s="198"/>
      <c r="V127" s="198"/>
      <c r="W127" s="198"/>
      <c r="X127" s="198"/>
      <c r="Y127" s="198"/>
      <c r="Z127" s="198"/>
      <c r="AA127" s="199"/>
      <c r="AB127" s="198">
        <f>ROUND(SUM(C127:Y127),1)</f>
        <v>5996.8</v>
      </c>
      <c r="AC127" s="198"/>
      <c r="AD127" s="875"/>
      <c r="AE127" s="269">
        <f>+'Exhibit F'!AF119+'Exhibit G State'!AF103</f>
        <v>5419.1</v>
      </c>
      <c r="AF127" s="198"/>
      <c r="AG127" s="1580"/>
      <c r="AH127" s="198">
        <f>ROUND(SUM(AB127-AE127),1)</f>
        <v>577.70000000000005</v>
      </c>
      <c r="AI127" s="65"/>
      <c r="AJ127" s="288">
        <f>ROUND(SUM(AH127/ABS(AE127)),3)</f>
        <v>0.107</v>
      </c>
    </row>
    <row r="128" spans="1:38" ht="1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98"/>
      <c r="AG128" s="1580"/>
      <c r="AH128" s="198"/>
      <c r="AI128" s="65"/>
      <c r="AJ128" s="288"/>
    </row>
    <row r="129" spans="1:59" ht="15">
      <c r="A129" s="65" t="s">
        <v>1473</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f>+'Exhibit H'!N61</f>
        <v>0.10000000000004139</v>
      </c>
      <c r="P129" s="198"/>
      <c r="Q129" s="198">
        <f>+'Exhibit H'!P61</f>
        <v>6.0000000000000044</v>
      </c>
      <c r="R129" s="198"/>
      <c r="S129" s="198"/>
      <c r="T129" s="198"/>
      <c r="U129" s="198"/>
      <c r="V129" s="198"/>
      <c r="W129" s="198"/>
      <c r="X129" s="198"/>
      <c r="Y129" s="198"/>
      <c r="Z129" s="198"/>
      <c r="AA129" s="199"/>
      <c r="AB129" s="198">
        <f>ROUND(SUM(C129:Y129),1)</f>
        <v>295</v>
      </c>
      <c r="AC129" s="198"/>
      <c r="AD129" s="875"/>
      <c r="AE129" s="269">
        <f>+'Exhibit H'!AD61</f>
        <v>348.3</v>
      </c>
      <c r="AF129" s="198"/>
      <c r="AG129" s="1580"/>
      <c r="AH129" s="198">
        <f>ROUND(SUM(AB129-AE129),1)</f>
        <v>-53.3</v>
      </c>
      <c r="AI129" s="65"/>
      <c r="AJ129" s="288">
        <f>ROUND(SUM(AH129/ABS(AE129)),3)</f>
        <v>-0.153</v>
      </c>
    </row>
    <row r="130" spans="1:59" ht="1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f>'Exhibit G State'!P104</f>
        <v>0</v>
      </c>
      <c r="P130" s="198"/>
      <c r="Q130" s="198">
        <f>'Exhibit G State'!R104</f>
        <v>0</v>
      </c>
      <c r="R130" s="198"/>
      <c r="S130" s="198"/>
      <c r="T130" s="198"/>
      <c r="U130" s="198"/>
      <c r="V130" s="198"/>
      <c r="W130" s="198"/>
      <c r="X130" s="198"/>
      <c r="Y130" s="198"/>
      <c r="Z130" s="198"/>
      <c r="AA130" s="199"/>
      <c r="AB130" s="198">
        <f>ROUND(SUM(C130:Y130),1)</f>
        <v>0</v>
      </c>
      <c r="AC130" s="198"/>
      <c r="AD130" s="875"/>
      <c r="AE130" s="269">
        <f>+'Exhibit G'!AH106</f>
        <v>0</v>
      </c>
      <c r="AF130" s="198"/>
      <c r="AG130" s="1580"/>
      <c r="AH130" s="198">
        <f>ROUND(SUM(AB130-AE130),1)</f>
        <v>0</v>
      </c>
      <c r="AI130" s="65"/>
      <c r="AJ130" s="271">
        <f>ROUND(IF(AE130=0,0,AH130/ABS(AE130)),3)</f>
        <v>0</v>
      </c>
    </row>
    <row r="131" spans="1:59" ht="16.5" customHeight="1">
      <c r="A131" s="65"/>
      <c r="B131" s="65"/>
      <c r="C131" s="910"/>
      <c r="D131" s="198"/>
      <c r="E131" s="910"/>
      <c r="F131" s="198"/>
      <c r="G131" s="910"/>
      <c r="H131" s="198"/>
      <c r="I131" s="910"/>
      <c r="J131" s="198"/>
      <c r="K131" s="910"/>
      <c r="L131" s="198"/>
      <c r="M131" s="910"/>
      <c r="N131" s="198"/>
      <c r="O131" s="910"/>
      <c r="P131" s="198"/>
      <c r="Q131" s="910"/>
      <c r="R131" s="198"/>
      <c r="S131" s="910"/>
      <c r="T131" s="198"/>
      <c r="U131" s="910"/>
      <c r="V131" s="198"/>
      <c r="W131" s="910"/>
      <c r="X131" s="198"/>
      <c r="Y131" s="910"/>
      <c r="Z131" s="198"/>
      <c r="AA131" s="199"/>
      <c r="AB131" s="910"/>
      <c r="AC131" s="198"/>
      <c r="AD131" s="875"/>
      <c r="AE131" s="910"/>
      <c r="AF131" s="198"/>
      <c r="AG131" s="1580"/>
      <c r="AH131" s="910"/>
      <c r="AI131" s="65"/>
      <c r="AJ131" s="911"/>
    </row>
    <row r="132" spans="1:59" ht="16.5" customHeight="1">
      <c r="A132" s="40" t="s">
        <v>162</v>
      </c>
      <c r="B132" s="65"/>
      <c r="C132" s="768">
        <f>ROUND(SUM(C123:C130),1)</f>
        <v>9715.7000000000007</v>
      </c>
      <c r="D132" s="201"/>
      <c r="E132" s="768">
        <f>ROUND(SUM(E123:E130),1)</f>
        <v>13501.9</v>
      </c>
      <c r="F132" s="201"/>
      <c r="G132" s="768">
        <f>ROUND(SUM(G123:G130),1)</f>
        <v>10691.2</v>
      </c>
      <c r="H132" s="201"/>
      <c r="I132" s="768">
        <f>ROUND(SUM(I123:I130),1)</f>
        <v>9581.4</v>
      </c>
      <c r="J132" s="201"/>
      <c r="K132" s="768">
        <f>ROUND(SUM(K123:K130),1)</f>
        <v>8414.7999999999993</v>
      </c>
      <c r="L132" s="201"/>
      <c r="M132" s="768">
        <f>ROUND(SUM(M123:M130),1)</f>
        <v>13912.1</v>
      </c>
      <c r="N132" s="201"/>
      <c r="O132" s="768">
        <f>ROUND(SUM(O123:O130),1)</f>
        <v>10411.9</v>
      </c>
      <c r="P132" s="201"/>
      <c r="Q132" s="768">
        <f>ROUND(SUM(Q123:Q130),1)</f>
        <v>10994.8</v>
      </c>
      <c r="R132" s="201"/>
      <c r="S132" s="768">
        <f>ROUND(SUM(S123:S130),1)</f>
        <v>0</v>
      </c>
      <c r="T132" s="201"/>
      <c r="U132" s="768">
        <f>ROUND(SUM(U123:U130),1)</f>
        <v>0</v>
      </c>
      <c r="V132" s="201"/>
      <c r="W132" s="768">
        <f>ROUND(SUM(W123:W130),1)</f>
        <v>0</v>
      </c>
      <c r="X132" s="201"/>
      <c r="Y132" s="768">
        <f>ROUND(SUM(Y123:Y130),1)</f>
        <v>0</v>
      </c>
      <c r="Z132" s="201"/>
      <c r="AA132" s="1123"/>
      <c r="AB132" s="768">
        <f>ROUND(SUM(AB123:AB130),1)</f>
        <v>87223.8</v>
      </c>
      <c r="AC132" s="201"/>
      <c r="AD132" s="878"/>
      <c r="AE132" s="362">
        <f>ROUND(SUM(AE123:AE131),1)</f>
        <v>79726.600000000006</v>
      </c>
      <c r="AF132" s="201"/>
      <c r="AG132" s="1581"/>
      <c r="AH132" s="362">
        <f>ROUND(SUM(AH123:AH131),1)</f>
        <v>7497.2</v>
      </c>
      <c r="AI132" s="191"/>
      <c r="AJ132" s="373">
        <f>ROUND(SUM(AH132/ABS(AE132)),3)</f>
        <v>9.4E-2</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98"/>
      <c r="AG133" s="1580"/>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98"/>
      <c r="AG134" s="1580"/>
      <c r="AH134" s="269"/>
      <c r="AI134" s="65"/>
      <c r="AJ134" s="273"/>
    </row>
    <row r="135" spans="1:59" ht="16.5" customHeight="1">
      <c r="A135" s="40" t="s">
        <v>144</v>
      </c>
      <c r="B135" s="65"/>
      <c r="C135" s="768">
        <f>ROUND(SUM(C109-C132),1)</f>
        <v>5739.9</v>
      </c>
      <c r="D135" s="201"/>
      <c r="E135" s="768">
        <f>ROUND(SUM(E109-E132),1)</f>
        <v>-5162.8</v>
      </c>
      <c r="F135" s="201"/>
      <c r="G135" s="768">
        <f>ROUND(SUM(G109-G132),1)</f>
        <v>5285.5</v>
      </c>
      <c r="H135" s="201"/>
      <c r="I135" s="768">
        <f>ROUND(SUM(I109-I132),1)</f>
        <v>-570.9</v>
      </c>
      <c r="J135" s="201"/>
      <c r="K135" s="768">
        <f>ROUND(SUM(K109-K132),1)</f>
        <v>1093.8</v>
      </c>
      <c r="L135" s="201"/>
      <c r="M135" s="768">
        <f>ROUND(SUM(M109-M132),1)</f>
        <v>1974.9</v>
      </c>
      <c r="N135" s="201"/>
      <c r="O135" s="768">
        <f>ROUND(SUM(O109-O132),1)</f>
        <v>-3797.1</v>
      </c>
      <c r="P135" s="201"/>
      <c r="Q135" s="768">
        <f>ROUND(SUM(Q109-Q132),1)</f>
        <v>-2741.1</v>
      </c>
      <c r="R135" s="201"/>
      <c r="S135" s="768">
        <f>ROUND(SUM(S109-S132),1)</f>
        <v>0</v>
      </c>
      <c r="T135" s="201"/>
      <c r="U135" s="768">
        <f>ROUND(SUM(U109-U132),1)</f>
        <v>0</v>
      </c>
      <c r="V135" s="201"/>
      <c r="W135" s="768">
        <f>ROUND(SUM(W109-W132),1)</f>
        <v>0</v>
      </c>
      <c r="X135" s="201"/>
      <c r="Y135" s="768">
        <f>ROUND(SUM(Y109-Y132),1)</f>
        <v>0</v>
      </c>
      <c r="Z135" s="201"/>
      <c r="AA135" s="1123"/>
      <c r="AB135" s="768">
        <f>ROUND(SUM(AB109-AB132),1)</f>
        <v>1822.2</v>
      </c>
      <c r="AC135" s="201"/>
      <c r="AD135" s="878"/>
      <c r="AE135" s="768">
        <f>ROUND(SUM(AE109-AE132),1)</f>
        <v>2098.4</v>
      </c>
      <c r="AF135" s="201"/>
      <c r="AG135" s="1581"/>
      <c r="AH135" s="883">
        <f>ROUND(SUM(AB135-AE135),1)</f>
        <v>-276.2</v>
      </c>
      <c r="AI135" s="191"/>
      <c r="AJ135" s="618">
        <f>ROUND(SUM(AH135/ABS(AE135)),3)</f>
        <v>-0.13200000000000001</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98"/>
      <c r="AG136" s="1580"/>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2"/>
      <c r="AA137" s="199"/>
      <c r="AB137" s="198"/>
      <c r="AC137" s="1232"/>
      <c r="AD137" s="198"/>
      <c r="AE137" s="198"/>
      <c r="AF137" s="198"/>
      <c r="AG137" s="1580"/>
      <c r="AH137" s="269"/>
      <c r="AI137" s="65"/>
      <c r="AJ137" s="273"/>
    </row>
    <row r="138" spans="1:59" ht="16.5" customHeight="1">
      <c r="A138" s="65" t="s">
        <v>280</v>
      </c>
      <c r="B138" s="65"/>
      <c r="C138" s="689">
        <f>+'Exhibit F'!D128+'Exhibit F'!D129+'Exhibit F'!D130+'Exhibit F'!D131+'Exhibit G State'!D112+'Exhibit H'!B69</f>
        <v>6543.5</v>
      </c>
      <c r="D138" s="689"/>
      <c r="E138" s="689">
        <f>+'Exhibit F'!F128+'Exhibit F'!F129+'Exhibit F'!F130+'Exhibit F'!F131+'Exhibit G State'!F112+'Exhibit H'!D69</f>
        <v>3613.0000000000014</v>
      </c>
      <c r="F138" s="689"/>
      <c r="G138" s="689">
        <f>'Exhibit F'!H128+'Exhibit F'!H129+'Exhibit F'!H130+'Exhibit F'!H131+'Exhibit G State'!H112+'Exhibit H'!F69</f>
        <v>6722.2999999999984</v>
      </c>
      <c r="H138" s="198"/>
      <c r="I138" s="689">
        <f>'Exhibit F'!J128+'Exhibit F'!J129+'Exhibit F'!J130+'Exhibit F'!J131+'Exhibit G State'!J112+'Exhibit H'!H69</f>
        <v>4217.7000000000016</v>
      </c>
      <c r="J138" s="198"/>
      <c r="K138" s="689">
        <f>'Exhibit F'!L128+'Exhibit F'!L129+'Exhibit F'!L130+'Exhibit F'!L131+'Exhibit G State'!L112+'Exhibit H'!J69</f>
        <v>4059.9</v>
      </c>
      <c r="L138" s="198"/>
      <c r="M138" s="689">
        <f>'Exhibit F'!N128+'Exhibit F'!N129+'Exhibit F'!N130+'Exhibit F'!N131+'Exhibit G State'!N112+'Exhibit H'!L69</f>
        <v>6319.4000000000005</v>
      </c>
      <c r="N138" s="198"/>
      <c r="O138" s="689">
        <f>'Exhibit F'!P128+'Exhibit F'!P129+'Exhibit F'!P130+'Exhibit F'!P131+'Exhibit G State'!P112+'Exhibit H'!N69</f>
        <v>1980.400000000001</v>
      </c>
      <c r="P138" s="198"/>
      <c r="Q138" s="689">
        <f>'Exhibit F'!R128+'Exhibit F'!R129+'Exhibit F'!R130+'Exhibit F'!R131+'Exhibit G State'!R112+'Exhibit H'!P69</f>
        <v>2815.9000000000005</v>
      </c>
      <c r="R138" s="689"/>
      <c r="S138" s="689"/>
      <c r="T138" s="689"/>
      <c r="U138" s="689"/>
      <c r="V138" s="689"/>
      <c r="W138" s="689"/>
      <c r="X138" s="689"/>
      <c r="Y138" s="689"/>
      <c r="Z138" s="198"/>
      <c r="AA138" s="199"/>
      <c r="AB138" s="198">
        <f>ROUND(SUM(C138:Y138),1)</f>
        <v>36272.1</v>
      </c>
      <c r="AC138" s="198"/>
      <c r="AD138" s="199"/>
      <c r="AE138" s="198">
        <f>'Exhibit F'!AF128+'Exhibit F'!AF129+'Exhibit F'!AF130+'Exhibit F'!AF131+'Exhibit G State'!AF112+'Exhibit H'!AD69</f>
        <v>32695.800000000003</v>
      </c>
      <c r="AF138" s="198"/>
      <c r="AG138" s="1580"/>
      <c r="AH138" s="198">
        <f>ROUND(SUM(AB138-AE138),1)</f>
        <v>3576.3</v>
      </c>
      <c r="AI138" s="65"/>
      <c r="AJ138" s="288">
        <f>ROUND(SUM(AH138/ABS(AE138)),3)</f>
        <v>0.109</v>
      </c>
    </row>
    <row r="139" spans="1:59" ht="16.5" customHeight="1">
      <c r="A139" s="65" t="s">
        <v>281</v>
      </c>
      <c r="C139" s="769">
        <f>+'Exhibit F'!D132+'Exhibit F'!D133+'Exhibit F'!D134+'Exhibit F'!D135+'Exhibit G State'!D113+'Exhibit H'!B70</f>
        <v>-6754.6</v>
      </c>
      <c r="D139" s="689"/>
      <c r="E139" s="769">
        <f>+'Exhibit F'!F132+'Exhibit F'!F133+'Exhibit F'!F134+'Exhibit F'!F135+'Exhibit G State'!F113+'Exhibit H'!D70</f>
        <v>-3857.6000000000004</v>
      </c>
      <c r="F139" s="689"/>
      <c r="G139" s="769">
        <f>'Exhibit F'!H132+'Exhibit F'!H133+'Exhibit F'!H134+'Exhibit F'!H135+'Exhibit G State'!H113+'Exhibit H'!F70</f>
        <v>-13295.5</v>
      </c>
      <c r="H139" s="11"/>
      <c r="I139" s="769">
        <f>'Exhibit F'!J132+'Exhibit F'!J133+'Exhibit F'!J134+'Exhibit F'!J135+'Exhibit G State'!J113+'Exhibit H'!H70</f>
        <v>-3509.9000000000015</v>
      </c>
      <c r="J139" s="11"/>
      <c r="K139" s="769">
        <f>'Exhibit F'!L132+'Exhibit F'!L133+'Exhibit F'!L134+'Exhibit F'!L135+'Exhibit G State'!L113+'Exhibit H'!J70</f>
        <v>-4154.9999999999991</v>
      </c>
      <c r="L139" s="11"/>
      <c r="M139" s="769">
        <f>'Exhibit F'!N132+'Exhibit F'!N133+'Exhibit F'!N134+'Exhibit F'!N135+'Exhibit G State'!N113+'Exhibit H'!L70</f>
        <v>-6991.5999999999985</v>
      </c>
      <c r="N139" s="11"/>
      <c r="O139" s="769">
        <f>'Exhibit F'!P132+'Exhibit F'!P133+'Exhibit F'!P134+'Exhibit F'!P135+'Exhibit G State'!P113+'Exhibit H'!N70</f>
        <v>-2688.4999999999982</v>
      </c>
      <c r="P139" s="11"/>
      <c r="Q139" s="769">
        <f>'Exhibit F'!R132+'Exhibit F'!R133+'Exhibit F'!R134+'Exhibit F'!R135+'Exhibit G State'!R113+'Exhibit H'!P70</f>
        <v>-3636.8000000000015</v>
      </c>
      <c r="R139" s="689"/>
      <c r="S139" s="769"/>
      <c r="T139" s="689"/>
      <c r="U139" s="769"/>
      <c r="V139" s="689"/>
      <c r="W139" s="769"/>
      <c r="X139" s="689"/>
      <c r="Y139" s="769"/>
      <c r="Z139" s="11"/>
      <c r="AA139" s="205"/>
      <c r="AB139" s="200">
        <f>ROUND(SUM(C139:Y139),1)</f>
        <v>-44889.5</v>
      </c>
      <c r="AC139" s="11"/>
      <c r="AD139" s="205"/>
      <c r="AE139" s="200">
        <f>'Exhibit F'!AF132+'Exhibit F'!AF133+'Exhibit F'!AF134+'Exhibit F'!AF135+'Exhibit G State'!AF113+'Exhibit H'!AD70</f>
        <v>-35128.199999999997</v>
      </c>
      <c r="AF139" s="11"/>
      <c r="AG139" s="1582"/>
      <c r="AH139" s="200">
        <f>ROUND(SUM(-AB139+AE139),1)</f>
        <v>9761.2999999999993</v>
      </c>
      <c r="AI139" s="273"/>
      <c r="AJ139" s="884">
        <f>ROUND(SUM(AH139/ABS(AE139)),3)</f>
        <v>0.27800000000000002</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82"/>
      <c r="AH140" s="198"/>
      <c r="AI140" s="273"/>
      <c r="AJ140" s="288"/>
    </row>
    <row r="141" spans="1:59" ht="16.5" customHeight="1">
      <c r="A141" s="40" t="s">
        <v>150</v>
      </c>
      <c r="C141" s="768">
        <f>ROUND(SUM(C138:C139),1)</f>
        <v>-211.1</v>
      </c>
      <c r="D141" s="206"/>
      <c r="E141" s="768">
        <f>ROUND(SUM(E138:E139),1)</f>
        <v>-244.6</v>
      </c>
      <c r="F141" s="206"/>
      <c r="G141" s="768">
        <f>ROUND(SUM(G138:G139),1)</f>
        <v>-6573.2</v>
      </c>
      <c r="H141" s="206"/>
      <c r="I141" s="768">
        <f>ROUND(SUM(I138:I139),1)</f>
        <v>707.8</v>
      </c>
      <c r="J141" s="206"/>
      <c r="K141" s="768">
        <f>ROUND(SUM(K138:K139),1)</f>
        <v>-95.1</v>
      </c>
      <c r="L141" s="206"/>
      <c r="M141" s="768">
        <f>ROUND(SUM(M138:M139),1)</f>
        <v>-672.2</v>
      </c>
      <c r="N141" s="206"/>
      <c r="O141" s="768">
        <f>ROUND(SUM(O138:O139),1)</f>
        <v>-708.1</v>
      </c>
      <c r="P141" s="206"/>
      <c r="Q141" s="768">
        <f>ROUND(SUM(Q138:Q139),1)</f>
        <v>-820.9</v>
      </c>
      <c r="R141" s="206"/>
      <c r="S141" s="768">
        <f>ROUND(SUM(S138:S139),1)</f>
        <v>0</v>
      </c>
      <c r="T141" s="206"/>
      <c r="U141" s="768">
        <f>ROUND(SUM(U138:U139),1)</f>
        <v>0</v>
      </c>
      <c r="V141" s="206"/>
      <c r="W141" s="768">
        <f>ROUND(SUM(W138:W139),1)</f>
        <v>0</v>
      </c>
      <c r="X141" s="206"/>
      <c r="Y141" s="768">
        <f>ROUND(SUM(Y138:Y139),1)</f>
        <v>0</v>
      </c>
      <c r="Z141" s="206"/>
      <c r="AA141" s="207"/>
      <c r="AB141" s="768">
        <f>ROUND(SUM(AB138:AB139),1)</f>
        <v>-8617.4</v>
      </c>
      <c r="AC141" s="206"/>
      <c r="AD141" s="207"/>
      <c r="AE141" s="768">
        <f>ROUND(SUM(AE138:AE139),1)</f>
        <v>-2432.4</v>
      </c>
      <c r="AF141" s="206"/>
      <c r="AG141" s="1582"/>
      <c r="AH141" s="768">
        <f>ROUND(SUM(AH138-AH139),1)</f>
        <v>-6185</v>
      </c>
      <c r="AI141" s="40"/>
      <c r="AJ141" s="618">
        <f>ROUND(SUM(AH141/ABS(AE141)),3)</f>
        <v>-2.5430000000000001</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83"/>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84"/>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84"/>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-4505.2</v>
      </c>
      <c r="P145" s="206"/>
      <c r="Q145" s="208">
        <f>ROUND(SUM(Q135+Q141),1)</f>
        <v>-3562</v>
      </c>
      <c r="R145" s="206"/>
      <c r="S145" s="208">
        <f>ROUND(SUM(S135+S141),1)</f>
        <v>0</v>
      </c>
      <c r="T145" s="206"/>
      <c r="U145" s="208">
        <f>ROUND(SUM(U135+U141),1)</f>
        <v>0</v>
      </c>
      <c r="V145" s="206"/>
      <c r="W145" s="208">
        <f>ROUND(SUM(W135+W141),1)</f>
        <v>0</v>
      </c>
      <c r="X145" s="206"/>
      <c r="Y145" s="208">
        <f>ROUND(SUM(Y135+Y141),1)</f>
        <v>0</v>
      </c>
      <c r="Z145" s="206"/>
      <c r="AA145" s="207"/>
      <c r="AB145" s="208">
        <f>ROUND(SUM(AB135+AB141),1)</f>
        <v>-6795.2</v>
      </c>
      <c r="AC145" s="206"/>
      <c r="AD145" s="207"/>
      <c r="AE145" s="208">
        <f>ROUND(SUM(AE135+AE141),1)</f>
        <v>-334</v>
      </c>
      <c r="AF145" s="11"/>
      <c r="AG145" s="1584"/>
      <c r="AH145" s="883">
        <f>ROUND(SUM(AB145-AE145),1)</f>
        <v>-6461.2</v>
      </c>
      <c r="AI145" s="40"/>
      <c r="AJ145" s="618">
        <f>ROUND(SUM(AH145/ABS(AE145)),3)</f>
        <v>-19.344999999999999</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75">
      <c r="A146" s="40"/>
      <c r="C146" s="1027"/>
      <c r="E146" s="1027"/>
      <c r="G146" s="1027"/>
      <c r="I146" s="1027"/>
      <c r="K146" s="1027"/>
      <c r="M146" s="1027"/>
      <c r="O146" s="1027"/>
      <c r="Q146" s="1027"/>
      <c r="S146" s="1027"/>
      <c r="U146" s="1027"/>
      <c r="W146" s="1027"/>
      <c r="Y146" s="1027"/>
      <c r="AA146" s="209"/>
      <c r="AB146" s="1027"/>
      <c r="AD146" s="209"/>
      <c r="AE146" s="1037"/>
      <c r="AF146" s="11"/>
      <c r="AG146" s="1584"/>
      <c r="AH146" s="273"/>
      <c r="AI146" s="273"/>
      <c r="AJ146" s="273"/>
    </row>
    <row r="147" spans="1:59"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64088.7</v>
      </c>
      <c r="P147" s="212"/>
      <c r="Q147" s="211">
        <f>ROUND(SUM(Q16+Q145),1)</f>
        <v>60526.7</v>
      </c>
      <c r="R147" s="212"/>
      <c r="S147" s="211">
        <f>ROUND(SUM(S16+S145),1)</f>
        <v>0</v>
      </c>
      <c r="T147" s="212"/>
      <c r="U147" s="211">
        <f>ROUND(SUM(U16+U145),1)</f>
        <v>0</v>
      </c>
      <c r="V147" s="212"/>
      <c r="W147" s="211">
        <f>ROUND(SUM(W16+W145),1)</f>
        <v>0</v>
      </c>
      <c r="X147" s="212"/>
      <c r="Y147" s="211">
        <f>ROUND(SUM(Y16+Y145),1)</f>
        <v>0</v>
      </c>
      <c r="Z147" s="70"/>
      <c r="AA147" s="213"/>
      <c r="AB147" s="211">
        <f>ROUND(SUM(AB16+AB145),1)</f>
        <v>60526.7</v>
      </c>
      <c r="AC147" s="70"/>
      <c r="AD147" s="213"/>
      <c r="AE147" s="211">
        <f>ROUND(SUM(AE16+AE145),1)</f>
        <v>55743.3</v>
      </c>
      <c r="AF147" s="11"/>
      <c r="AG147" s="1584"/>
      <c r="AH147" s="211">
        <f>ROUND(SUM(AB147-AE147),1)</f>
        <v>4783.3999999999996</v>
      </c>
      <c r="AI147" s="40"/>
      <c r="AJ147" s="80">
        <f>ROUND(SUM(AH147/ABS(AE147)),3)</f>
        <v>8.5999999999999993E-2</v>
      </c>
      <c r="AK147" s="133"/>
    </row>
    <row r="148" spans="1:59" thickTop="1">
      <c r="A148" s="214"/>
      <c r="AH148" s="273"/>
      <c r="AI148" s="273"/>
      <c r="AJ148" s="273"/>
    </row>
    <row r="149" spans="1:59" ht="15">
      <c r="A149" s="289" t="s">
        <v>442</v>
      </c>
      <c r="O149" s="61" t="s">
        <v>103</v>
      </c>
      <c r="AH149" s="273"/>
      <c r="AI149" s="273"/>
      <c r="AJ149" s="273"/>
    </row>
    <row r="150" spans="1:59" ht="15">
      <c r="A150" s="289" t="s">
        <v>443</v>
      </c>
      <c r="AB150" s="61" t="s">
        <v>103</v>
      </c>
      <c r="AH150" s="273"/>
      <c r="AI150" s="273"/>
      <c r="AJ150" s="273"/>
    </row>
    <row r="151" spans="1:59" ht="1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J97 AH24 AJ33 AB26"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80" zoomScaleNormal="80" workbookViewId="0"/>
  </sheetViews>
  <sheetFormatPr defaultColWidth="8.88671875" defaultRowHeight="12.75"/>
  <cols>
    <col min="1" max="1" width="2.5546875" style="59" customWidth="1"/>
    <col min="2" max="2" width="39.88671875" style="59" customWidth="1"/>
    <col min="3" max="3" width="1.109375" style="59" customWidth="1"/>
    <col min="4" max="4" width="12.44140625" style="59" bestFit="1" customWidth="1"/>
    <col min="5" max="5" width="1.88671875" style="59" customWidth="1"/>
    <col min="6" max="6" width="12.88671875" style="59" bestFit="1" customWidth="1"/>
    <col min="7" max="7" width="1.88671875" style="59" customWidth="1"/>
    <col min="8" max="8" width="12.88671875" style="59" bestFit="1" customWidth="1"/>
    <col min="9" max="9" width="1.88671875" style="59" customWidth="1"/>
    <col min="10" max="10" width="13.88671875" style="705" customWidth="1"/>
    <col min="11" max="11" width="1.88671875" style="59" customWidth="1"/>
    <col min="12" max="12" width="12.88671875" style="59" bestFit="1" customWidth="1"/>
    <col min="13" max="13" width="1.88671875" style="59" customWidth="1"/>
    <col min="14" max="14" width="13.88671875" style="59" customWidth="1"/>
    <col min="15" max="15" width="1.88671875" style="59" customWidth="1"/>
    <col min="16" max="16" width="12.88671875" style="59" bestFit="1" customWidth="1"/>
    <col min="17" max="17" width="1.88671875" style="59" customWidth="1"/>
    <col min="18" max="18" width="12.109375" style="59" customWidth="1"/>
    <col min="19" max="19" width="1.88671875" style="59" customWidth="1"/>
    <col min="20" max="20" width="14.88671875" style="59" customWidth="1"/>
    <col min="21" max="21" width="1.88671875" style="59" customWidth="1"/>
    <col min="22" max="22" width="12.109375" style="59" customWidth="1"/>
    <col min="23" max="23" width="1.88671875" style="59" customWidth="1"/>
    <col min="24" max="24" width="12.88671875" style="59" customWidth="1"/>
    <col min="25" max="25" width="1.88671875" style="59" customWidth="1"/>
    <col min="26" max="26" width="14.5546875" style="59" customWidth="1"/>
    <col min="27" max="28" width="1.109375" style="59" customWidth="1"/>
    <col min="29" max="29" width="13.109375" style="59" customWidth="1"/>
    <col min="30" max="31" width="1.109375" style="59" customWidth="1"/>
    <col min="32" max="32" width="15.109375" style="59" customWidth="1"/>
    <col min="33" max="34" width="1.109375" style="59" customWidth="1"/>
    <col min="35" max="35" width="13.109375" style="59" customWidth="1"/>
    <col min="36" max="36" width="1" style="59" customWidth="1"/>
    <col min="37" max="37" width="13.88671875" style="706" customWidth="1"/>
    <col min="38" max="38" width="10.109375" style="59" customWidth="1"/>
    <col min="39" max="39" width="8.88671875" style="59"/>
    <col min="40" max="41" width="4.88671875" style="59" customWidth="1"/>
    <col min="42" max="16384" width="8.88671875" style="59"/>
  </cols>
  <sheetData>
    <row r="1" spans="1:39" ht="1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7"/>
      <c r="AD4" s="707"/>
      <c r="AE4" s="707"/>
      <c r="AF4" s="707"/>
      <c r="AG4" s="707"/>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7"/>
      <c r="AE5" s="867"/>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5"/>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5"/>
      <c r="Q8" s="66"/>
      <c r="R8" s="66"/>
      <c r="S8" s="66"/>
      <c r="T8" s="66"/>
      <c r="U8" s="66"/>
      <c r="V8" s="66"/>
      <c r="W8" s="66"/>
      <c r="X8" s="66"/>
      <c r="Y8" s="66"/>
      <c r="Z8" s="66"/>
      <c r="AA8" s="66"/>
      <c r="AB8" s="66"/>
      <c r="AC8" s="66"/>
      <c r="AD8" s="66"/>
      <c r="AE8" s="66"/>
      <c r="AF8" s="66"/>
      <c r="AG8" s="66"/>
    </row>
    <row r="9" spans="1:39" ht="15.75">
      <c r="A9" s="66"/>
      <c r="B9" s="66"/>
      <c r="C9" s="66"/>
      <c r="D9" s="1136"/>
      <c r="E9" s="66"/>
      <c r="F9" s="39"/>
      <c r="G9" s="66"/>
      <c r="H9" s="66"/>
      <c r="I9" s="66"/>
      <c r="J9" s="428"/>
      <c r="K9" s="66"/>
      <c r="L9" s="66"/>
      <c r="M9" s="66"/>
      <c r="N9" s="66"/>
      <c r="O9" s="66"/>
      <c r="P9" s="66"/>
      <c r="Q9" s="66"/>
      <c r="R9" s="66"/>
      <c r="S9" s="66"/>
      <c r="T9" s="66"/>
      <c r="U9" s="66"/>
      <c r="V9" s="66"/>
      <c r="W9" s="66"/>
      <c r="X9" s="66"/>
      <c r="Y9" s="66"/>
      <c r="Z9" s="66"/>
      <c r="AA9" s="66"/>
      <c r="AB9" s="2100" t="str">
        <f>'Cashflow Governmental'!$AB$12</f>
        <v>8 Months Ended November 30</v>
      </c>
      <c r="AC9" s="2100"/>
      <c r="AD9" s="2100"/>
      <c r="AE9" s="2100"/>
      <c r="AF9" s="2100"/>
      <c r="AG9" s="2100"/>
      <c r="AH9" s="2100"/>
      <c r="AI9" s="2100"/>
      <c r="AJ9" s="2100"/>
      <c r="AK9" s="2100"/>
    </row>
    <row r="10" spans="1:39" ht="15" customHeight="1">
      <c r="A10" s="66"/>
      <c r="B10" s="369"/>
      <c r="C10" s="369"/>
      <c r="D10" s="1128"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29" t="s">
        <v>333</v>
      </c>
      <c r="G11" s="3"/>
      <c r="H11" s="1129"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38" t="str">
        <f>'Cashflow Governmental'!AB14</f>
        <v>2025</v>
      </c>
      <c r="AD11" s="3" t="s">
        <v>103</v>
      </c>
      <c r="AE11" s="3"/>
      <c r="AF11" s="1038" t="str">
        <f>'Cashflow Governmental'!AE14</f>
        <v>2024</v>
      </c>
      <c r="AG11" s="708"/>
      <c r="AH11" s="62"/>
      <c r="AI11" s="1238" t="s">
        <v>112</v>
      </c>
      <c r="AJ11" s="60"/>
      <c r="AK11" s="1005" t="s">
        <v>113</v>
      </c>
    </row>
    <row r="12" spans="1:39" ht="5.25" customHeight="1">
      <c r="A12" s="66"/>
      <c r="B12" s="369"/>
      <c r="C12" s="369"/>
      <c r="D12" s="1004" t="s">
        <v>103</v>
      </c>
      <c r="E12" s="369"/>
      <c r="F12" s="1130"/>
      <c r="G12" s="369"/>
      <c r="H12" s="1004"/>
      <c r="I12" s="369"/>
      <c r="J12" s="622"/>
      <c r="K12" s="369"/>
      <c r="L12" s="1004"/>
      <c r="M12" s="369"/>
      <c r="N12" s="1004"/>
      <c r="O12" s="369"/>
      <c r="P12" s="1004"/>
      <c r="Q12" s="369"/>
      <c r="R12" s="1004"/>
      <c r="S12" s="369"/>
      <c r="T12" s="1004"/>
      <c r="U12" s="369"/>
      <c r="V12" s="1004"/>
      <c r="W12" s="369"/>
      <c r="X12" s="1004"/>
      <c r="Y12" s="369"/>
      <c r="Z12" s="1004"/>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f>J144</f>
        <v>53324.4</v>
      </c>
      <c r="M13" s="45"/>
      <c r="N13" s="86">
        <f>L144</f>
        <v>53238.2</v>
      </c>
      <c r="O13" s="45"/>
      <c r="P13" s="86">
        <f>N144</f>
        <v>57638.400000000001</v>
      </c>
      <c r="Q13" s="45"/>
      <c r="R13" s="86">
        <f>P144</f>
        <v>52430.3</v>
      </c>
      <c r="S13" s="20"/>
      <c r="T13" s="86"/>
      <c r="U13" s="20"/>
      <c r="V13" s="86"/>
      <c r="W13" s="20"/>
      <c r="X13" s="86"/>
      <c r="Y13" s="20"/>
      <c r="Z13" s="86"/>
      <c r="AA13" s="45"/>
      <c r="AB13" s="710"/>
      <c r="AC13" s="20">
        <f>D13</f>
        <v>56915.8</v>
      </c>
      <c r="AD13" s="45"/>
      <c r="AE13" s="710"/>
      <c r="AF13" s="2002">
        <v>46330.9</v>
      </c>
      <c r="AG13" s="45"/>
      <c r="AH13" s="711"/>
      <c r="AI13" s="20">
        <f>ROUND(SUM(+AC13-AF13),1)</f>
        <v>10584.9</v>
      </c>
      <c r="AJ13" s="712"/>
      <c r="AK13" s="286">
        <f>ROUND(IF(AF13=0,0,AI13/ABS(AF13)),3)</f>
        <v>0.22800000000000001</v>
      </c>
      <c r="AL13" s="1569"/>
      <c r="AM13" s="1569"/>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8"/>
      <c r="AC14" s="369"/>
      <c r="AD14" s="296"/>
      <c r="AE14" s="868"/>
      <c r="AF14" s="369"/>
      <c r="AG14" s="369"/>
      <c r="AH14" s="709"/>
      <c r="AI14" s="66"/>
      <c r="AJ14" s="66"/>
      <c r="AK14" s="333"/>
      <c r="AL14" s="1569"/>
      <c r="AM14" s="1569"/>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8"/>
      <c r="AC15" s="369"/>
      <c r="AD15" s="296"/>
      <c r="AE15" s="868"/>
      <c r="AF15" s="369"/>
      <c r="AG15" s="369"/>
      <c r="AH15" s="709"/>
      <c r="AI15" s="66"/>
      <c r="AJ15" s="66"/>
      <c r="AK15" s="333"/>
      <c r="AL15" s="1569"/>
      <c r="AM15" s="1569"/>
    </row>
    <row r="16" spans="1:39" ht="15" customHeight="1">
      <c r="A16" s="35"/>
      <c r="B16" s="1235"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8"/>
      <c r="AC16" s="369"/>
      <c r="AD16" s="296"/>
      <c r="AE16" s="868"/>
      <c r="AF16" s="369"/>
      <c r="AG16" s="369"/>
      <c r="AH16" s="709"/>
      <c r="AI16" s="66"/>
      <c r="AJ16" s="66"/>
      <c r="AK16" s="333"/>
      <c r="AL16" s="1569"/>
      <c r="AM16" s="1569"/>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8"/>
      <c r="AC17" s="369"/>
      <c r="AD17" s="296"/>
      <c r="AE17" s="868"/>
      <c r="AF17" s="369"/>
      <c r="AG17" s="369"/>
      <c r="AH17" s="709"/>
      <c r="AI17" s="66"/>
      <c r="AJ17" s="66"/>
      <c r="AK17" s="333"/>
      <c r="AL17" s="1569"/>
      <c r="AM17" s="1569"/>
    </row>
    <row r="18" spans="1:39" ht="15" customHeight="1">
      <c r="A18" s="35"/>
      <c r="B18" s="289" t="s">
        <v>347</v>
      </c>
      <c r="C18" s="296"/>
      <c r="D18" s="537">
        <v>4965.8999999999996</v>
      </c>
      <c r="E18" s="518"/>
      <c r="F18" s="537">
        <v>4377.3000000000011</v>
      </c>
      <c r="G18" s="518"/>
      <c r="H18" s="537">
        <v>4167.7999999999993</v>
      </c>
      <c r="I18" s="532"/>
      <c r="J18" s="537">
        <v>4640.0999999999985</v>
      </c>
      <c r="K18" s="518" t="s">
        <v>103</v>
      </c>
      <c r="L18" s="537">
        <v>4315.9999999999982</v>
      </c>
      <c r="M18" s="559"/>
      <c r="N18" s="537">
        <v>4275.8999999999996</v>
      </c>
      <c r="O18" s="559"/>
      <c r="P18" s="537">
        <v>4449.7000000000025</v>
      </c>
      <c r="Q18" s="559"/>
      <c r="R18" s="537">
        <f>$AC18-$D18-$F18-P18-N18-L18-J18-H18</f>
        <v>4307.1999999999953</v>
      </c>
      <c r="S18" s="518"/>
      <c r="T18" s="537"/>
      <c r="U18" s="518"/>
      <c r="V18" s="537"/>
      <c r="W18" s="518"/>
      <c r="X18" s="537"/>
      <c r="Y18" s="518"/>
      <c r="Z18" s="537"/>
      <c r="AA18" s="294"/>
      <c r="AB18" s="530"/>
      <c r="AC18" s="537">
        <v>35499.9</v>
      </c>
      <c r="AD18" s="269"/>
      <c r="AE18" s="530" t="s">
        <v>103</v>
      </c>
      <c r="AF18" s="537">
        <v>33166.199999999997</v>
      </c>
      <c r="AG18" s="369"/>
      <c r="AH18" s="709"/>
      <c r="AI18" s="269">
        <f>ROUND(SUM(+AC18-AF18),1)</f>
        <v>2333.6999999999998</v>
      </c>
      <c r="AJ18" s="66"/>
      <c r="AK18" s="271">
        <f t="shared" ref="AK18:AK22" si="0">ROUND(IF(AF18=0,0,AI18/ABS(AF18)),3)</f>
        <v>7.0000000000000007E-2</v>
      </c>
      <c r="AL18" s="1833"/>
      <c r="AM18" s="1569"/>
    </row>
    <row r="19" spans="1:39" ht="15" customHeight="1">
      <c r="A19" s="35"/>
      <c r="B19" s="289" t="s">
        <v>348</v>
      </c>
      <c r="C19" s="296"/>
      <c r="D19" s="537">
        <v>6505.2</v>
      </c>
      <c r="E19" s="518"/>
      <c r="F19" s="537">
        <v>118.60000000000036</v>
      </c>
      <c r="G19" s="518"/>
      <c r="H19" s="537">
        <v>1783.4000000000005</v>
      </c>
      <c r="I19" s="296"/>
      <c r="J19" s="537">
        <v>118.89999999999964</v>
      </c>
      <c r="K19" s="559"/>
      <c r="L19" s="537">
        <v>93.600000000000364</v>
      </c>
      <c r="M19" s="559"/>
      <c r="N19" s="537">
        <v>2220.0999999999985</v>
      </c>
      <c r="O19" s="559"/>
      <c r="P19" s="537">
        <v>166.90000000000146</v>
      </c>
      <c r="Q19" s="559"/>
      <c r="R19" s="537">
        <f t="shared" ref="R19:R22" si="1">$AC19-$D19-$F19-P19-N19-L19-J19-H19</f>
        <v>96.099999999998545</v>
      </c>
      <c r="S19" s="518"/>
      <c r="T19" s="537"/>
      <c r="U19" s="559"/>
      <c r="V19" s="537"/>
      <c r="W19" s="518"/>
      <c r="X19" s="537"/>
      <c r="Y19" s="559"/>
      <c r="Z19" s="537"/>
      <c r="AA19" s="294"/>
      <c r="AB19" s="530"/>
      <c r="AC19" s="537">
        <v>11102.8</v>
      </c>
      <c r="AD19" s="269"/>
      <c r="AE19" s="530" t="s">
        <v>103</v>
      </c>
      <c r="AF19" s="537">
        <v>9308</v>
      </c>
      <c r="AG19" s="369"/>
      <c r="AH19" s="709"/>
      <c r="AI19" s="269">
        <f>ROUND(SUM(+AC19-AF19),1)</f>
        <v>1794.8</v>
      </c>
      <c r="AJ19" s="66"/>
      <c r="AK19" s="548">
        <f t="shared" si="0"/>
        <v>0.193</v>
      </c>
      <c r="AL19" s="1833"/>
      <c r="AM19" s="1569"/>
    </row>
    <row r="20" spans="1:39" ht="15" customHeight="1">
      <c r="A20" s="35"/>
      <c r="B20" s="289" t="s">
        <v>349</v>
      </c>
      <c r="C20" s="296"/>
      <c r="D20" s="537">
        <v>2871</v>
      </c>
      <c r="E20" s="518"/>
      <c r="F20" s="537">
        <v>138.5</v>
      </c>
      <c r="G20" s="518"/>
      <c r="H20" s="537">
        <v>81.800000000000182</v>
      </c>
      <c r="I20" s="296"/>
      <c r="J20" s="537">
        <v>65.099999999999909</v>
      </c>
      <c r="K20" s="559"/>
      <c r="L20" s="537">
        <v>63.900000000000091</v>
      </c>
      <c r="M20" s="559"/>
      <c r="N20" s="537">
        <v>105.59999999999991</v>
      </c>
      <c r="O20" s="559"/>
      <c r="P20" s="537">
        <v>817.20000000000027</v>
      </c>
      <c r="Q20" s="559"/>
      <c r="R20" s="537">
        <f t="shared" si="1"/>
        <v>48.5</v>
      </c>
      <c r="S20" s="518"/>
      <c r="T20" s="537"/>
      <c r="U20" s="559"/>
      <c r="V20" s="537"/>
      <c r="W20" s="518"/>
      <c r="X20" s="537"/>
      <c r="Y20" s="559"/>
      <c r="Z20" s="537"/>
      <c r="AA20" s="294"/>
      <c r="AB20" s="530"/>
      <c r="AC20" s="537">
        <v>4191.6000000000004</v>
      </c>
      <c r="AD20" s="269"/>
      <c r="AE20" s="530" t="s">
        <v>103</v>
      </c>
      <c r="AF20" s="537">
        <v>3286.7</v>
      </c>
      <c r="AG20" s="369"/>
      <c r="AH20" s="709"/>
      <c r="AI20" s="269">
        <f>ROUND(SUM(+AC20-AF20),1)</f>
        <v>904.9</v>
      </c>
      <c r="AJ20" s="66"/>
      <c r="AK20" s="271">
        <f t="shared" si="0"/>
        <v>0.27500000000000002</v>
      </c>
      <c r="AL20" s="1833"/>
      <c r="AM20" s="1569"/>
    </row>
    <row r="21" spans="1:39" s="1227" customFormat="1" ht="15" customHeight="1">
      <c r="A21" s="1218"/>
      <c r="B21" s="1219" t="s">
        <v>350</v>
      </c>
      <c r="C21" s="1220"/>
      <c r="D21" s="537">
        <v>-541.79999999999995</v>
      </c>
      <c r="E21" s="1124"/>
      <c r="F21" s="537">
        <v>-66.300000000000068</v>
      </c>
      <c r="G21" s="1124"/>
      <c r="H21" s="537">
        <v>-16.899999999999977</v>
      </c>
      <c r="I21" s="1220"/>
      <c r="J21" s="537">
        <v>-66.700000000000045</v>
      </c>
      <c r="K21" s="1221"/>
      <c r="L21" s="537">
        <v>-38.799999999999955</v>
      </c>
      <c r="M21" s="1221"/>
      <c r="N21" s="537">
        <v>-97.399999999999977</v>
      </c>
      <c r="O21" s="1221"/>
      <c r="P21" s="537">
        <v>-448.1</v>
      </c>
      <c r="Q21" s="1221"/>
      <c r="R21" s="537">
        <f t="shared" si="1"/>
        <v>-35.5</v>
      </c>
      <c r="S21" s="1124"/>
      <c r="T21" s="537"/>
      <c r="U21" s="1221"/>
      <c r="V21" s="537"/>
      <c r="W21" s="1124"/>
      <c r="X21" s="537"/>
      <c r="Y21" s="1221"/>
      <c r="Z21" s="537"/>
      <c r="AA21" s="1222"/>
      <c r="AB21" s="1223"/>
      <c r="AC21" s="1211">
        <v>-1311.5</v>
      </c>
      <c r="AD21" s="1212"/>
      <c r="AE21" s="1223" t="s">
        <v>103</v>
      </c>
      <c r="AF21" s="1211">
        <v>-1223</v>
      </c>
      <c r="AG21" s="1224"/>
      <c r="AH21" s="1225"/>
      <c r="AI21" s="1212">
        <f>-ROUND(SUM(+AC21-AF21),1)</f>
        <v>88.5</v>
      </c>
      <c r="AJ21" s="1226"/>
      <c r="AK21" s="1210">
        <f t="shared" si="0"/>
        <v>7.1999999999999995E-2</v>
      </c>
      <c r="AL21" s="1833"/>
      <c r="AM21" s="1569"/>
    </row>
    <row r="22" spans="1:39" ht="15" customHeight="1">
      <c r="A22" s="35"/>
      <c r="B22" s="426" t="s">
        <v>351</v>
      </c>
      <c r="C22" s="296"/>
      <c r="D22" s="537">
        <v>275.89999999999998</v>
      </c>
      <c r="E22" s="518"/>
      <c r="F22" s="537">
        <v>138.60000000000002</v>
      </c>
      <c r="G22" s="518"/>
      <c r="H22" s="537">
        <v>139.39999999999998</v>
      </c>
      <c r="I22" s="296"/>
      <c r="J22" s="537">
        <v>147.80000000000007</v>
      </c>
      <c r="K22" s="559"/>
      <c r="L22" s="537">
        <v>146.79999999999995</v>
      </c>
      <c r="M22" s="559"/>
      <c r="N22" s="537">
        <v>132.10000000000002</v>
      </c>
      <c r="O22" s="559"/>
      <c r="P22" s="537">
        <v>131.80000000000007</v>
      </c>
      <c r="Q22" s="559"/>
      <c r="R22" s="537">
        <f t="shared" si="1"/>
        <v>128.59999999999991</v>
      </c>
      <c r="S22" s="518"/>
      <c r="T22" s="537"/>
      <c r="U22" s="559"/>
      <c r="V22" s="537"/>
      <c r="W22" s="518"/>
      <c r="X22" s="537"/>
      <c r="Y22" s="559"/>
      <c r="Z22" s="537"/>
      <c r="AA22" s="294"/>
      <c r="AB22" s="530"/>
      <c r="AC22" s="537">
        <v>1241</v>
      </c>
      <c r="AD22" s="269"/>
      <c r="AE22" s="530" t="s">
        <v>103</v>
      </c>
      <c r="AF22" s="537">
        <v>1173.5</v>
      </c>
      <c r="AG22" s="369"/>
      <c r="AH22" s="709"/>
      <c r="AI22" s="269">
        <f>ROUND(SUM(+AC22-AF22),1)</f>
        <v>67.5</v>
      </c>
      <c r="AJ22" s="66"/>
      <c r="AK22" s="271">
        <f t="shared" si="0"/>
        <v>5.8000000000000003E-2</v>
      </c>
      <c r="AL22" s="1833"/>
      <c r="AM22" s="1569"/>
    </row>
    <row r="23" spans="1:39" ht="15" customHeight="1">
      <c r="A23" s="35"/>
      <c r="B23" s="290" t="s">
        <v>352</v>
      </c>
      <c r="C23" s="296"/>
      <c r="D23" s="680">
        <f>ROUND(SUM(D18:D22),1)</f>
        <v>14076.2</v>
      </c>
      <c r="E23" s="296"/>
      <c r="F23" s="680">
        <f>ROUND(SUM(F18:F22),1)</f>
        <v>4706.7</v>
      </c>
      <c r="G23" s="296"/>
      <c r="H23" s="680">
        <f>ROUND(SUM(H18:H22),1)</f>
        <v>6155.5</v>
      </c>
      <c r="I23" s="296"/>
      <c r="J23" s="680">
        <f>ROUND(SUM(J18:J22),1)</f>
        <v>4905.2</v>
      </c>
      <c r="K23" s="296"/>
      <c r="L23" s="680">
        <f>ROUND(SUM(L18:L22),1)</f>
        <v>4581.5</v>
      </c>
      <c r="M23" s="296"/>
      <c r="N23" s="680">
        <f>ROUND(SUM(N18:N22),1)</f>
        <v>6636.3</v>
      </c>
      <c r="O23" s="269"/>
      <c r="P23" s="680">
        <f>ROUND(SUM(P18:P22),1)</f>
        <v>5117.5</v>
      </c>
      <c r="Q23" s="269"/>
      <c r="R23" s="680">
        <f>ROUND(SUM(R18:R22),1)</f>
        <v>4544.8999999999996</v>
      </c>
      <c r="S23" s="13"/>
      <c r="T23" s="680">
        <f>ROUND(SUM(T18:T22),1)</f>
        <v>0</v>
      </c>
      <c r="U23" s="269"/>
      <c r="V23" s="680">
        <f>ROUND(SUM(V18:V22),1)</f>
        <v>0</v>
      </c>
      <c r="W23" s="269"/>
      <c r="X23" s="680">
        <f>ROUND(SUM(X18:X22),1)</f>
        <v>0</v>
      </c>
      <c r="Y23" s="269"/>
      <c r="Z23" s="680">
        <f>ROUND(SUM(Z18:Z22),1)</f>
        <v>0</v>
      </c>
      <c r="AA23" s="369"/>
      <c r="AB23" s="868"/>
      <c r="AC23" s="680">
        <f>ROUND(SUM(AC18:AC22),1)</f>
        <v>50723.8</v>
      </c>
      <c r="AD23" s="296"/>
      <c r="AE23" s="868" t="s">
        <v>103</v>
      </c>
      <c r="AF23" s="680">
        <f>ROUND(SUM(AF18:AF22),1)</f>
        <v>45711.4</v>
      </c>
      <c r="AG23" s="369"/>
      <c r="AH23" s="709"/>
      <c r="AI23" s="680">
        <f>ROUND(SUM(AC23-AF23),1)</f>
        <v>5012.3999999999996</v>
      </c>
      <c r="AJ23" s="66"/>
      <c r="AK23" s="937">
        <f>ROUND(SUM(+AI23/AF23),3)</f>
        <v>0.11</v>
      </c>
      <c r="AL23" s="1833"/>
      <c r="AM23" s="1569"/>
    </row>
    <row r="24" spans="1:39" ht="15" customHeight="1">
      <c r="A24" s="35"/>
      <c r="B24" s="426" t="s">
        <v>353</v>
      </c>
      <c r="C24" s="296"/>
      <c r="D24" s="537">
        <v>0</v>
      </c>
      <c r="E24" s="518"/>
      <c r="F24" s="537">
        <f>AC24-D24</f>
        <v>0</v>
      </c>
      <c r="G24" s="518"/>
      <c r="H24" s="537">
        <v>0</v>
      </c>
      <c r="I24" s="296"/>
      <c r="J24" s="537">
        <v>0</v>
      </c>
      <c r="K24" s="559"/>
      <c r="L24" s="537">
        <v>0</v>
      </c>
      <c r="M24" s="559"/>
      <c r="N24" s="537">
        <v>0</v>
      </c>
      <c r="O24" s="559"/>
      <c r="P24" s="537">
        <v>0</v>
      </c>
      <c r="Q24" s="559"/>
      <c r="R24" s="537">
        <f>AC24-N24-P24-L24-J24-H24-F24-D24</f>
        <v>0</v>
      </c>
      <c r="S24" s="559"/>
      <c r="T24" s="537"/>
      <c r="U24" s="559"/>
      <c r="V24" s="537"/>
      <c r="W24" s="559"/>
      <c r="X24" s="537"/>
      <c r="Y24" s="559"/>
      <c r="Z24" s="537"/>
      <c r="AA24" s="294"/>
      <c r="AB24" s="530"/>
      <c r="AC24" s="1211">
        <v>0</v>
      </c>
      <c r="AD24" s="269"/>
      <c r="AE24" s="530" t="s">
        <v>103</v>
      </c>
      <c r="AF24" s="1211">
        <v>0</v>
      </c>
      <c r="AG24" s="369"/>
      <c r="AH24" s="709"/>
      <c r="AI24" s="269">
        <f>-ROUND(SUM(+AC24-AF24),1)</f>
        <v>0</v>
      </c>
      <c r="AJ24" s="66"/>
      <c r="AK24" s="271">
        <f>ROUND(IF(AF24=0,0,AI24/ABS(AF24)),3)</f>
        <v>0</v>
      </c>
      <c r="AL24" s="1833"/>
      <c r="AM24" s="1569"/>
    </row>
    <row r="25" spans="1:39" ht="15" customHeight="1">
      <c r="A25" s="35"/>
      <c r="B25" s="426" t="s">
        <v>354</v>
      </c>
      <c r="C25" s="296"/>
      <c r="D25" s="537">
        <v>-4846.8</v>
      </c>
      <c r="E25" s="518"/>
      <c r="F25" s="537">
        <v>-1912.1999999999998</v>
      </c>
      <c r="G25" s="518"/>
      <c r="H25" s="537">
        <v>-2845.7000000000007</v>
      </c>
      <c r="I25" s="296"/>
      <c r="J25" s="537">
        <v>-2248.1999999999998</v>
      </c>
      <c r="K25" s="559"/>
      <c r="L25" s="537">
        <v>-2125.0999999999985</v>
      </c>
      <c r="M25" s="559"/>
      <c r="N25" s="537">
        <v>-2778.7999999999993</v>
      </c>
      <c r="O25" s="559"/>
      <c r="P25" s="537">
        <v>-1010.7999999999993</v>
      </c>
      <c r="Q25" s="559"/>
      <c r="R25" s="537">
        <f t="shared" ref="R25:R26" si="2">AC25-N25-P25-L25-J25-H25-F25-D25</f>
        <v>-1348</v>
      </c>
      <c r="S25" s="559"/>
      <c r="T25" s="537"/>
      <c r="U25" s="559"/>
      <c r="V25" s="537"/>
      <c r="W25" s="559"/>
      <c r="X25" s="537"/>
      <c r="Y25" s="559"/>
      <c r="Z25" s="537"/>
      <c r="AA25" s="294"/>
      <c r="AB25" s="530"/>
      <c r="AC25" s="1211">
        <v>-19115.599999999999</v>
      </c>
      <c r="AD25" s="269"/>
      <c r="AE25" s="530" t="s">
        <v>103</v>
      </c>
      <c r="AF25" s="1211">
        <v>-17664.599999999999</v>
      </c>
      <c r="AG25" s="369"/>
      <c r="AH25" s="709"/>
      <c r="AI25" s="269">
        <f>-ROUND(SUM(+AC25-AF25),1)</f>
        <v>1451</v>
      </c>
      <c r="AJ25" s="66"/>
      <c r="AK25" s="271">
        <f>ROUND(IF(AF25=0,0,AI25/ABS(AF25)),3)</f>
        <v>8.2000000000000003E-2</v>
      </c>
      <c r="AL25" s="1833"/>
      <c r="AM25" s="1569"/>
    </row>
    <row r="26" spans="1:39" ht="15" customHeight="1">
      <c r="A26" s="35"/>
      <c r="B26" s="289" t="s">
        <v>355</v>
      </c>
      <c r="C26" s="296"/>
      <c r="D26" s="537">
        <v>-4382.6000000000004</v>
      </c>
      <c r="E26" s="518"/>
      <c r="F26" s="537">
        <v>-882.29999999999927</v>
      </c>
      <c r="G26" s="518"/>
      <c r="H26" s="537">
        <v>-464.20000000000073</v>
      </c>
      <c r="I26" s="296"/>
      <c r="J26" s="537">
        <v>-408.69999999999982</v>
      </c>
      <c r="K26" s="559"/>
      <c r="L26" s="537">
        <v>-331.30000000000018</v>
      </c>
      <c r="M26" s="559"/>
      <c r="N26" s="537">
        <v>-1078.7999999999993</v>
      </c>
      <c r="O26" s="559"/>
      <c r="P26" s="537">
        <v>-3095.8999999999996</v>
      </c>
      <c r="Q26" s="559"/>
      <c r="R26" s="537">
        <f t="shared" si="2"/>
        <v>-1848.8000000000011</v>
      </c>
      <c r="S26" s="559"/>
      <c r="T26" s="537"/>
      <c r="U26" s="559"/>
      <c r="V26" s="537"/>
      <c r="W26" s="559"/>
      <c r="X26" s="537"/>
      <c r="Y26" s="559"/>
      <c r="Z26" s="537"/>
      <c r="AA26" s="294"/>
      <c r="AB26" s="530"/>
      <c r="AC26" s="1211">
        <v>-12492.6</v>
      </c>
      <c r="AD26" s="269"/>
      <c r="AE26" s="530" t="s">
        <v>103</v>
      </c>
      <c r="AF26" s="1211">
        <v>-10382.200000000001</v>
      </c>
      <c r="AG26" s="369"/>
      <c r="AH26" s="709"/>
      <c r="AI26" s="269">
        <f>-ROUND(SUM(+AC26-AF26),1)</f>
        <v>2110.4</v>
      </c>
      <c r="AJ26" s="66"/>
      <c r="AK26" s="271">
        <f>ROUND(IF(AF26=0,0,AI26/ABS(AF26)),3)</f>
        <v>0.20300000000000001</v>
      </c>
      <c r="AL26" s="1833"/>
      <c r="AM26" s="1569"/>
    </row>
    <row r="27" spans="1:39" ht="15" customHeight="1">
      <c r="A27" s="35"/>
      <c r="B27" s="87" t="s">
        <v>356</v>
      </c>
      <c r="C27" s="369"/>
      <c r="D27" s="680">
        <f>ROUND(SUM(D23:D26),1)</f>
        <v>4846.8</v>
      </c>
      <c r="E27" s="269"/>
      <c r="F27" s="680">
        <f>ROUND(SUM(F23:F26),1)</f>
        <v>1912.2</v>
      </c>
      <c r="G27" s="269"/>
      <c r="H27" s="680">
        <f>ROUND(SUM(H23:H26),1)</f>
        <v>2845.6</v>
      </c>
      <c r="I27" s="269"/>
      <c r="J27" s="680">
        <f>ROUND(SUM(J23:J26),1)</f>
        <v>2248.3000000000002</v>
      </c>
      <c r="K27" s="269"/>
      <c r="L27" s="680">
        <f>ROUND(SUM(L23:L26),1)</f>
        <v>2125.1</v>
      </c>
      <c r="M27" s="269"/>
      <c r="N27" s="680">
        <f>ROUND(SUM(N23:N26),1)</f>
        <v>2778.7</v>
      </c>
      <c r="O27" s="269"/>
      <c r="P27" s="680">
        <f>ROUND(SUM(P23:P26),1)</f>
        <v>1010.8</v>
      </c>
      <c r="Q27" s="269"/>
      <c r="R27" s="680">
        <f>ROUND(SUM(R23:R26),1)</f>
        <v>1348.1</v>
      </c>
      <c r="S27" s="13"/>
      <c r="T27" s="680">
        <f>ROUND(SUM(T23:T26),1)</f>
        <v>0</v>
      </c>
      <c r="U27" s="269"/>
      <c r="V27" s="680">
        <f>ROUND(SUM(V23:V26),1)</f>
        <v>0</v>
      </c>
      <c r="W27" s="269"/>
      <c r="X27" s="680">
        <f>ROUND(SUM(X23:X26),1)</f>
        <v>0</v>
      </c>
      <c r="Y27" s="269"/>
      <c r="Z27" s="680">
        <f>ROUND(SUM(Z23:Z26),1)</f>
        <v>0</v>
      </c>
      <c r="AA27" s="273"/>
      <c r="AB27" s="868"/>
      <c r="AC27" s="680">
        <f>ROUND(SUM(AC23:AC26),1)</f>
        <v>19115.599999999999</v>
      </c>
      <c r="AD27" s="269"/>
      <c r="AE27" s="529" t="s">
        <v>103</v>
      </c>
      <c r="AF27" s="680">
        <f>ROUND(SUM(AF23:AF26),1)</f>
        <v>17664.599999999999</v>
      </c>
      <c r="AG27" s="269"/>
      <c r="AH27" s="713"/>
      <c r="AI27" s="680">
        <f>ROUND(SUM(AI23-AI24-AI25-AI26),1)</f>
        <v>1451</v>
      </c>
      <c r="AJ27" s="269"/>
      <c r="AK27" s="937">
        <f>ROUND(SUM(+AI27/AF27),3)</f>
        <v>8.2000000000000003E-2</v>
      </c>
      <c r="AL27" s="1833"/>
      <c r="AM27" s="1569"/>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8"/>
      <c r="AC28" s="13"/>
      <c r="AD28" s="269"/>
      <c r="AE28" s="529" t="s">
        <v>103</v>
      </c>
      <c r="AF28" s="13"/>
      <c r="AG28" s="269"/>
      <c r="AH28" s="713"/>
      <c r="AI28" s="13"/>
      <c r="AJ28" s="269"/>
      <c r="AK28" s="77"/>
      <c r="AL28" s="1833"/>
      <c r="AM28" s="1569"/>
    </row>
    <row r="29" spans="1:39" ht="15" customHeight="1">
      <c r="A29" s="35"/>
      <c r="B29" s="289" t="s">
        <v>358</v>
      </c>
      <c r="C29" s="369"/>
      <c r="D29" s="537">
        <v>738.2</v>
      </c>
      <c r="E29" s="518"/>
      <c r="F29" s="537">
        <v>758.5</v>
      </c>
      <c r="G29" s="518"/>
      <c r="H29" s="537">
        <v>939.8</v>
      </c>
      <c r="I29" s="269"/>
      <c r="J29" s="537">
        <v>792.19999999999982</v>
      </c>
      <c r="K29" s="559"/>
      <c r="L29" s="537">
        <v>819.90000000000032</v>
      </c>
      <c r="M29" s="559"/>
      <c r="N29" s="537">
        <v>977.79999999999905</v>
      </c>
      <c r="O29" s="559"/>
      <c r="P29" s="537">
        <v>836.00000000000068</v>
      </c>
      <c r="Q29" s="559"/>
      <c r="R29" s="537">
        <f>AC29-N29-P29-L29-J29-H29-F29-D29</f>
        <v>813.29999999999905</v>
      </c>
      <c r="S29" s="559"/>
      <c r="T29" s="537"/>
      <c r="U29" s="559"/>
      <c r="V29" s="537"/>
      <c r="W29" s="559"/>
      <c r="X29" s="537"/>
      <c r="Y29" s="559"/>
      <c r="Z29" s="537"/>
      <c r="AA29" s="294"/>
      <c r="AB29" s="530"/>
      <c r="AC29" s="1211">
        <v>6675.7</v>
      </c>
      <c r="AD29" s="269"/>
      <c r="AE29" s="530" t="s">
        <v>103</v>
      </c>
      <c r="AF29" s="1211">
        <v>6270.7</v>
      </c>
      <c r="AG29" s="269"/>
      <c r="AH29" s="713"/>
      <c r="AI29" s="269">
        <f t="shared" ref="AI29:AI35" si="3">ROUND(SUM(+AC29-AF29),1)</f>
        <v>405</v>
      </c>
      <c r="AJ29" s="269"/>
      <c r="AK29" s="271">
        <f t="shared" ref="AK29:AK37" si="4">ROUND(IF(AF29=0,0,AI29/ABS(AF29)),3)</f>
        <v>6.5000000000000002E-2</v>
      </c>
      <c r="AL29" s="1833"/>
      <c r="AM29" s="1569"/>
    </row>
    <row r="30" spans="1:39" ht="15" customHeight="1">
      <c r="A30" s="35"/>
      <c r="B30" s="289" t="s">
        <v>359</v>
      </c>
      <c r="C30" s="369"/>
      <c r="D30" s="537">
        <v>0</v>
      </c>
      <c r="E30" s="518"/>
      <c r="F30" s="537">
        <v>0</v>
      </c>
      <c r="G30" s="518"/>
      <c r="H30" s="537">
        <v>0</v>
      </c>
      <c r="I30" s="269"/>
      <c r="J30" s="537">
        <v>0</v>
      </c>
      <c r="K30" s="559"/>
      <c r="L30" s="537">
        <v>0</v>
      </c>
      <c r="M30" s="559"/>
      <c r="N30" s="537">
        <v>0</v>
      </c>
      <c r="O30" s="559"/>
      <c r="P30" s="537">
        <v>0</v>
      </c>
      <c r="Q30" s="559"/>
      <c r="R30" s="537">
        <f t="shared" ref="R30:R37" si="5">AC30-N30-P30-L30-J30-H30-F30-D30</f>
        <v>0</v>
      </c>
      <c r="S30" s="559"/>
      <c r="T30" s="537"/>
      <c r="U30" s="559"/>
      <c r="V30" s="537"/>
      <c r="W30" s="559"/>
      <c r="X30" s="537"/>
      <c r="Y30" s="559"/>
      <c r="Z30" s="537"/>
      <c r="AA30" s="294"/>
      <c r="AB30" s="530"/>
      <c r="AC30" s="537">
        <v>0</v>
      </c>
      <c r="AD30" s="269"/>
      <c r="AE30" s="530" t="s">
        <v>103</v>
      </c>
      <c r="AF30" s="537">
        <v>0</v>
      </c>
      <c r="AG30" s="269"/>
      <c r="AH30" s="713"/>
      <c r="AI30" s="269">
        <f t="shared" si="3"/>
        <v>0</v>
      </c>
      <c r="AJ30" s="269"/>
      <c r="AK30" s="271">
        <f t="shared" si="4"/>
        <v>0</v>
      </c>
      <c r="AL30" s="1833"/>
      <c r="AM30" s="1569"/>
    </row>
    <row r="31" spans="1:39" ht="15" customHeight="1">
      <c r="A31" s="35"/>
      <c r="B31" s="289" t="s">
        <v>360</v>
      </c>
      <c r="C31" s="369"/>
      <c r="D31" s="537">
        <v>25.3</v>
      </c>
      <c r="E31" s="518"/>
      <c r="F31" s="537">
        <v>18.099999999999998</v>
      </c>
      <c r="G31" s="518"/>
      <c r="H31" s="537">
        <v>19.300000000000008</v>
      </c>
      <c r="I31" s="269"/>
      <c r="J31" s="537">
        <v>22.099999999999991</v>
      </c>
      <c r="K31" s="559"/>
      <c r="L31" s="537">
        <v>20.799999999999994</v>
      </c>
      <c r="M31" s="559"/>
      <c r="N31" s="537">
        <v>22.800000000000008</v>
      </c>
      <c r="O31" s="559"/>
      <c r="P31" s="537">
        <v>19.199999999999985</v>
      </c>
      <c r="Q31" s="559"/>
      <c r="R31" s="537">
        <f t="shared" si="5"/>
        <v>17.900000000000002</v>
      </c>
      <c r="S31" s="559"/>
      <c r="T31" s="537"/>
      <c r="U31" s="559"/>
      <c r="V31" s="537"/>
      <c r="W31" s="559"/>
      <c r="X31" s="537"/>
      <c r="Y31" s="559"/>
      <c r="Z31" s="537"/>
      <c r="AA31" s="294"/>
      <c r="AB31" s="530"/>
      <c r="AC31" s="537">
        <v>165.5</v>
      </c>
      <c r="AD31" s="269"/>
      <c r="AE31" s="530" t="s">
        <v>103</v>
      </c>
      <c r="AF31" s="537">
        <v>179.1</v>
      </c>
      <c r="AG31" s="269"/>
      <c r="AH31" s="713"/>
      <c r="AI31" s="269">
        <f t="shared" si="3"/>
        <v>-13.6</v>
      </c>
      <c r="AJ31" s="269"/>
      <c r="AK31" s="271">
        <f t="shared" si="4"/>
        <v>-7.5999999999999998E-2</v>
      </c>
      <c r="AL31" s="1833"/>
      <c r="AM31" s="1569"/>
    </row>
    <row r="32" spans="1:39" ht="15" customHeight="1">
      <c r="A32" s="35"/>
      <c r="B32" s="289" t="s">
        <v>362</v>
      </c>
      <c r="C32" s="369"/>
      <c r="D32" s="537">
        <v>0</v>
      </c>
      <c r="E32" s="518"/>
      <c r="F32" s="537">
        <v>0</v>
      </c>
      <c r="G32" s="518"/>
      <c r="H32" s="537">
        <v>0</v>
      </c>
      <c r="I32" s="269"/>
      <c r="J32" s="537">
        <v>0</v>
      </c>
      <c r="K32" s="559"/>
      <c r="L32" s="537">
        <v>0</v>
      </c>
      <c r="M32" s="559"/>
      <c r="N32" s="537">
        <v>0</v>
      </c>
      <c r="O32" s="559"/>
      <c r="P32" s="537">
        <v>0</v>
      </c>
      <c r="Q32" s="559"/>
      <c r="R32" s="537">
        <f t="shared" si="5"/>
        <v>0</v>
      </c>
      <c r="S32" s="559"/>
      <c r="T32" s="537"/>
      <c r="U32" s="559"/>
      <c r="V32" s="537"/>
      <c r="W32" s="559"/>
      <c r="X32" s="537"/>
      <c r="Y32" s="559"/>
      <c r="Z32" s="537"/>
      <c r="AA32" s="294"/>
      <c r="AB32" s="530"/>
      <c r="AC32" s="537">
        <v>0</v>
      </c>
      <c r="AD32" s="269"/>
      <c r="AE32" s="530" t="s">
        <v>103</v>
      </c>
      <c r="AF32" s="537">
        <v>0</v>
      </c>
      <c r="AG32" s="269"/>
      <c r="AH32" s="713"/>
      <c r="AI32" s="269">
        <f t="shared" si="3"/>
        <v>0</v>
      </c>
      <c r="AJ32" s="269"/>
      <c r="AK32" s="271">
        <f>ROUND(IF(AF32=0,0,AI32/ABS(AF32)),3)</f>
        <v>0</v>
      </c>
      <c r="AL32" s="1833"/>
      <c r="AM32" s="1569"/>
    </row>
    <row r="33" spans="1:41" ht="15" customHeight="1">
      <c r="A33" s="35"/>
      <c r="B33" s="427" t="s">
        <v>363</v>
      </c>
      <c r="C33" s="369"/>
      <c r="D33" s="537">
        <v>0.1</v>
      </c>
      <c r="E33" s="518"/>
      <c r="F33" s="537">
        <v>0</v>
      </c>
      <c r="G33" s="518"/>
      <c r="H33" s="537">
        <v>0.30000000000000004</v>
      </c>
      <c r="I33" s="269"/>
      <c r="J33" s="537">
        <v>0</v>
      </c>
      <c r="K33" s="559"/>
      <c r="L33" s="537">
        <v>0</v>
      </c>
      <c r="M33" s="559"/>
      <c r="N33" s="537">
        <v>0.4</v>
      </c>
      <c r="O33" s="559"/>
      <c r="P33" s="537">
        <v>0</v>
      </c>
      <c r="Q33" s="559"/>
      <c r="R33" s="537">
        <f t="shared" si="5"/>
        <v>0</v>
      </c>
      <c r="S33" s="559"/>
      <c r="T33" s="537"/>
      <c r="U33" s="559"/>
      <c r="V33" s="537"/>
      <c r="W33" s="559"/>
      <c r="X33" s="537"/>
      <c r="Y33" s="559"/>
      <c r="Z33" s="537"/>
      <c r="AA33" s="294"/>
      <c r="AB33" s="530"/>
      <c r="AC33" s="537">
        <v>0.8</v>
      </c>
      <c r="AD33" s="269"/>
      <c r="AE33" s="530" t="s">
        <v>103</v>
      </c>
      <c r="AF33" s="537">
        <v>1</v>
      </c>
      <c r="AG33" s="269"/>
      <c r="AH33" s="713"/>
      <c r="AI33" s="269">
        <f t="shared" ref="AI33" si="6">ROUND(SUM(+AC33-AF33),1)</f>
        <v>-0.2</v>
      </c>
      <c r="AJ33" s="269"/>
      <c r="AK33" s="548">
        <f>ROUND(IF(AF33=0,1,AI33/ABS(AF33)),3)</f>
        <v>-0.2</v>
      </c>
      <c r="AL33" s="1833"/>
      <c r="AM33" s="1569"/>
    </row>
    <row r="34" spans="1:41" ht="15" customHeight="1">
      <c r="A34" s="35"/>
      <c r="B34" s="289" t="s">
        <v>364</v>
      </c>
      <c r="C34" s="369"/>
      <c r="D34" s="537">
        <v>21.7</v>
      </c>
      <c r="E34" s="518"/>
      <c r="F34" s="537">
        <v>20.400000000000002</v>
      </c>
      <c r="G34" s="518"/>
      <c r="H34" s="537">
        <v>23.399999999999995</v>
      </c>
      <c r="I34" s="269"/>
      <c r="J34" s="537">
        <v>26.3</v>
      </c>
      <c r="K34" s="559"/>
      <c r="L34" s="537">
        <v>25.500000000000004</v>
      </c>
      <c r="M34" s="559"/>
      <c r="N34" s="537">
        <v>23.200000000000006</v>
      </c>
      <c r="O34" s="559"/>
      <c r="P34" s="537">
        <v>22.400000000000009</v>
      </c>
      <c r="Q34" s="559"/>
      <c r="R34" s="537">
        <f t="shared" si="5"/>
        <v>22.099999999999984</v>
      </c>
      <c r="S34" s="559"/>
      <c r="T34" s="537"/>
      <c r="U34" s="559"/>
      <c r="V34" s="537"/>
      <c r="W34" s="559"/>
      <c r="X34" s="537"/>
      <c r="Y34" s="559"/>
      <c r="Z34" s="537"/>
      <c r="AA34" s="294"/>
      <c r="AB34" s="530"/>
      <c r="AC34" s="537">
        <v>185</v>
      </c>
      <c r="AD34" s="269"/>
      <c r="AE34" s="530" t="s">
        <v>103</v>
      </c>
      <c r="AF34" s="537">
        <v>184.6</v>
      </c>
      <c r="AG34" s="269"/>
      <c r="AH34" s="713"/>
      <c r="AI34" s="269">
        <f t="shared" si="3"/>
        <v>0.4</v>
      </c>
      <c r="AJ34" s="269"/>
      <c r="AK34" s="271">
        <f t="shared" si="4"/>
        <v>2E-3</v>
      </c>
      <c r="AL34" s="1833"/>
      <c r="AM34" s="1569"/>
    </row>
    <row r="35" spans="1:41" ht="15" customHeight="1">
      <c r="A35" s="35"/>
      <c r="B35" s="289" t="s">
        <v>365</v>
      </c>
      <c r="C35" s="369"/>
      <c r="D35" s="537">
        <v>0</v>
      </c>
      <c r="E35" s="518"/>
      <c r="F35" s="537">
        <v>0</v>
      </c>
      <c r="G35" s="518"/>
      <c r="H35" s="537">
        <v>0</v>
      </c>
      <c r="I35" s="269"/>
      <c r="J35" s="537">
        <v>0</v>
      </c>
      <c r="K35" s="559"/>
      <c r="L35" s="537">
        <v>0</v>
      </c>
      <c r="M35" s="559"/>
      <c r="N35" s="537">
        <v>0</v>
      </c>
      <c r="O35" s="559"/>
      <c r="P35" s="537">
        <v>0</v>
      </c>
      <c r="Q35" s="559"/>
      <c r="R35" s="537">
        <f t="shared" si="5"/>
        <v>0</v>
      </c>
      <c r="S35" s="559"/>
      <c r="T35" s="537"/>
      <c r="U35" s="559"/>
      <c r="V35" s="537"/>
      <c r="W35" s="559"/>
      <c r="X35" s="537"/>
      <c r="Y35" s="559"/>
      <c r="Z35" s="537"/>
      <c r="AA35" s="294"/>
      <c r="AB35" s="530"/>
      <c r="AC35" s="537">
        <v>0</v>
      </c>
      <c r="AD35" s="269"/>
      <c r="AE35" s="530" t="s">
        <v>103</v>
      </c>
      <c r="AF35" s="537">
        <v>0</v>
      </c>
      <c r="AG35" s="269"/>
      <c r="AH35" s="713"/>
      <c r="AI35" s="269">
        <f t="shared" si="3"/>
        <v>0</v>
      </c>
      <c r="AJ35" s="269"/>
      <c r="AK35" s="271">
        <f t="shared" si="4"/>
        <v>0</v>
      </c>
      <c r="AL35" s="1833"/>
      <c r="AM35" s="1569"/>
    </row>
    <row r="36" spans="1:41" ht="15" customHeight="1">
      <c r="A36" s="35"/>
      <c r="B36" s="289" t="s">
        <v>440</v>
      </c>
      <c r="C36" s="369"/>
      <c r="D36" s="537">
        <v>0</v>
      </c>
      <c r="E36" s="518"/>
      <c r="F36" s="537">
        <v>0</v>
      </c>
      <c r="G36" s="518"/>
      <c r="H36" s="537">
        <v>0</v>
      </c>
      <c r="I36" s="269"/>
      <c r="J36" s="537">
        <v>0</v>
      </c>
      <c r="K36" s="559"/>
      <c r="L36" s="537">
        <v>0</v>
      </c>
      <c r="M36" s="559"/>
      <c r="N36" s="537">
        <v>0</v>
      </c>
      <c r="O36" s="559"/>
      <c r="P36" s="537">
        <v>0</v>
      </c>
      <c r="Q36" s="559"/>
      <c r="R36" s="537">
        <f t="shared" si="5"/>
        <v>0</v>
      </c>
      <c r="S36" s="559"/>
      <c r="T36" s="537"/>
      <c r="U36" s="559"/>
      <c r="V36" s="537"/>
      <c r="W36" s="559"/>
      <c r="X36" s="537"/>
      <c r="Y36" s="559"/>
      <c r="Z36" s="537"/>
      <c r="AA36" s="294"/>
      <c r="AB36" s="530"/>
      <c r="AC36" s="537">
        <v>0</v>
      </c>
      <c r="AD36" s="269"/>
      <c r="AE36" s="530" t="s">
        <v>103</v>
      </c>
      <c r="AF36" s="537">
        <v>0</v>
      </c>
      <c r="AG36" s="269"/>
      <c r="AH36" s="713"/>
      <c r="AI36" s="269">
        <f>ROUND(SUM(+AC36-AF36),1)</f>
        <v>0</v>
      </c>
      <c r="AJ36" s="269"/>
      <c r="AK36" s="271">
        <f>ROUND(IF(AF36=0,0,AI36/ABS(AF36)),3)</f>
        <v>0</v>
      </c>
      <c r="AL36" s="1833"/>
      <c r="AM36" s="1569"/>
    </row>
    <row r="37" spans="1:41" ht="15" customHeight="1">
      <c r="A37" s="35"/>
      <c r="B37" s="289" t="s">
        <v>367</v>
      </c>
      <c r="C37" s="369"/>
      <c r="D37" s="537">
        <v>4.9000000000000004</v>
      </c>
      <c r="E37" s="518"/>
      <c r="F37" s="537">
        <v>-0.10000000000000053</v>
      </c>
      <c r="G37" s="518"/>
      <c r="H37" s="537">
        <v>0.10000000000000053</v>
      </c>
      <c r="I37" s="269"/>
      <c r="J37" s="537">
        <v>7.1999999999999975</v>
      </c>
      <c r="K37" s="559"/>
      <c r="L37" s="537">
        <v>0</v>
      </c>
      <c r="M37" s="559"/>
      <c r="N37" s="537">
        <v>0.60000000000000142</v>
      </c>
      <c r="O37" s="559"/>
      <c r="P37" s="537">
        <v>4.5000000000000018</v>
      </c>
      <c r="Q37" s="559"/>
      <c r="R37" s="537">
        <f t="shared" si="5"/>
        <v>9.9999999999999645E-2</v>
      </c>
      <c r="S37" s="559"/>
      <c r="T37" s="537"/>
      <c r="U37" s="559"/>
      <c r="V37" s="537"/>
      <c r="W37" s="559"/>
      <c r="X37" s="537"/>
      <c r="Y37" s="559"/>
      <c r="Z37" s="537"/>
      <c r="AA37" s="294"/>
      <c r="AB37" s="530"/>
      <c r="AC37" s="537">
        <v>17.3</v>
      </c>
      <c r="AD37" s="269"/>
      <c r="AE37" s="530" t="s">
        <v>103</v>
      </c>
      <c r="AF37" s="537">
        <v>15.6</v>
      </c>
      <c r="AG37" s="269"/>
      <c r="AH37" s="713"/>
      <c r="AI37" s="269">
        <f t="shared" ref="AI37" si="7">ROUND(SUM(+AC37-AF37),1)</f>
        <v>1.7</v>
      </c>
      <c r="AJ37" s="269"/>
      <c r="AK37" s="271">
        <f t="shared" si="4"/>
        <v>0.109</v>
      </c>
      <c r="AL37" s="1833"/>
      <c r="AM37" s="1569"/>
    </row>
    <row r="38" spans="1:41" s="62" customFormat="1" ht="15" customHeight="1">
      <c r="A38" s="423"/>
      <c r="B38" s="87" t="s">
        <v>368</v>
      </c>
      <c r="C38" s="60"/>
      <c r="D38" s="680">
        <f>ROUND(SUM(D29:D37),1)</f>
        <v>790.2</v>
      </c>
      <c r="E38" s="13"/>
      <c r="F38" s="680">
        <f>ROUND(SUM(F29:F37),1)</f>
        <v>796.9</v>
      </c>
      <c r="G38" s="13"/>
      <c r="H38" s="680">
        <f>ROUND(SUM(H29:H37),1)</f>
        <v>982.9</v>
      </c>
      <c r="I38" s="13"/>
      <c r="J38" s="680">
        <f>ROUND(SUM(J29:J37),1)</f>
        <v>847.8</v>
      </c>
      <c r="K38" s="13"/>
      <c r="L38" s="680">
        <f>ROUND(SUM(L29:L37),1)</f>
        <v>866.2</v>
      </c>
      <c r="M38" s="13"/>
      <c r="N38" s="680">
        <f>ROUND(SUM(N29:N37),1)</f>
        <v>1024.8</v>
      </c>
      <c r="O38" s="13"/>
      <c r="P38" s="680">
        <f>ROUND(SUM(P29:P37),1)</f>
        <v>882.1</v>
      </c>
      <c r="Q38" s="13"/>
      <c r="R38" s="680">
        <f>ROUND(SUM(R29:R37),1)</f>
        <v>853.4</v>
      </c>
      <c r="S38" s="13"/>
      <c r="T38" s="680">
        <f>ROUND(SUM(T29:T37),1)</f>
        <v>0</v>
      </c>
      <c r="U38" s="13"/>
      <c r="V38" s="680">
        <f>ROUND(SUM(V29:V37),1)</f>
        <v>0</v>
      </c>
      <c r="W38" s="13"/>
      <c r="X38" s="680">
        <f>ROUND(SUM(X29:X37),1)</f>
        <v>0</v>
      </c>
      <c r="Y38" s="13"/>
      <c r="Z38" s="680">
        <f>ROUND(SUM(Z29:Z37),1)</f>
        <v>0</v>
      </c>
      <c r="AA38" s="40"/>
      <c r="AB38" s="72"/>
      <c r="AC38" s="680">
        <f>ROUND(SUM(AC29:AC37),1)</f>
        <v>7044.3</v>
      </c>
      <c r="AD38" s="13"/>
      <c r="AE38" s="14"/>
      <c r="AF38" s="680">
        <f>ROUND(SUM(AF29:AF37),1)</f>
        <v>6651</v>
      </c>
      <c r="AG38" s="13"/>
      <c r="AH38" s="714"/>
      <c r="AI38" s="680">
        <f>ROUND(SUM(AI29:AI37),1)</f>
        <v>393.3</v>
      </c>
      <c r="AJ38" s="13"/>
      <c r="AK38" s="937">
        <f>ROUND(SUM(+AI38/AF38),3)</f>
        <v>5.8999999999999997E-2</v>
      </c>
      <c r="AL38" s="1833"/>
      <c r="AM38" s="1569"/>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4"/>
      <c r="AI39" s="13"/>
      <c r="AJ39" s="13"/>
      <c r="AK39" s="77"/>
      <c r="AL39" s="1833"/>
      <c r="AM39" s="1569"/>
      <c r="AN39" s="59"/>
      <c r="AO39" s="59"/>
    </row>
    <row r="40" spans="1:41" s="62" customFormat="1" ht="15" customHeight="1">
      <c r="A40" s="423"/>
      <c r="B40" s="289" t="s">
        <v>370</v>
      </c>
      <c r="C40" s="60"/>
      <c r="D40" s="537">
        <v>859.4</v>
      </c>
      <c r="E40" s="518"/>
      <c r="F40" s="537">
        <v>40.200000000000045</v>
      </c>
      <c r="G40" s="518"/>
      <c r="H40" s="537">
        <v>1130.9999999999998</v>
      </c>
      <c r="I40" s="13"/>
      <c r="J40" s="537">
        <v>132.30000000000007</v>
      </c>
      <c r="K40" s="559"/>
      <c r="L40" s="537">
        <v>137.19999999999982</v>
      </c>
      <c r="M40" s="559"/>
      <c r="N40" s="537">
        <v>961.70000000000039</v>
      </c>
      <c r="O40" s="559"/>
      <c r="P40" s="537">
        <v>126.09999999999945</v>
      </c>
      <c r="Q40" s="559"/>
      <c r="R40" s="537">
        <f>$AC40-$F40-$H40-$D40-P40-N40-L40-J40</f>
        <v>-6.1999999999998181</v>
      </c>
      <c r="S40" s="559"/>
      <c r="T40" s="537"/>
      <c r="U40" s="559"/>
      <c r="V40" s="537"/>
      <c r="W40" s="559"/>
      <c r="X40" s="537"/>
      <c r="Y40" s="559"/>
      <c r="Z40" s="537"/>
      <c r="AA40" s="294"/>
      <c r="AB40" s="530"/>
      <c r="AC40" s="537">
        <v>3381.7</v>
      </c>
      <c r="AD40" s="269"/>
      <c r="AE40" s="530" t="s">
        <v>103</v>
      </c>
      <c r="AF40" s="537">
        <v>3565.4</v>
      </c>
      <c r="AG40" s="13"/>
      <c r="AH40" s="714"/>
      <c r="AI40" s="269">
        <f t="shared" ref="AI40:AI45" si="8">ROUND(SUM(+AC40-AF40),1)</f>
        <v>-183.7</v>
      </c>
      <c r="AJ40" s="13"/>
      <c r="AK40" s="271">
        <f t="shared" ref="AK40:AK42" si="9">ROUND(IF(AF40=0,0,AI40/ABS(AF40)),3)</f>
        <v>-5.1999999999999998E-2</v>
      </c>
      <c r="AL40" s="1833"/>
      <c r="AM40" s="1569"/>
      <c r="AN40" s="59"/>
      <c r="AO40" s="59"/>
    </row>
    <row r="41" spans="1:41" s="62" customFormat="1" ht="15" customHeight="1">
      <c r="A41" s="423"/>
      <c r="B41" s="289" t="s">
        <v>371</v>
      </c>
      <c r="C41" s="60"/>
      <c r="D41" s="537">
        <v>18.7</v>
      </c>
      <c r="E41" s="518"/>
      <c r="F41" s="537">
        <v>-6.7999999999999989</v>
      </c>
      <c r="G41" s="518"/>
      <c r="H41" s="537">
        <v>74.7</v>
      </c>
      <c r="I41" s="13"/>
      <c r="J41" s="537">
        <v>0.69999999999999218</v>
      </c>
      <c r="K41" s="559"/>
      <c r="L41" s="537">
        <v>-20.399999999999991</v>
      </c>
      <c r="M41" s="559"/>
      <c r="N41" s="537">
        <v>89.7</v>
      </c>
      <c r="O41" s="559"/>
      <c r="P41" s="537">
        <v>0.80000000000000782</v>
      </c>
      <c r="Q41" s="559"/>
      <c r="R41" s="537">
        <f t="shared" ref="R41:R45" si="10">$AC41-$F41-$H41-$D41-P41-N41-L41-J41</f>
        <v>16.299999999999979</v>
      </c>
      <c r="S41" s="559"/>
      <c r="T41" s="537"/>
      <c r="U41" s="559"/>
      <c r="V41" s="537"/>
      <c r="W41" s="559"/>
      <c r="X41" s="537"/>
      <c r="Y41" s="559"/>
      <c r="Z41" s="537"/>
      <c r="AA41" s="294"/>
      <c r="AB41" s="530"/>
      <c r="AC41" s="537">
        <v>173.7</v>
      </c>
      <c r="AD41" s="269"/>
      <c r="AE41" s="530" t="s">
        <v>103</v>
      </c>
      <c r="AF41" s="537">
        <v>175.70000000000002</v>
      </c>
      <c r="AG41" s="13"/>
      <c r="AH41" s="714"/>
      <c r="AI41" s="269">
        <f t="shared" si="8"/>
        <v>-2</v>
      </c>
      <c r="AJ41" s="13"/>
      <c r="AK41" s="548">
        <f t="shared" si="9"/>
        <v>-1.0999999999999999E-2</v>
      </c>
      <c r="AL41" s="1833"/>
      <c r="AM41" s="1569"/>
      <c r="AN41" s="59"/>
      <c r="AO41" s="59"/>
    </row>
    <row r="42" spans="1:41" s="62" customFormat="1" ht="15" customHeight="1">
      <c r="A42" s="423"/>
      <c r="B42" s="289" t="s">
        <v>372</v>
      </c>
      <c r="C42" s="60"/>
      <c r="D42" s="537">
        <v>78.599999999999994</v>
      </c>
      <c r="E42" s="518"/>
      <c r="F42" s="537">
        <v>14</v>
      </c>
      <c r="G42" s="518"/>
      <c r="H42" s="537">
        <v>422.6</v>
      </c>
      <c r="I42" s="13"/>
      <c r="J42" s="537">
        <v>-8.0999999999999943</v>
      </c>
      <c r="K42" s="559"/>
      <c r="L42" s="537">
        <v>18</v>
      </c>
      <c r="M42" s="559"/>
      <c r="N42" s="537">
        <v>461.79999999999995</v>
      </c>
      <c r="O42" s="559"/>
      <c r="P42" s="537">
        <v>23.399999999999949</v>
      </c>
      <c r="Q42" s="559"/>
      <c r="R42" s="537">
        <f t="shared" si="10"/>
        <v>4.9999999999999716</v>
      </c>
      <c r="S42" s="559"/>
      <c r="T42" s="537"/>
      <c r="U42" s="559"/>
      <c r="V42" s="537"/>
      <c r="W42" s="559"/>
      <c r="X42" s="537"/>
      <c r="Y42" s="559"/>
      <c r="Z42" s="537"/>
      <c r="AA42" s="294"/>
      <c r="AB42" s="530"/>
      <c r="AC42" s="537">
        <v>1015.3</v>
      </c>
      <c r="AD42" s="269"/>
      <c r="AE42" s="530" t="s">
        <v>103</v>
      </c>
      <c r="AF42" s="537">
        <v>1124.4000000000001</v>
      </c>
      <c r="AG42" s="13"/>
      <c r="AH42" s="714"/>
      <c r="AI42" s="269">
        <f t="shared" si="8"/>
        <v>-109.1</v>
      </c>
      <c r="AJ42" s="13"/>
      <c r="AK42" s="271">
        <f t="shared" si="9"/>
        <v>-9.7000000000000003E-2</v>
      </c>
      <c r="AL42" s="1833"/>
      <c r="AM42" s="1569"/>
      <c r="AN42" s="59"/>
      <c r="AO42" s="59"/>
    </row>
    <row r="43" spans="1:41" s="62" customFormat="1" ht="15" customHeight="1">
      <c r="A43" s="423"/>
      <c r="B43" s="289" t="s">
        <v>373</v>
      </c>
      <c r="C43" s="60"/>
      <c r="D43" s="537">
        <v>-3.4</v>
      </c>
      <c r="E43" s="518"/>
      <c r="F43" s="537">
        <v>-0.39999999999999991</v>
      </c>
      <c r="G43" s="518"/>
      <c r="H43" s="537">
        <v>0.10000000000000009</v>
      </c>
      <c r="I43" s="13"/>
      <c r="J43" s="537">
        <v>-9.1</v>
      </c>
      <c r="K43" s="559"/>
      <c r="L43" s="537">
        <v>0</v>
      </c>
      <c r="M43" s="559"/>
      <c r="N43" s="537">
        <v>-0.19999999999999929</v>
      </c>
      <c r="O43" s="559"/>
      <c r="P43" s="537">
        <v>-0.5</v>
      </c>
      <c r="Q43" s="559"/>
      <c r="R43" s="537">
        <f t="shared" si="10"/>
        <v>-7.5000000000000053</v>
      </c>
      <c r="S43" s="559"/>
      <c r="T43" s="537"/>
      <c r="U43" s="559"/>
      <c r="V43" s="537"/>
      <c r="W43" s="559"/>
      <c r="X43" s="537"/>
      <c r="Y43" s="559"/>
      <c r="Z43" s="537"/>
      <c r="AA43" s="294"/>
      <c r="AB43" s="530"/>
      <c r="AC43" s="537">
        <v>-21</v>
      </c>
      <c r="AD43" s="269"/>
      <c r="AE43" s="530" t="s">
        <v>103</v>
      </c>
      <c r="AF43" s="537">
        <v>0</v>
      </c>
      <c r="AG43" s="13"/>
      <c r="AH43" s="714"/>
      <c r="AI43" s="269">
        <f t="shared" si="8"/>
        <v>-21</v>
      </c>
      <c r="AJ43" s="13"/>
      <c r="AK43" s="548">
        <v>-1</v>
      </c>
      <c r="AL43" s="1833"/>
      <c r="AM43" s="1569"/>
      <c r="AN43" s="59"/>
      <c r="AO43" s="59"/>
    </row>
    <row r="44" spans="1:41" s="62" customFormat="1" ht="15" customHeight="1">
      <c r="A44" s="423"/>
      <c r="B44" s="289" t="s">
        <v>374</v>
      </c>
      <c r="C44" s="60"/>
      <c r="D44" s="537">
        <v>40.200000000000003</v>
      </c>
      <c r="E44" s="518"/>
      <c r="F44" s="537">
        <v>88.100000000000009</v>
      </c>
      <c r="G44" s="518"/>
      <c r="H44" s="537">
        <v>1841.1000000000001</v>
      </c>
      <c r="I44" s="13"/>
      <c r="J44" s="537">
        <v>-12.700000000000003</v>
      </c>
      <c r="K44" s="559"/>
      <c r="L44" s="537">
        <v>-2.7000000000000455</v>
      </c>
      <c r="M44" s="559"/>
      <c r="N44" s="537">
        <v>1553.9</v>
      </c>
      <c r="O44" s="559"/>
      <c r="P44" s="537">
        <v>-411.90000000000015</v>
      </c>
      <c r="Q44" s="559"/>
      <c r="R44" s="537">
        <f t="shared" si="10"/>
        <v>-11.300000000000225</v>
      </c>
      <c r="S44" s="559"/>
      <c r="T44" s="537"/>
      <c r="U44" s="559"/>
      <c r="V44" s="537"/>
      <c r="W44" s="559"/>
      <c r="X44" s="537"/>
      <c r="Y44" s="559"/>
      <c r="Z44" s="537"/>
      <c r="AA44" s="294"/>
      <c r="AB44" s="530"/>
      <c r="AC44" s="537">
        <v>3084.7</v>
      </c>
      <c r="AD44" s="269"/>
      <c r="AE44" s="530" t="s">
        <v>103</v>
      </c>
      <c r="AF44" s="537">
        <v>2792.6</v>
      </c>
      <c r="AG44" s="13"/>
      <c r="AH44" s="714"/>
      <c r="AI44" s="269">
        <f t="shared" si="8"/>
        <v>292.10000000000002</v>
      </c>
      <c r="AJ44" s="13"/>
      <c r="AK44" s="548">
        <f>ROUND(IF(AF44=0,1,AI44/ABS(AF44)),3)</f>
        <v>0.105</v>
      </c>
      <c r="AL44" s="1833"/>
      <c r="AM44" s="1569"/>
      <c r="AN44" s="59"/>
      <c r="AO44" s="59"/>
    </row>
    <row r="45" spans="1:41" s="62" customFormat="1" ht="15" customHeight="1">
      <c r="A45" s="423"/>
      <c r="B45" s="289" t="s">
        <v>375</v>
      </c>
      <c r="C45" s="60"/>
      <c r="D45" s="537">
        <v>0</v>
      </c>
      <c r="E45" s="518"/>
      <c r="F45" s="537">
        <v>0</v>
      </c>
      <c r="G45" s="518"/>
      <c r="H45" s="537">
        <v>0</v>
      </c>
      <c r="I45" s="13"/>
      <c r="J45" s="537">
        <v>0</v>
      </c>
      <c r="K45" s="559"/>
      <c r="L45" s="537">
        <v>0</v>
      </c>
      <c r="M45" s="559"/>
      <c r="N45" s="537">
        <v>0</v>
      </c>
      <c r="O45" s="559"/>
      <c r="P45" s="537">
        <v>0</v>
      </c>
      <c r="Q45" s="559"/>
      <c r="R45" s="537">
        <f t="shared" si="10"/>
        <v>0</v>
      </c>
      <c r="S45" s="559"/>
      <c r="T45" s="537"/>
      <c r="U45" s="559"/>
      <c r="V45" s="537"/>
      <c r="W45" s="559"/>
      <c r="X45" s="537"/>
      <c r="Y45" s="559"/>
      <c r="Z45" s="537"/>
      <c r="AA45" s="294"/>
      <c r="AB45" s="530"/>
      <c r="AC45" s="537">
        <v>0</v>
      </c>
      <c r="AD45" s="269"/>
      <c r="AE45" s="530" t="s">
        <v>103</v>
      </c>
      <c r="AF45" s="537">
        <v>0</v>
      </c>
      <c r="AG45" s="13"/>
      <c r="AH45" s="714"/>
      <c r="AI45" s="269">
        <f t="shared" si="8"/>
        <v>0</v>
      </c>
      <c r="AJ45" s="13"/>
      <c r="AK45" s="548">
        <f t="shared" ref="AK45" si="11">ROUND(IF(AF45=0,0,AI45/ABS(AF45)),3)</f>
        <v>0</v>
      </c>
      <c r="AL45" s="1833"/>
      <c r="AM45" s="1569"/>
      <c r="AN45" s="59"/>
      <c r="AO45" s="59"/>
    </row>
    <row r="46" spans="1:41" s="62" customFormat="1" ht="15" customHeight="1">
      <c r="A46" s="423"/>
      <c r="B46" s="87" t="s">
        <v>376</v>
      </c>
      <c r="C46" s="60"/>
      <c r="D46" s="680">
        <f>ROUND(SUM(D40:D45),1)</f>
        <v>993.5</v>
      </c>
      <c r="E46" s="13"/>
      <c r="F46" s="680">
        <f>ROUND(SUM(F40:F45),1)</f>
        <v>135.1</v>
      </c>
      <c r="G46" s="13"/>
      <c r="H46" s="680">
        <f>ROUND(SUM(H40:H45),1)</f>
        <v>3469.5</v>
      </c>
      <c r="I46" s="13"/>
      <c r="J46" s="680">
        <f>ROUND(SUM(J40:J45),1)</f>
        <v>103.1</v>
      </c>
      <c r="K46" s="13"/>
      <c r="L46" s="680">
        <f>ROUND(SUM(L40:L45),1)</f>
        <v>132.1</v>
      </c>
      <c r="M46" s="13"/>
      <c r="N46" s="680">
        <f>ROUND(SUM(N40:N45),1)</f>
        <v>3066.9</v>
      </c>
      <c r="O46" s="13"/>
      <c r="P46" s="680">
        <f>ROUND(SUM(P40:P45),1)</f>
        <v>-262.10000000000002</v>
      </c>
      <c r="Q46" s="13"/>
      <c r="R46" s="680">
        <f>ROUND(SUM(R40:R45),1)</f>
        <v>-3.7</v>
      </c>
      <c r="S46" s="13"/>
      <c r="T46" s="680">
        <f>ROUND(SUM(T40:T45),1)</f>
        <v>0</v>
      </c>
      <c r="U46" s="13"/>
      <c r="V46" s="680">
        <f>ROUND(SUM(V40:V45),1)</f>
        <v>0</v>
      </c>
      <c r="W46" s="13"/>
      <c r="X46" s="680">
        <f>ROUND(SUM(X40:X45),1)</f>
        <v>0</v>
      </c>
      <c r="Y46" s="13"/>
      <c r="Z46" s="680">
        <f>ROUND(SUM(Z40:Z45),1)</f>
        <v>0</v>
      </c>
      <c r="AA46" s="40"/>
      <c r="AB46" s="72"/>
      <c r="AC46" s="680">
        <f>ROUND(SUM(AC40:AC45),1)</f>
        <v>7634.4</v>
      </c>
      <c r="AD46" s="13"/>
      <c r="AE46" s="14"/>
      <c r="AF46" s="680">
        <f>ROUND(SUM(AF40:AF45),1)</f>
        <v>7658.1</v>
      </c>
      <c r="AG46" s="13"/>
      <c r="AH46" s="714"/>
      <c r="AI46" s="680">
        <f>ROUND(SUM(AI40:AI45),1)</f>
        <v>-23.7</v>
      </c>
      <c r="AJ46" s="13"/>
      <c r="AK46" s="937">
        <f>ROUND(SUM(+AI46/AF46),3)</f>
        <v>-3.0000000000000001E-3</v>
      </c>
      <c r="AL46" s="1833"/>
      <c r="AM46" s="1569"/>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4"/>
      <c r="AI47" s="13"/>
      <c r="AJ47" s="13"/>
      <c r="AK47" s="77"/>
      <c r="AL47" s="1833"/>
      <c r="AM47" s="1569"/>
      <c r="AN47" s="59"/>
      <c r="AO47" s="59"/>
    </row>
    <row r="48" spans="1:41" s="62" customFormat="1" ht="15" customHeight="1">
      <c r="A48" s="423"/>
      <c r="B48" s="289" t="s">
        <v>378</v>
      </c>
      <c r="C48" s="60"/>
      <c r="D48" s="537">
        <v>0</v>
      </c>
      <c r="E48" s="518"/>
      <c r="F48" s="537">
        <v>0</v>
      </c>
      <c r="G48" s="518"/>
      <c r="H48" s="537">
        <v>0</v>
      </c>
      <c r="I48" s="13"/>
      <c r="J48" s="537">
        <v>0</v>
      </c>
      <c r="K48" s="559"/>
      <c r="L48" s="537">
        <v>0</v>
      </c>
      <c r="M48" s="559"/>
      <c r="N48" s="537">
        <v>0</v>
      </c>
      <c r="O48" s="559"/>
      <c r="P48" s="537">
        <v>0</v>
      </c>
      <c r="Q48" s="559"/>
      <c r="R48" s="537">
        <f>$AC48-N48-P48-L48-J48-H48-F48-D48</f>
        <v>0</v>
      </c>
      <c r="S48" s="559"/>
      <c r="T48" s="537"/>
      <c r="U48" s="559"/>
      <c r="V48" s="537"/>
      <c r="W48" s="559"/>
      <c r="X48" s="537"/>
      <c r="Y48" s="559"/>
      <c r="Z48" s="537"/>
      <c r="AA48" s="294"/>
      <c r="AB48" s="530"/>
      <c r="AC48" s="537">
        <v>0</v>
      </c>
      <c r="AD48" s="269"/>
      <c r="AE48" s="530" t="s">
        <v>103</v>
      </c>
      <c r="AF48" s="537">
        <v>0</v>
      </c>
      <c r="AG48" s="13"/>
      <c r="AH48" s="714"/>
      <c r="AI48" s="269">
        <f t="shared" ref="AI48:AI52" si="12">ROUND(SUM(+AC48-AF48),1)</f>
        <v>0</v>
      </c>
      <c r="AJ48" s="13"/>
      <c r="AK48" s="271">
        <f t="shared" ref="AK48:AK51" si="13">ROUND(IF(AF48=0,0,AI48/ABS(AF48)),3)</f>
        <v>0</v>
      </c>
      <c r="AL48" s="1833"/>
      <c r="AM48" s="1569"/>
      <c r="AN48" s="59"/>
      <c r="AO48" s="59"/>
    </row>
    <row r="49" spans="1:41" s="62" customFormat="1" ht="15" customHeight="1">
      <c r="A49" s="423"/>
      <c r="B49" s="289" t="s">
        <v>379</v>
      </c>
      <c r="C49" s="60"/>
      <c r="D49" s="537">
        <v>167.2</v>
      </c>
      <c r="E49" s="518"/>
      <c r="F49" s="537">
        <v>153.5</v>
      </c>
      <c r="G49" s="518"/>
      <c r="H49" s="537">
        <v>74.600000000000023</v>
      </c>
      <c r="I49" s="13"/>
      <c r="J49" s="537">
        <v>111.09999999999997</v>
      </c>
      <c r="K49" s="559"/>
      <c r="L49" s="537">
        <v>149.70000000000005</v>
      </c>
      <c r="M49" s="559"/>
      <c r="N49" s="537">
        <v>129.49999999999994</v>
      </c>
      <c r="O49" s="559"/>
      <c r="P49" s="537">
        <v>166.7</v>
      </c>
      <c r="Q49" s="559"/>
      <c r="R49" s="537">
        <f t="shared" ref="R49:R53" si="14">$AC49-N49-P49-L49-J49-H49-F49-D49</f>
        <v>132.49999999999994</v>
      </c>
      <c r="S49" s="559"/>
      <c r="T49" s="537"/>
      <c r="U49" s="559"/>
      <c r="V49" s="537"/>
      <c r="W49" s="559"/>
      <c r="X49" s="537"/>
      <c r="Y49" s="559"/>
      <c r="Z49" s="537"/>
      <c r="AA49" s="294"/>
      <c r="AB49" s="530"/>
      <c r="AC49" s="537">
        <v>1084.8</v>
      </c>
      <c r="AD49" s="269"/>
      <c r="AE49" s="530" t="s">
        <v>103</v>
      </c>
      <c r="AF49" s="537">
        <v>916.1</v>
      </c>
      <c r="AG49" s="13"/>
      <c r="AH49" s="714"/>
      <c r="AI49" s="269">
        <f t="shared" si="12"/>
        <v>168.7</v>
      </c>
      <c r="AJ49" s="13"/>
      <c r="AK49" s="271">
        <f t="shared" si="13"/>
        <v>0.184</v>
      </c>
      <c r="AL49" s="1833"/>
      <c r="AM49" s="1569"/>
      <c r="AN49" s="59"/>
      <c r="AO49" s="59"/>
    </row>
    <row r="50" spans="1:41" s="62" customFormat="1" ht="15" customHeight="1">
      <c r="A50" s="423"/>
      <c r="B50" s="289" t="s">
        <v>380</v>
      </c>
      <c r="C50" s="60"/>
      <c r="D50" s="537">
        <v>1.2</v>
      </c>
      <c r="E50" s="518"/>
      <c r="F50" s="537">
        <v>0.90000000000000013</v>
      </c>
      <c r="G50" s="518"/>
      <c r="H50" s="537">
        <v>1.5000000000000002</v>
      </c>
      <c r="I50" s="13"/>
      <c r="J50" s="537">
        <v>1.3</v>
      </c>
      <c r="K50" s="559"/>
      <c r="L50" s="537">
        <v>2.0999999999999996</v>
      </c>
      <c r="M50" s="559"/>
      <c r="N50" s="537">
        <v>0.8</v>
      </c>
      <c r="O50" s="559"/>
      <c r="P50" s="537">
        <v>1.8</v>
      </c>
      <c r="Q50" s="559"/>
      <c r="R50" s="537">
        <f t="shared" si="14"/>
        <v>0.49999999999999956</v>
      </c>
      <c r="S50" s="559"/>
      <c r="T50" s="537"/>
      <c r="U50" s="559"/>
      <c r="V50" s="537"/>
      <c r="W50" s="559"/>
      <c r="X50" s="537"/>
      <c r="Y50" s="559"/>
      <c r="Z50" s="537"/>
      <c r="AA50" s="294"/>
      <c r="AB50" s="530"/>
      <c r="AC50" s="537">
        <v>10.1</v>
      </c>
      <c r="AD50" s="269"/>
      <c r="AE50" s="530" t="s">
        <v>103</v>
      </c>
      <c r="AF50" s="537">
        <v>9.6999999999999993</v>
      </c>
      <c r="AG50" s="13"/>
      <c r="AH50" s="714"/>
      <c r="AI50" s="269">
        <f t="shared" si="12"/>
        <v>0.4</v>
      </c>
      <c r="AJ50" s="13"/>
      <c r="AK50" s="271">
        <f t="shared" si="13"/>
        <v>4.1000000000000002E-2</v>
      </c>
      <c r="AL50" s="1833"/>
      <c r="AM50" s="1569"/>
      <c r="AN50" s="59"/>
      <c r="AO50" s="59"/>
    </row>
    <row r="51" spans="1:41" s="62" customFormat="1" ht="15" customHeight="1">
      <c r="A51" s="423"/>
      <c r="B51" s="289" t="s">
        <v>381</v>
      </c>
      <c r="C51" s="60"/>
      <c r="D51" s="537">
        <v>0</v>
      </c>
      <c r="E51" s="518"/>
      <c r="F51" s="537">
        <v>0</v>
      </c>
      <c r="G51" s="518"/>
      <c r="H51" s="537">
        <v>0</v>
      </c>
      <c r="I51" s="13"/>
      <c r="J51" s="537">
        <v>0</v>
      </c>
      <c r="K51" s="559"/>
      <c r="L51" s="537">
        <v>0</v>
      </c>
      <c r="M51" s="559"/>
      <c r="N51" s="537">
        <v>0</v>
      </c>
      <c r="O51" s="559"/>
      <c r="P51" s="537">
        <v>0</v>
      </c>
      <c r="Q51" s="559"/>
      <c r="R51" s="537">
        <f t="shared" si="14"/>
        <v>0</v>
      </c>
      <c r="S51" s="559"/>
      <c r="T51" s="537"/>
      <c r="U51" s="559"/>
      <c r="V51" s="537"/>
      <c r="W51" s="559"/>
      <c r="X51" s="537"/>
      <c r="Y51" s="559"/>
      <c r="Z51" s="537"/>
      <c r="AA51" s="294"/>
      <c r="AB51" s="530"/>
      <c r="AC51" s="537">
        <v>0</v>
      </c>
      <c r="AD51" s="269">
        <f>'Exhibit F'!AF1216</f>
        <v>0</v>
      </c>
      <c r="AE51" s="530" t="s">
        <v>103</v>
      </c>
      <c r="AF51" s="537">
        <v>0</v>
      </c>
      <c r="AG51" s="13"/>
      <c r="AH51" s="714"/>
      <c r="AI51" s="269">
        <f t="shared" si="12"/>
        <v>0</v>
      </c>
      <c r="AJ51" s="13"/>
      <c r="AK51" s="271">
        <f t="shared" si="13"/>
        <v>0</v>
      </c>
      <c r="AL51" s="1833"/>
      <c r="AM51" s="1569"/>
      <c r="AN51" s="59"/>
      <c r="AO51" s="59"/>
    </row>
    <row r="52" spans="1:41" s="62" customFormat="1" ht="15" customHeight="1">
      <c r="A52" s="423"/>
      <c r="B52" s="289" t="s">
        <v>382</v>
      </c>
      <c r="C52" s="60"/>
      <c r="D52" s="537">
        <v>0.1</v>
      </c>
      <c r="E52" s="518"/>
      <c r="F52" s="537">
        <v>0</v>
      </c>
      <c r="G52" s="518"/>
      <c r="H52" s="537">
        <v>0</v>
      </c>
      <c r="I52" s="13"/>
      <c r="J52" s="537">
        <v>0</v>
      </c>
      <c r="K52" s="559"/>
      <c r="L52" s="537">
        <v>0.1</v>
      </c>
      <c r="M52" s="559"/>
      <c r="N52" s="537">
        <v>9.9999999999999978E-2</v>
      </c>
      <c r="O52" s="559"/>
      <c r="P52" s="537">
        <v>0</v>
      </c>
      <c r="Q52" s="559"/>
      <c r="R52" s="537">
        <f t="shared" si="14"/>
        <v>0.4</v>
      </c>
      <c r="S52" s="559"/>
      <c r="T52" s="537"/>
      <c r="U52" s="559"/>
      <c r="V52" s="537"/>
      <c r="W52" s="559"/>
      <c r="X52" s="537"/>
      <c r="Y52" s="559"/>
      <c r="Z52" s="537"/>
      <c r="AA52" s="294"/>
      <c r="AB52" s="530"/>
      <c r="AC52" s="537">
        <v>0.7</v>
      </c>
      <c r="AD52" s="269"/>
      <c r="AE52" s="530" t="s">
        <v>103</v>
      </c>
      <c r="AF52" s="537">
        <v>0.4</v>
      </c>
      <c r="AG52" s="13"/>
      <c r="AH52" s="714"/>
      <c r="AI52" s="269">
        <f t="shared" si="12"/>
        <v>0.3</v>
      </c>
      <c r="AJ52" s="13"/>
      <c r="AK52" s="271">
        <f>ROUND(IF(AF52=0,1,AI52/ABS(AF52)),3)</f>
        <v>0.75</v>
      </c>
      <c r="AL52" s="1833"/>
      <c r="AM52" s="1569"/>
      <c r="AN52" s="59"/>
      <c r="AO52" s="59"/>
    </row>
    <row r="53" spans="1:41" s="62" customFormat="1" ht="15" customHeight="1">
      <c r="A53" s="423"/>
      <c r="B53" s="426" t="s">
        <v>383</v>
      </c>
      <c r="C53" s="296"/>
      <c r="D53" s="537">
        <v>0.2</v>
      </c>
      <c r="E53" s="518"/>
      <c r="F53" s="537">
        <v>9.9999999999999978E-2</v>
      </c>
      <c r="G53" s="518"/>
      <c r="H53" s="537">
        <v>0.2</v>
      </c>
      <c r="I53" s="296"/>
      <c r="J53" s="537">
        <v>0.3</v>
      </c>
      <c r="K53" s="559"/>
      <c r="L53" s="537">
        <v>9.9999999999999978E-2</v>
      </c>
      <c r="M53" s="559"/>
      <c r="N53" s="537">
        <v>9.9999999999999978E-2</v>
      </c>
      <c r="O53" s="559"/>
      <c r="P53" s="537">
        <v>0.39999999999999974</v>
      </c>
      <c r="Q53" s="559"/>
      <c r="R53" s="537">
        <f t="shared" si="14"/>
        <v>0.20000000000000046</v>
      </c>
      <c r="S53" s="559"/>
      <c r="T53" s="537"/>
      <c r="U53" s="559"/>
      <c r="V53" s="537"/>
      <c r="W53" s="559"/>
      <c r="X53" s="537"/>
      <c r="Y53" s="559"/>
      <c r="Z53" s="537"/>
      <c r="AA53" s="294"/>
      <c r="AB53" s="530"/>
      <c r="AC53" s="537">
        <v>1.6</v>
      </c>
      <c r="AD53" s="269"/>
      <c r="AE53" s="530" t="s">
        <v>103</v>
      </c>
      <c r="AF53" s="537">
        <v>1.8</v>
      </c>
      <c r="AG53" s="369"/>
      <c r="AH53" s="709"/>
      <c r="AI53" s="269">
        <f>ROUND(SUM(+AC53-AF53),1)</f>
        <v>-0.2</v>
      </c>
      <c r="AJ53" s="66"/>
      <c r="AK53" s="271">
        <f>ROUND(IF(AF53=0,1,AI53/ABS(AF53)),3)</f>
        <v>-0.111</v>
      </c>
      <c r="AL53" s="1833"/>
      <c r="AM53" s="1569"/>
      <c r="AN53" s="59"/>
      <c r="AO53" s="59"/>
    </row>
    <row r="54" spans="1:41" s="62" customFormat="1" ht="15" customHeight="1">
      <c r="A54" s="423"/>
      <c r="B54" s="87" t="s">
        <v>384</v>
      </c>
      <c r="C54" s="60"/>
      <c r="D54" s="680">
        <f>ROUND(SUM(D48:D53),1)</f>
        <v>168.7</v>
      </c>
      <c r="E54" s="13"/>
      <c r="F54" s="680">
        <f>ROUND(SUM(F48:F53),1)</f>
        <v>154.5</v>
      </c>
      <c r="G54" s="13"/>
      <c r="H54" s="680">
        <f>ROUND(SUM(H48:H53),1)</f>
        <v>76.3</v>
      </c>
      <c r="I54" s="13"/>
      <c r="J54" s="680">
        <f>ROUND(SUM(J48:J53),1)</f>
        <v>112.7</v>
      </c>
      <c r="K54" s="13"/>
      <c r="L54" s="680">
        <f>ROUND(SUM(L48:L53),1)</f>
        <v>152</v>
      </c>
      <c r="M54" s="13"/>
      <c r="N54" s="680">
        <f>ROUND(SUM(N48:N53),1)</f>
        <v>130.5</v>
      </c>
      <c r="O54" s="13"/>
      <c r="P54" s="680">
        <f>ROUND(SUM(P48:P53),1)</f>
        <v>168.9</v>
      </c>
      <c r="Q54" s="13"/>
      <c r="R54" s="680">
        <f>ROUND(SUM(R48:R53),1)</f>
        <v>133.6</v>
      </c>
      <c r="S54" s="13"/>
      <c r="T54" s="680">
        <f>ROUND(SUM(T48:T53),1)</f>
        <v>0</v>
      </c>
      <c r="U54" s="13"/>
      <c r="V54" s="680">
        <f>ROUND(SUM(V48:V53),1)</f>
        <v>0</v>
      </c>
      <c r="W54" s="13"/>
      <c r="X54" s="680">
        <f>ROUND(SUM(X48:X53),1)</f>
        <v>0</v>
      </c>
      <c r="Y54" s="13"/>
      <c r="Z54" s="680">
        <f>ROUND(SUM(Z48:Z53),1)</f>
        <v>0</v>
      </c>
      <c r="AA54" s="40"/>
      <c r="AB54" s="72"/>
      <c r="AC54" s="680">
        <f>ROUND(SUM(AC48:AC53),1)</f>
        <v>1097.2</v>
      </c>
      <c r="AD54" s="13"/>
      <c r="AE54" s="14"/>
      <c r="AF54" s="680">
        <f>ROUND(SUM(AF48:AF53),1)</f>
        <v>928</v>
      </c>
      <c r="AG54" s="13"/>
      <c r="AH54" s="714"/>
      <c r="AI54" s="680">
        <f>ROUND(SUM(AI48:AI53),1)</f>
        <v>169.2</v>
      </c>
      <c r="AJ54" s="13"/>
      <c r="AK54" s="937">
        <f>ROUND(SUM(+AI54/AF54),3)</f>
        <v>0.182</v>
      </c>
      <c r="AL54" s="1833"/>
      <c r="AM54" s="1569"/>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4"/>
      <c r="AI55" s="13"/>
      <c r="AJ55" s="13"/>
      <c r="AK55" s="77"/>
      <c r="AL55" s="1833"/>
      <c r="AM55" s="1569"/>
      <c r="AN55" s="59"/>
      <c r="AO55" s="59"/>
    </row>
    <row r="56" spans="1:41" ht="15" customHeight="1">
      <c r="A56" s="35"/>
      <c r="B56" s="87" t="s">
        <v>385</v>
      </c>
      <c r="C56" s="369"/>
      <c r="D56" s="715">
        <f>ROUND(SUM(D27+D38+D46+D54),1)</f>
        <v>6799.2</v>
      </c>
      <c r="E56" s="269"/>
      <c r="F56" s="715">
        <f>ROUND(SUM(F27+F38+F46+F54),1)</f>
        <v>2998.7</v>
      </c>
      <c r="G56" s="269"/>
      <c r="H56" s="715">
        <f>ROUND(SUM(H27+H38+H46+H54),1)</f>
        <v>7374.3</v>
      </c>
      <c r="I56" s="269"/>
      <c r="J56" s="715">
        <f>ROUND(SUM(J27+J38+J46+J54),1)</f>
        <v>3311.9</v>
      </c>
      <c r="K56" s="269"/>
      <c r="L56" s="1034">
        <f>ROUND(SUM(L27+L38+L46+L54),1)</f>
        <v>3275.4</v>
      </c>
      <c r="M56" s="269"/>
      <c r="N56" s="1034">
        <f>ROUND(SUM(N27+N38+N46+N54),1)</f>
        <v>7000.9</v>
      </c>
      <c r="O56" s="269"/>
      <c r="P56" s="1034">
        <f>ROUND(SUM(P27+P38+P46+P54),1)</f>
        <v>1799.7</v>
      </c>
      <c r="Q56" s="269"/>
      <c r="R56" s="1034">
        <f>ROUND(SUM(R27+R38+R46+R54),1)</f>
        <v>2331.4</v>
      </c>
      <c r="S56" s="677"/>
      <c r="T56" s="1034">
        <f>ROUND(SUM(T27+T38+T46+T54),1)</f>
        <v>0</v>
      </c>
      <c r="U56" s="269"/>
      <c r="V56" s="1034">
        <f>ROUND(SUM(V27+V38+V46+V54),1)</f>
        <v>0</v>
      </c>
      <c r="W56" s="269"/>
      <c r="X56" s="1034">
        <f>ROUND(SUM(X27+X38+X46+X54),1)</f>
        <v>0</v>
      </c>
      <c r="Y56" s="269"/>
      <c r="Z56" s="1034">
        <f>ROUND(SUM(Z27+Z38+Z46+Z54),1)</f>
        <v>0</v>
      </c>
      <c r="AA56" s="273"/>
      <c r="AB56" s="868"/>
      <c r="AC56" s="715">
        <f>ROUND(SUM(AC27+AC38+AC46+AC54),1)</f>
        <v>34891.5</v>
      </c>
      <c r="AD56" s="269"/>
      <c r="AE56" s="529"/>
      <c r="AF56" s="715">
        <f>ROUND(SUM(AF27+AF38+AF46+AF54),1)</f>
        <v>32901.699999999997</v>
      </c>
      <c r="AG56" s="269"/>
      <c r="AH56" s="713"/>
      <c r="AI56" s="1034">
        <f>ROUND(SUM(AI27+AI38+AI46+AI54),1)</f>
        <v>1989.8</v>
      </c>
      <c r="AJ56" s="269"/>
      <c r="AK56" s="373">
        <f>ROUND(SUM(+AI56/AF56),3)</f>
        <v>0.06</v>
      </c>
      <c r="AL56" s="1833"/>
      <c r="AM56" s="1569"/>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8"/>
      <c r="AC57" s="269"/>
      <c r="AD57" s="269"/>
      <c r="AE57" s="529"/>
      <c r="AF57" s="269"/>
      <c r="AG57" s="269"/>
      <c r="AH57" s="713"/>
      <c r="AI57" s="269"/>
      <c r="AJ57" s="269"/>
      <c r="AK57" s="288"/>
      <c r="AL57" s="1833"/>
      <c r="AM57" s="1569"/>
    </row>
    <row r="58" spans="1:41" ht="15" customHeight="1">
      <c r="A58" s="35"/>
      <c r="B58" s="1235" t="s">
        <v>386</v>
      </c>
      <c r="C58" s="371"/>
      <c r="D58" s="269"/>
      <c r="E58" s="1131"/>
      <c r="F58" s="269"/>
      <c r="G58" s="1131"/>
      <c r="H58" s="269"/>
      <c r="I58" s="269"/>
      <c r="J58" s="269"/>
      <c r="K58" s="269"/>
      <c r="L58" s="269"/>
      <c r="M58" s="269"/>
      <c r="N58" s="269"/>
      <c r="O58" s="269"/>
      <c r="P58" s="269"/>
      <c r="Q58" s="269"/>
      <c r="R58" s="269"/>
      <c r="S58" s="269"/>
      <c r="T58" s="269"/>
      <c r="U58" s="269"/>
      <c r="V58" s="269"/>
      <c r="W58" s="269"/>
      <c r="X58" s="269"/>
      <c r="Y58" s="269"/>
      <c r="Z58" s="269"/>
      <c r="AA58" s="273"/>
      <c r="AB58" s="868"/>
      <c r="AC58" s="269"/>
      <c r="AD58" s="269"/>
      <c r="AE58" s="529"/>
      <c r="AF58" s="269"/>
      <c r="AG58" s="269"/>
      <c r="AH58" s="713"/>
      <c r="AI58" s="269"/>
      <c r="AJ58" s="269"/>
      <c r="AK58" s="288"/>
      <c r="AL58" s="1833"/>
      <c r="AM58" s="1569"/>
    </row>
    <row r="59" spans="1:41" ht="15" customHeight="1">
      <c r="A59" s="35"/>
      <c r="B59" s="355" t="s">
        <v>387</v>
      </c>
      <c r="C59" s="371"/>
      <c r="D59" s="269"/>
      <c r="E59" s="1131"/>
      <c r="F59" s="269"/>
      <c r="G59" s="1131"/>
      <c r="H59" s="269"/>
      <c r="I59" s="269"/>
      <c r="J59" s="269"/>
      <c r="K59" s="269"/>
      <c r="L59" s="269"/>
      <c r="M59" s="269"/>
      <c r="N59" s="269"/>
      <c r="O59" s="269"/>
      <c r="P59" s="269"/>
      <c r="Q59" s="269"/>
      <c r="R59" s="269"/>
      <c r="S59" s="269"/>
      <c r="T59" s="269"/>
      <c r="U59" s="269"/>
      <c r="V59" s="269"/>
      <c r="W59" s="269"/>
      <c r="X59" s="269"/>
      <c r="Y59" s="269"/>
      <c r="Z59" s="269"/>
      <c r="AA59" s="273"/>
      <c r="AB59" s="1039"/>
      <c r="AC59" s="269"/>
      <c r="AD59" s="269"/>
      <c r="AE59" s="529"/>
      <c r="AF59" s="269"/>
      <c r="AG59" s="269"/>
      <c r="AH59" s="713"/>
      <c r="AI59" s="269"/>
      <c r="AJ59" s="269"/>
      <c r="AK59" s="288"/>
      <c r="AL59" s="1833"/>
      <c r="AM59" s="1569"/>
    </row>
    <row r="60" spans="1:41" ht="15" customHeight="1">
      <c r="A60" s="35"/>
      <c r="B60" s="355" t="s">
        <v>388</v>
      </c>
      <c r="C60" s="355"/>
      <c r="D60" s="537">
        <v>0.6</v>
      </c>
      <c r="E60" s="518"/>
      <c r="F60" s="537">
        <v>0</v>
      </c>
      <c r="G60" s="518"/>
      <c r="H60" s="537">
        <v>0</v>
      </c>
      <c r="I60" s="269"/>
      <c r="J60" s="537">
        <v>0</v>
      </c>
      <c r="K60" s="559"/>
      <c r="L60" s="537">
        <v>10</v>
      </c>
      <c r="M60" s="559"/>
      <c r="N60" s="537">
        <v>100</v>
      </c>
      <c r="O60" s="559"/>
      <c r="P60" s="537">
        <v>29.999999999999993</v>
      </c>
      <c r="Q60" s="559"/>
      <c r="R60" s="537">
        <f>$AC60-N60-P60-L60-J60-H60-F60-D60</f>
        <v>130.00000000000003</v>
      </c>
      <c r="S60" s="559"/>
      <c r="T60" s="537"/>
      <c r="U60" s="559"/>
      <c r="V60" s="537"/>
      <c r="W60" s="559"/>
      <c r="X60" s="537"/>
      <c r="Y60" s="559"/>
      <c r="Z60" s="537"/>
      <c r="AA60" s="294"/>
      <c r="AB60" s="530"/>
      <c r="AC60" s="537">
        <v>270.60000000000002</v>
      </c>
      <c r="AD60" s="269"/>
      <c r="AE60" s="530" t="s">
        <v>103</v>
      </c>
      <c r="AF60" s="537">
        <v>270.3</v>
      </c>
      <c r="AG60" s="292"/>
      <c r="AH60" s="716"/>
      <c r="AI60" s="269">
        <f>ROUND(SUM(+AC60-AF60),1)</f>
        <v>0.3</v>
      </c>
      <c r="AJ60" s="269"/>
      <c r="AK60" s="271">
        <f>ROUND(IF(AF60=0,1,AI60/ABS(AF60)),3)</f>
        <v>1E-3</v>
      </c>
      <c r="AL60" s="1833"/>
      <c r="AM60" s="1569"/>
    </row>
    <row r="61" spans="1:41" ht="15" customHeight="1">
      <c r="A61" s="35"/>
      <c r="B61" s="355" t="s">
        <v>389</v>
      </c>
      <c r="C61" s="355"/>
      <c r="D61" s="537">
        <v>4.7</v>
      </c>
      <c r="E61" s="518"/>
      <c r="F61" s="537">
        <v>0.70000000000000018</v>
      </c>
      <c r="G61" s="518"/>
      <c r="H61" s="537">
        <v>5.1999999999999993</v>
      </c>
      <c r="I61" s="269"/>
      <c r="J61" s="537">
        <v>3.200000000000002</v>
      </c>
      <c r="K61" s="559"/>
      <c r="L61" s="537">
        <v>-0.50000000000000089</v>
      </c>
      <c r="M61" s="559"/>
      <c r="N61" s="537">
        <v>36.999999999999986</v>
      </c>
      <c r="O61" s="559"/>
      <c r="P61" s="537">
        <v>2.8000000000000131</v>
      </c>
      <c r="Q61" s="559"/>
      <c r="R61" s="537">
        <f t="shared" ref="R61:R95" si="15">$AC61-N61-P61-L61-J61-H61-F61-D61</f>
        <v>1.2999999999999989</v>
      </c>
      <c r="S61" s="559"/>
      <c r="T61" s="537"/>
      <c r="U61" s="559"/>
      <c r="V61" s="537"/>
      <c r="W61" s="559"/>
      <c r="X61" s="537"/>
      <c r="Y61" s="559"/>
      <c r="Z61" s="537"/>
      <c r="AA61" s="294"/>
      <c r="AB61" s="530"/>
      <c r="AC61" s="537">
        <v>54.4</v>
      </c>
      <c r="AD61" s="269"/>
      <c r="AE61" s="530" t="s">
        <v>103</v>
      </c>
      <c r="AF61" s="537">
        <v>37.799999999999997</v>
      </c>
      <c r="AG61" s="269"/>
      <c r="AH61" s="713"/>
      <c r="AI61" s="269">
        <f>ROUND(SUM(+AC61-AF61),1)</f>
        <v>16.600000000000001</v>
      </c>
      <c r="AJ61" s="269"/>
      <c r="AK61" s="548">
        <f>ROUND(IF(AF61=0,0,AI61/ABS(AF61)),3)</f>
        <v>0.439</v>
      </c>
      <c r="AL61" s="1833"/>
      <c r="AM61" s="1569"/>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39"/>
      <c r="AC62" s="705" t="s">
        <v>103</v>
      </c>
      <c r="AD62" s="269"/>
      <c r="AE62" s="530"/>
      <c r="AF62" s="705" t="s">
        <v>103</v>
      </c>
      <c r="AG62" s="269"/>
      <c r="AH62" s="713"/>
      <c r="AI62" s="269"/>
      <c r="AJ62" s="269"/>
      <c r="AK62" s="288"/>
      <c r="AL62" s="1833"/>
      <c r="AM62" s="1569"/>
    </row>
    <row r="63" spans="1:41" ht="15" customHeight="1">
      <c r="A63" s="35"/>
      <c r="B63" s="355" t="s">
        <v>391</v>
      </c>
      <c r="C63" s="355"/>
      <c r="D63" s="537">
        <v>0</v>
      </c>
      <c r="E63" s="518"/>
      <c r="F63" s="537">
        <v>0.4</v>
      </c>
      <c r="G63" s="518"/>
      <c r="H63" s="537">
        <v>-1.9</v>
      </c>
      <c r="I63" s="269"/>
      <c r="J63" s="537">
        <v>0</v>
      </c>
      <c r="K63" s="559"/>
      <c r="L63" s="537">
        <v>0</v>
      </c>
      <c r="M63" s="559"/>
      <c r="N63" s="537">
        <v>0</v>
      </c>
      <c r="O63" s="559"/>
      <c r="P63" s="537">
        <v>0</v>
      </c>
      <c r="Q63" s="559"/>
      <c r="R63" s="537">
        <f>ROUND($AC63-N63-P63-L63-J63-H63-F63-D63,1)</f>
        <v>0</v>
      </c>
      <c r="S63" s="559"/>
      <c r="T63" s="537"/>
      <c r="U63" s="559"/>
      <c r="V63" s="537"/>
      <c r="W63" s="559"/>
      <c r="X63" s="537"/>
      <c r="Y63" s="559"/>
      <c r="Z63" s="537"/>
      <c r="AA63" s="294"/>
      <c r="AB63" s="530"/>
      <c r="AC63" s="537">
        <v>-1.5</v>
      </c>
      <c r="AD63" s="269"/>
      <c r="AE63" s="530" t="s">
        <v>103</v>
      </c>
      <c r="AF63" s="537">
        <v>1.1000000000000001</v>
      </c>
      <c r="AG63" s="292"/>
      <c r="AH63" s="716"/>
      <c r="AI63" s="269">
        <f>ROUND(SUM(+AC63-AF63),1)</f>
        <v>-2.6</v>
      </c>
      <c r="AJ63" s="269"/>
      <c r="AK63" s="548">
        <f>ROUND(IF(AF63=0,0,AI63/ABS(AF63)),3)</f>
        <v>-2.3639999999999999</v>
      </c>
      <c r="AL63" s="1833"/>
      <c r="AM63" s="1569"/>
    </row>
    <row r="64" spans="1:41" ht="15" customHeight="1">
      <c r="A64" s="35"/>
      <c r="B64" s="355" t="s">
        <v>392</v>
      </c>
      <c r="C64" s="355"/>
      <c r="D64" s="537">
        <v>2.7</v>
      </c>
      <c r="E64" s="518"/>
      <c r="F64" s="537">
        <v>2.0999999999999996</v>
      </c>
      <c r="G64" s="518"/>
      <c r="H64" s="537">
        <v>2.9000000000000004</v>
      </c>
      <c r="I64" s="269"/>
      <c r="J64" s="537">
        <v>3.1000000000000005</v>
      </c>
      <c r="K64" s="559"/>
      <c r="L64" s="537">
        <v>5.3999999999999995</v>
      </c>
      <c r="M64" s="559"/>
      <c r="N64" s="537">
        <v>1.6999999999999984</v>
      </c>
      <c r="O64" s="559"/>
      <c r="P64" s="537">
        <v>1.9000000000000012</v>
      </c>
      <c r="Q64" s="559"/>
      <c r="R64" s="537">
        <f t="shared" si="15"/>
        <v>7.7999999999999963</v>
      </c>
      <c r="S64" s="559"/>
      <c r="T64" s="537"/>
      <c r="U64" s="559"/>
      <c r="V64" s="537"/>
      <c r="W64" s="559"/>
      <c r="X64" s="537"/>
      <c r="Y64" s="559"/>
      <c r="Z64" s="537"/>
      <c r="AA64" s="294"/>
      <c r="AB64" s="530"/>
      <c r="AC64" s="537">
        <v>27.599999999999998</v>
      </c>
      <c r="AD64" s="269"/>
      <c r="AE64" s="530" t="s">
        <v>103</v>
      </c>
      <c r="AF64" s="537">
        <v>25.1</v>
      </c>
      <c r="AG64" s="292"/>
      <c r="AH64" s="716"/>
      <c r="AI64" s="269">
        <f>ROUND(SUM(+AC64-AF64),1)</f>
        <v>2.5</v>
      </c>
      <c r="AJ64" s="269"/>
      <c r="AK64" s="271">
        <f>ROUND(IF(AF64=0,1,AI64/ABS(AF64)),3)</f>
        <v>0.1</v>
      </c>
      <c r="AL64" s="1833"/>
      <c r="AM64" s="1569"/>
    </row>
    <row r="65" spans="1:39" ht="15" customHeight="1">
      <c r="A65" s="35"/>
      <c r="B65" s="355" t="s">
        <v>393</v>
      </c>
      <c r="C65" s="355"/>
      <c r="D65" s="537">
        <v>0</v>
      </c>
      <c r="E65" s="518"/>
      <c r="F65" s="537">
        <v>0</v>
      </c>
      <c r="G65" s="518"/>
      <c r="H65" s="537">
        <v>0</v>
      </c>
      <c r="I65" s="269"/>
      <c r="J65" s="537">
        <v>0</v>
      </c>
      <c r="K65" s="559"/>
      <c r="L65" s="537">
        <v>0</v>
      </c>
      <c r="M65" s="559"/>
      <c r="N65" s="537">
        <v>0</v>
      </c>
      <c r="O65" s="559"/>
      <c r="P65" s="537">
        <v>0</v>
      </c>
      <c r="Q65" s="559"/>
      <c r="R65" s="537">
        <f t="shared" si="15"/>
        <v>0</v>
      </c>
      <c r="S65" s="559"/>
      <c r="T65" s="537"/>
      <c r="U65" s="559"/>
      <c r="V65" s="537"/>
      <c r="W65" s="559"/>
      <c r="X65" s="537"/>
      <c r="Y65" s="559"/>
      <c r="Z65" s="537"/>
      <c r="AA65" s="294"/>
      <c r="AB65" s="530"/>
      <c r="AC65" s="537">
        <v>0</v>
      </c>
      <c r="AD65" s="269"/>
      <c r="AE65" s="530" t="s">
        <v>103</v>
      </c>
      <c r="AF65" s="537">
        <v>0</v>
      </c>
      <c r="AG65" s="292"/>
      <c r="AH65" s="716"/>
      <c r="AI65" s="269">
        <f>ROUND(SUM(+AC65-AF65),1)</f>
        <v>0</v>
      </c>
      <c r="AJ65" s="269"/>
      <c r="AK65" s="271">
        <f>ROUND(IF(AF65=0,0,AI65/ABS(AF65)),3)</f>
        <v>0</v>
      </c>
      <c r="AL65" s="1833"/>
      <c r="AM65" s="1569"/>
    </row>
    <row r="66" spans="1:39" ht="15">
      <c r="A66" s="35"/>
      <c r="B66" s="355" t="s">
        <v>394</v>
      </c>
      <c r="C66" s="355"/>
      <c r="D66" s="537">
        <v>0</v>
      </c>
      <c r="E66" s="518"/>
      <c r="F66" s="537">
        <v>0</v>
      </c>
      <c r="G66" s="518"/>
      <c r="H66" s="537">
        <v>0</v>
      </c>
      <c r="I66" s="269"/>
      <c r="J66" s="537">
        <v>0</v>
      </c>
      <c r="K66" s="559"/>
      <c r="L66" s="537">
        <v>0</v>
      </c>
      <c r="M66" s="559"/>
      <c r="N66" s="537">
        <v>0</v>
      </c>
      <c r="O66" s="559"/>
      <c r="P66" s="537">
        <v>0</v>
      </c>
      <c r="Q66" s="559"/>
      <c r="R66" s="537">
        <f t="shared" si="15"/>
        <v>0</v>
      </c>
      <c r="S66" s="559"/>
      <c r="T66" s="537"/>
      <c r="U66" s="559"/>
      <c r="V66" s="537"/>
      <c r="W66" s="559"/>
      <c r="X66" s="537"/>
      <c r="Y66" s="559"/>
      <c r="Z66" s="537"/>
      <c r="AA66" s="294"/>
      <c r="AB66" s="530"/>
      <c r="AC66" s="537">
        <v>0</v>
      </c>
      <c r="AD66" s="269"/>
      <c r="AE66" s="530" t="s">
        <v>103</v>
      </c>
      <c r="AF66" s="537">
        <v>0</v>
      </c>
      <c r="AG66" s="292"/>
      <c r="AH66" s="716"/>
      <c r="AI66" s="269">
        <f>ROUND(SUM(+AC66-AF66),1)</f>
        <v>0</v>
      </c>
      <c r="AJ66" s="269"/>
      <c r="AK66" s="548">
        <f>ROUND(IF(AF66=0,0,AI66/ABS(AF66)),3)</f>
        <v>0</v>
      </c>
      <c r="AL66" s="1833"/>
      <c r="AM66" s="1569"/>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39"/>
      <c r="AC67" s="705" t="s">
        <v>103</v>
      </c>
      <c r="AD67" s="269"/>
      <c r="AE67" s="530"/>
      <c r="AF67" s="705" t="s">
        <v>103</v>
      </c>
      <c r="AG67" s="269"/>
      <c r="AH67" s="713"/>
      <c r="AI67" s="269"/>
      <c r="AJ67" s="269"/>
      <c r="AK67" s="288"/>
      <c r="AL67" s="1833"/>
      <c r="AM67" s="1569"/>
    </row>
    <row r="68" spans="1:39" ht="15" customHeight="1">
      <c r="A68" s="35"/>
      <c r="B68" s="355" t="s">
        <v>396</v>
      </c>
      <c r="C68" s="355"/>
      <c r="D68" s="537">
        <v>4.7</v>
      </c>
      <c r="E68" s="518"/>
      <c r="F68" s="537">
        <v>3.3999999999999995</v>
      </c>
      <c r="G68" s="518"/>
      <c r="H68" s="537">
        <v>4.5</v>
      </c>
      <c r="I68" s="269"/>
      <c r="J68" s="537">
        <v>4.5000000000000027</v>
      </c>
      <c r="K68" s="559"/>
      <c r="L68" s="537">
        <v>5.4999999999999991</v>
      </c>
      <c r="M68" s="559"/>
      <c r="N68" s="537">
        <v>5.6999999999999984</v>
      </c>
      <c r="O68" s="559"/>
      <c r="P68" s="537">
        <v>7.3</v>
      </c>
      <c r="Q68" s="559"/>
      <c r="R68" s="537">
        <f t="shared" si="15"/>
        <v>5.4000000000000012</v>
      </c>
      <c r="S68" s="559"/>
      <c r="T68" s="537"/>
      <c r="U68" s="559"/>
      <c r="V68" s="537"/>
      <c r="W68" s="559"/>
      <c r="X68" s="537"/>
      <c r="Y68" s="559"/>
      <c r="Z68" s="537"/>
      <c r="AA68" s="294"/>
      <c r="AB68" s="530"/>
      <c r="AC68" s="537">
        <v>41</v>
      </c>
      <c r="AD68" s="269"/>
      <c r="AE68" s="530" t="s">
        <v>103</v>
      </c>
      <c r="AF68" s="537">
        <v>41.2</v>
      </c>
      <c r="AG68" s="269"/>
      <c r="AH68" s="713"/>
      <c r="AI68" s="269">
        <f t="shared" ref="AI68:AI77" si="16">ROUND(SUM(+AC68-AF68),1)</f>
        <v>-0.2</v>
      </c>
      <c r="AJ68" s="269"/>
      <c r="AK68" s="271">
        <f>ROUND(IF(AF68=0,0,AI68/ABS(AF68)),3)</f>
        <v>-5.0000000000000001E-3</v>
      </c>
      <c r="AL68" s="1833"/>
      <c r="AM68" s="1569"/>
    </row>
    <row r="69" spans="1:39" ht="15" customHeight="1">
      <c r="A69" s="35"/>
      <c r="B69" s="355" t="s">
        <v>397</v>
      </c>
      <c r="C69" s="355"/>
      <c r="D69" s="537">
        <v>0</v>
      </c>
      <c r="E69" s="518"/>
      <c r="F69" s="537">
        <v>0</v>
      </c>
      <c r="G69" s="518"/>
      <c r="H69" s="537">
        <v>0</v>
      </c>
      <c r="I69" s="269"/>
      <c r="J69" s="537">
        <v>0</v>
      </c>
      <c r="K69" s="559"/>
      <c r="L69" s="537">
        <v>0</v>
      </c>
      <c r="M69" s="559"/>
      <c r="N69" s="537">
        <v>0</v>
      </c>
      <c r="O69" s="559"/>
      <c r="P69" s="537">
        <v>0</v>
      </c>
      <c r="Q69" s="559"/>
      <c r="R69" s="537">
        <f t="shared" si="15"/>
        <v>0</v>
      </c>
      <c r="S69" s="559"/>
      <c r="T69" s="537"/>
      <c r="U69" s="559"/>
      <c r="V69" s="537"/>
      <c r="W69" s="559"/>
      <c r="X69" s="537"/>
      <c r="Y69" s="559"/>
      <c r="Z69" s="537"/>
      <c r="AA69" s="294"/>
      <c r="AB69" s="530"/>
      <c r="AC69" s="537">
        <v>0</v>
      </c>
      <c r="AD69" s="269"/>
      <c r="AE69" s="530" t="s">
        <v>103</v>
      </c>
      <c r="AF69" s="537">
        <v>0</v>
      </c>
      <c r="AG69" s="269"/>
      <c r="AH69" s="713"/>
      <c r="AI69" s="269">
        <f>ROUND(SUM(+AC69-AF69),1)</f>
        <v>0</v>
      </c>
      <c r="AJ69" s="269"/>
      <c r="AK69" s="271">
        <f>ROUND(IF(AF69=0,0,AI69/ABS(AF69)),3)</f>
        <v>0</v>
      </c>
      <c r="AL69" s="1833"/>
      <c r="AM69" s="1569"/>
    </row>
    <row r="70" spans="1:39" ht="15" customHeight="1">
      <c r="A70" s="35"/>
      <c r="B70" s="355" t="s">
        <v>398</v>
      </c>
      <c r="C70" s="355"/>
      <c r="D70" s="537">
        <v>35.1</v>
      </c>
      <c r="E70" s="518"/>
      <c r="F70" s="537">
        <v>-12.400000000000002</v>
      </c>
      <c r="G70" s="518"/>
      <c r="H70" s="537">
        <v>31.900000000000002</v>
      </c>
      <c r="I70" s="269"/>
      <c r="J70" s="537">
        <v>20.6</v>
      </c>
      <c r="K70" s="559"/>
      <c r="L70" s="537">
        <v>14.29999999999999</v>
      </c>
      <c r="M70" s="559"/>
      <c r="N70" s="537">
        <v>48.100000000000016</v>
      </c>
      <c r="O70" s="559"/>
      <c r="P70" s="537">
        <v>14.899999999999999</v>
      </c>
      <c r="Q70" s="559"/>
      <c r="R70" s="537">
        <f t="shared" si="15"/>
        <v>9.1999999999999744</v>
      </c>
      <c r="S70" s="559"/>
      <c r="T70" s="537"/>
      <c r="U70" s="559"/>
      <c r="V70" s="537"/>
      <c r="W70" s="559"/>
      <c r="X70" s="537"/>
      <c r="Y70" s="559"/>
      <c r="Z70" s="537"/>
      <c r="AA70" s="294"/>
      <c r="AB70" s="530"/>
      <c r="AC70" s="537">
        <v>161.69999999999999</v>
      </c>
      <c r="AD70" s="269"/>
      <c r="AE70" s="530" t="s">
        <v>103</v>
      </c>
      <c r="AF70" s="537">
        <v>160.6</v>
      </c>
      <c r="AG70" s="292"/>
      <c r="AH70" s="716"/>
      <c r="AI70" s="269">
        <f t="shared" si="16"/>
        <v>1.1000000000000001</v>
      </c>
      <c r="AJ70" s="269"/>
      <c r="AK70" s="271">
        <f>ROUND(IF(AF70=0,0,AI70/ABS(AF70)),3)</f>
        <v>7.0000000000000001E-3</v>
      </c>
      <c r="AL70" s="1833"/>
      <c r="AM70" s="1569"/>
    </row>
    <row r="71" spans="1:39" ht="15" customHeight="1">
      <c r="A71" s="35"/>
      <c r="B71" s="355" t="s">
        <v>399</v>
      </c>
      <c r="C71" s="355"/>
      <c r="D71" s="537">
        <v>19.3</v>
      </c>
      <c r="E71" s="518"/>
      <c r="F71" s="537">
        <v>19.400000000000002</v>
      </c>
      <c r="G71" s="518"/>
      <c r="H71" s="537">
        <v>10.199999999999996</v>
      </c>
      <c r="I71" s="269"/>
      <c r="J71" s="537">
        <v>26.099999999999998</v>
      </c>
      <c r="K71" s="559"/>
      <c r="L71" s="537">
        <v>14.2</v>
      </c>
      <c r="M71" s="559"/>
      <c r="N71" s="537">
        <v>34.500000000000014</v>
      </c>
      <c r="O71" s="559"/>
      <c r="P71" s="537">
        <v>7.9999999999999787</v>
      </c>
      <c r="Q71" s="559"/>
      <c r="R71" s="537">
        <f t="shared" si="15"/>
        <v>41.000000000000014</v>
      </c>
      <c r="S71" s="559"/>
      <c r="T71" s="537"/>
      <c r="U71" s="559"/>
      <c r="V71" s="537"/>
      <c r="W71" s="559"/>
      <c r="X71" s="537"/>
      <c r="Y71" s="559"/>
      <c r="Z71" s="537"/>
      <c r="AA71" s="294"/>
      <c r="AB71" s="530"/>
      <c r="AC71" s="537">
        <v>172.7</v>
      </c>
      <c r="AD71" s="269"/>
      <c r="AE71" s="530" t="s">
        <v>103</v>
      </c>
      <c r="AF71" s="537">
        <v>144.19999999999999</v>
      </c>
      <c r="AG71" s="292"/>
      <c r="AH71" s="716"/>
      <c r="AI71" s="269">
        <f t="shared" si="16"/>
        <v>28.5</v>
      </c>
      <c r="AJ71" s="269"/>
      <c r="AK71" s="548">
        <f>ROUND(IF(AF71=0,0,AI71/ABS(AF71)),3)</f>
        <v>0.19800000000000001</v>
      </c>
      <c r="AL71" s="1833"/>
      <c r="AM71" s="1569"/>
    </row>
    <row r="72" spans="1:39" ht="15" customHeight="1">
      <c r="A72" s="35"/>
      <c r="B72" s="355" t="s">
        <v>400</v>
      </c>
      <c r="C72" s="355"/>
      <c r="D72" s="537">
        <v>0.1</v>
      </c>
      <c r="E72" s="518"/>
      <c r="F72" s="537">
        <v>0.1</v>
      </c>
      <c r="G72" s="518"/>
      <c r="H72" s="537">
        <v>0</v>
      </c>
      <c r="I72" s="269"/>
      <c r="J72" s="537">
        <v>9.9999999999999978E-2</v>
      </c>
      <c r="K72" s="559"/>
      <c r="L72" s="537">
        <v>0.10000000000000003</v>
      </c>
      <c r="M72" s="559"/>
      <c r="N72" s="537">
        <v>9.9999999999999978E-2</v>
      </c>
      <c r="O72" s="559"/>
      <c r="P72" s="537">
        <v>9.9999999999999978E-2</v>
      </c>
      <c r="Q72" s="559"/>
      <c r="R72" s="537">
        <f t="shared" si="15"/>
        <v>9.9999999999999978E-2</v>
      </c>
      <c r="S72" s="559"/>
      <c r="T72" s="537"/>
      <c r="U72" s="559"/>
      <c r="V72" s="537"/>
      <c r="W72" s="559"/>
      <c r="X72" s="537"/>
      <c r="Y72" s="559"/>
      <c r="Z72" s="537"/>
      <c r="AA72" s="294"/>
      <c r="AB72" s="530"/>
      <c r="AC72" s="537">
        <v>0.7</v>
      </c>
      <c r="AD72" s="269"/>
      <c r="AE72" s="530" t="s">
        <v>103</v>
      </c>
      <c r="AF72" s="537">
        <v>0.7</v>
      </c>
      <c r="AG72" s="292"/>
      <c r="AH72" s="716"/>
      <c r="AI72" s="269">
        <f t="shared" si="16"/>
        <v>0</v>
      </c>
      <c r="AJ72" s="269"/>
      <c r="AK72" s="548">
        <f>ROUND(IF(AF72=0,1,AI72/ABS(AF72)),3)</f>
        <v>0</v>
      </c>
      <c r="AL72" s="1833"/>
      <c r="AM72" s="1569"/>
    </row>
    <row r="73" spans="1:39" ht="15" customHeight="1">
      <c r="A73" s="35"/>
      <c r="B73" s="355" t="s">
        <v>401</v>
      </c>
      <c r="C73" s="355"/>
      <c r="D73" s="537">
        <v>24.3</v>
      </c>
      <c r="E73" s="518"/>
      <c r="F73" s="537">
        <v>36.700000000000003</v>
      </c>
      <c r="G73" s="518"/>
      <c r="H73" s="537">
        <v>25.599999999999994</v>
      </c>
      <c r="I73" s="269"/>
      <c r="J73" s="537">
        <v>45.5</v>
      </c>
      <c r="K73" s="559"/>
      <c r="L73" s="537">
        <v>19.200000000000014</v>
      </c>
      <c r="M73" s="559"/>
      <c r="N73" s="537">
        <v>27.199999999999985</v>
      </c>
      <c r="O73" s="559"/>
      <c r="P73" s="537">
        <v>-5.0000000000000036</v>
      </c>
      <c r="Q73" s="559"/>
      <c r="R73" s="537">
        <f t="shared" si="15"/>
        <v>8.0999999999999908</v>
      </c>
      <c r="S73" s="559"/>
      <c r="T73" s="537"/>
      <c r="U73" s="559"/>
      <c r="V73" s="537"/>
      <c r="W73" s="559"/>
      <c r="X73" s="537"/>
      <c r="Y73" s="559"/>
      <c r="Z73" s="537"/>
      <c r="AA73" s="294"/>
      <c r="AB73" s="530"/>
      <c r="AC73" s="537">
        <v>181.6</v>
      </c>
      <c r="AD73" s="269"/>
      <c r="AE73" s="530" t="s">
        <v>103</v>
      </c>
      <c r="AF73" s="537">
        <v>211.1</v>
      </c>
      <c r="AG73" s="292"/>
      <c r="AH73" s="716"/>
      <c r="AI73" s="269">
        <f t="shared" si="16"/>
        <v>-29.5</v>
      </c>
      <c r="AJ73" s="269"/>
      <c r="AK73" s="548">
        <f>ROUND(IF(AF73=0,1,AI73/ABS(AF73)),3)</f>
        <v>-0.14000000000000001</v>
      </c>
      <c r="AL73" s="1833"/>
      <c r="AM73" s="1569"/>
    </row>
    <row r="74" spans="1:39" ht="15" customHeight="1">
      <c r="A74" s="35"/>
      <c r="B74" s="355" t="s">
        <v>402</v>
      </c>
      <c r="C74" s="355"/>
      <c r="D74" s="537">
        <v>2</v>
      </c>
      <c r="E74" s="518"/>
      <c r="F74" s="537">
        <v>2.2999999999999998</v>
      </c>
      <c r="G74" s="518"/>
      <c r="H74" s="537">
        <v>0.29999999999999982</v>
      </c>
      <c r="I74" s="269"/>
      <c r="J74" s="537">
        <v>2.3000000000000007</v>
      </c>
      <c r="K74" s="559"/>
      <c r="L74" s="537">
        <v>1.1999999999999993</v>
      </c>
      <c r="M74" s="559"/>
      <c r="N74" s="537">
        <v>3.4000000000000004</v>
      </c>
      <c r="O74" s="559"/>
      <c r="P74" s="537">
        <v>1</v>
      </c>
      <c r="Q74" s="559"/>
      <c r="R74" s="537">
        <f t="shared" si="15"/>
        <v>2.9000000000000004</v>
      </c>
      <c r="S74" s="559"/>
      <c r="T74" s="537"/>
      <c r="U74" s="559"/>
      <c r="V74" s="537"/>
      <c r="W74" s="559"/>
      <c r="X74" s="537"/>
      <c r="Y74" s="559"/>
      <c r="Z74" s="537"/>
      <c r="AA74" s="1250"/>
      <c r="AB74" s="269"/>
      <c r="AC74" s="537">
        <v>15.4</v>
      </c>
      <c r="AD74" s="269"/>
      <c r="AE74" s="530" t="s">
        <v>103</v>
      </c>
      <c r="AF74" s="537">
        <v>14.5</v>
      </c>
      <c r="AG74" s="292"/>
      <c r="AH74" s="716"/>
      <c r="AI74" s="269">
        <f t="shared" si="16"/>
        <v>0.9</v>
      </c>
      <c r="AJ74" s="269"/>
      <c r="AK74" s="548">
        <f>ROUND(IF(AF74=0,1,AI74/ABS(AF74)),3)</f>
        <v>6.2E-2</v>
      </c>
      <c r="AL74" s="1833"/>
      <c r="AM74" s="1569"/>
    </row>
    <row r="75" spans="1:39" ht="15" customHeight="1">
      <c r="A75" s="35"/>
      <c r="B75" s="355" t="s">
        <v>403</v>
      </c>
      <c r="C75" s="355"/>
      <c r="D75" s="537">
        <v>50.4</v>
      </c>
      <c r="E75" s="518"/>
      <c r="F75" s="537">
        <v>27.300000000000004</v>
      </c>
      <c r="G75" s="518"/>
      <c r="H75" s="537">
        <v>13</v>
      </c>
      <c r="I75" s="269"/>
      <c r="J75" s="537">
        <v>12.500000000000007</v>
      </c>
      <c r="K75" s="559"/>
      <c r="L75" s="537">
        <v>29.399999999999984</v>
      </c>
      <c r="M75" s="559"/>
      <c r="N75" s="537">
        <v>10.000000000000014</v>
      </c>
      <c r="O75" s="559"/>
      <c r="P75" s="537">
        <v>62.29999999999999</v>
      </c>
      <c r="Q75" s="559"/>
      <c r="R75" s="537">
        <f t="shared" si="15"/>
        <v>20.800000000000018</v>
      </c>
      <c r="S75" s="559"/>
      <c r="T75" s="537"/>
      <c r="U75" s="559"/>
      <c r="V75" s="537"/>
      <c r="W75" s="559"/>
      <c r="X75" s="537"/>
      <c r="Y75" s="559"/>
      <c r="Z75" s="537"/>
      <c r="AA75" s="1250"/>
      <c r="AB75" s="269"/>
      <c r="AC75" s="537">
        <v>225.7</v>
      </c>
      <c r="AD75" s="1251"/>
      <c r="AE75" s="269" t="s">
        <v>103</v>
      </c>
      <c r="AF75" s="537">
        <v>228.5</v>
      </c>
      <c r="AG75" s="292"/>
      <c r="AH75" s="716"/>
      <c r="AI75" s="269">
        <f t="shared" si="16"/>
        <v>-2.8</v>
      </c>
      <c r="AJ75" s="269"/>
      <c r="AK75" s="548">
        <f>ROUND(IF(AF75=0,0,AI75/ABS(AF75)),3)</f>
        <v>-1.2E-2</v>
      </c>
      <c r="AL75" s="1833"/>
      <c r="AM75" s="1569"/>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2"/>
      <c r="AB76" s="269"/>
      <c r="AC76" s="269" t="s">
        <v>103</v>
      </c>
      <c r="AD76" s="1251"/>
      <c r="AE76" s="269"/>
      <c r="AF76" s="269" t="s">
        <v>103</v>
      </c>
      <c r="AG76" s="292"/>
      <c r="AH76" s="716"/>
      <c r="AI76" s="269"/>
      <c r="AJ76" s="269"/>
      <c r="AK76" s="269"/>
      <c r="AL76" s="1833"/>
      <c r="AM76" s="1136"/>
    </row>
    <row r="77" spans="1:39" s="66" customFormat="1" ht="15" customHeight="1">
      <c r="A77" s="35"/>
      <c r="B77" s="355" t="s">
        <v>451</v>
      </c>
      <c r="C77" s="296"/>
      <c r="D77" s="537">
        <v>5</v>
      </c>
      <c r="E77" s="518"/>
      <c r="F77" s="537">
        <v>0</v>
      </c>
      <c r="G77" s="518"/>
      <c r="H77" s="537">
        <v>0</v>
      </c>
      <c r="I77" s="269"/>
      <c r="J77" s="537">
        <v>0</v>
      </c>
      <c r="K77" s="559"/>
      <c r="L77" s="537">
        <v>0</v>
      </c>
      <c r="M77" s="559"/>
      <c r="N77" s="537">
        <v>0</v>
      </c>
      <c r="O77" s="559"/>
      <c r="P77" s="537">
        <v>0</v>
      </c>
      <c r="Q77" s="559"/>
      <c r="R77" s="537">
        <f t="shared" si="15"/>
        <v>0</v>
      </c>
      <c r="S77" s="559"/>
      <c r="T77" s="537"/>
      <c r="U77" s="559"/>
      <c r="V77" s="537"/>
      <c r="W77" s="559"/>
      <c r="X77" s="537"/>
      <c r="Y77" s="559"/>
      <c r="Z77" s="537"/>
      <c r="AA77" s="1250"/>
      <c r="AB77" s="269"/>
      <c r="AC77" s="537">
        <v>5</v>
      </c>
      <c r="AD77" s="1832" t="s">
        <v>103</v>
      </c>
      <c r="AE77" s="292"/>
      <c r="AF77" s="537">
        <v>5</v>
      </c>
      <c r="AG77" s="292"/>
      <c r="AH77" s="716"/>
      <c r="AI77" s="269">
        <f t="shared" si="16"/>
        <v>0</v>
      </c>
      <c r="AJ77" s="269"/>
      <c r="AK77" s="288">
        <f>ROUND(IF(AF77=0,1,AI77/ABS(AF77)),3)</f>
        <v>0</v>
      </c>
      <c r="AL77" s="1833"/>
      <c r="AM77" s="1136"/>
    </row>
    <row r="78" spans="1:39" ht="15" customHeight="1">
      <c r="A78" s="35"/>
      <c r="B78" s="355" t="s">
        <v>409</v>
      </c>
      <c r="C78" s="355"/>
      <c r="D78" s="537">
        <v>221.9</v>
      </c>
      <c r="E78" s="518"/>
      <c r="F78" s="537">
        <v>217.1</v>
      </c>
      <c r="G78" s="518"/>
      <c r="H78" s="537">
        <v>220.70000000000007</v>
      </c>
      <c r="I78" s="269"/>
      <c r="J78" s="537">
        <v>200.49999999999997</v>
      </c>
      <c r="K78" s="559"/>
      <c r="L78" s="537">
        <v>194.20000000000002</v>
      </c>
      <c r="M78" s="559"/>
      <c r="N78" s="537">
        <v>193.49999999999997</v>
      </c>
      <c r="O78" s="559"/>
      <c r="P78" s="537">
        <v>192.19999999999979</v>
      </c>
      <c r="Q78" s="559"/>
      <c r="R78" s="537">
        <f t="shared" si="15"/>
        <v>183.49999999999997</v>
      </c>
      <c r="S78" s="559"/>
      <c r="T78" s="537"/>
      <c r="U78" s="559"/>
      <c r="V78" s="537"/>
      <c r="W78" s="559"/>
      <c r="X78" s="537"/>
      <c r="Y78" s="559"/>
      <c r="Z78" s="537"/>
      <c r="AA78" s="1250"/>
      <c r="AB78" s="269"/>
      <c r="AC78" s="537">
        <v>1623.6</v>
      </c>
      <c r="AD78" s="1251"/>
      <c r="AE78" s="269" t="s">
        <v>103</v>
      </c>
      <c r="AF78" s="537">
        <v>1777.9</v>
      </c>
      <c r="AG78" s="292"/>
      <c r="AH78" s="716"/>
      <c r="AI78" s="269">
        <f>ROUND(SUM(+AC78-AF78),1)</f>
        <v>-154.30000000000001</v>
      </c>
      <c r="AJ78" s="269"/>
      <c r="AK78" s="548">
        <f>ROUND(IF(AF78=0,1,AI78/ABS(AF78)),3)</f>
        <v>-8.6999999999999994E-2</v>
      </c>
      <c r="AL78" s="1833"/>
      <c r="AM78" s="1569"/>
    </row>
    <row r="79" spans="1:39" ht="15" customHeight="1">
      <c r="A79" s="35"/>
      <c r="B79" s="355" t="s">
        <v>410</v>
      </c>
      <c r="C79" s="355"/>
      <c r="D79" s="537">
        <v>0</v>
      </c>
      <c r="E79" s="518"/>
      <c r="F79" s="537">
        <v>0</v>
      </c>
      <c r="G79" s="518"/>
      <c r="H79" s="537">
        <v>0.1</v>
      </c>
      <c r="I79" s="269"/>
      <c r="J79" s="537">
        <v>0</v>
      </c>
      <c r="K79" s="559"/>
      <c r="L79" s="537">
        <v>0</v>
      </c>
      <c r="M79" s="559"/>
      <c r="N79" s="537">
        <v>0</v>
      </c>
      <c r="O79" s="559"/>
      <c r="P79" s="537">
        <v>0</v>
      </c>
      <c r="Q79" s="559"/>
      <c r="R79" s="537">
        <f t="shared" si="15"/>
        <v>0</v>
      </c>
      <c r="S79" s="559"/>
      <c r="T79" s="537"/>
      <c r="U79" s="559"/>
      <c r="V79" s="537"/>
      <c r="W79" s="559"/>
      <c r="X79" s="537"/>
      <c r="Y79" s="559"/>
      <c r="Z79" s="537"/>
      <c r="AA79" s="294"/>
      <c r="AB79" s="530"/>
      <c r="AC79" s="537">
        <v>0.1</v>
      </c>
      <c r="AD79" s="269"/>
      <c r="AE79" s="530" t="s">
        <v>103</v>
      </c>
      <c r="AF79" s="537">
        <v>0.2</v>
      </c>
      <c r="AG79" s="292"/>
      <c r="AH79" s="716"/>
      <c r="AI79" s="269">
        <f>ROUND(SUM(+AC79-AF79),1)</f>
        <v>-0.1</v>
      </c>
      <c r="AJ79" s="269"/>
      <c r="AK79" s="548">
        <f>ROUND(IF(AF79=0,1,AI79/ABS(AF79)),3)</f>
        <v>-0.5</v>
      </c>
      <c r="AL79" s="1833"/>
      <c r="AM79" s="1569"/>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39"/>
      <c r="AC80" s="705" t="s">
        <v>103</v>
      </c>
      <c r="AD80" s="269"/>
      <c r="AE80" s="530"/>
      <c r="AF80" s="705" t="s">
        <v>103</v>
      </c>
      <c r="AG80" s="269"/>
      <c r="AH80" s="713"/>
      <c r="AI80" s="269"/>
      <c r="AJ80" s="269"/>
      <c r="AK80" s="288"/>
      <c r="AL80" s="1833"/>
      <c r="AM80" s="1569"/>
    </row>
    <row r="81" spans="1:39" ht="15" customHeight="1">
      <c r="A81" s="35"/>
      <c r="B81" s="355" t="s">
        <v>412</v>
      </c>
      <c r="C81" s="355"/>
      <c r="D81" s="537">
        <v>0</v>
      </c>
      <c r="E81" s="518"/>
      <c r="F81" s="537">
        <v>0</v>
      </c>
      <c r="G81" s="518"/>
      <c r="H81" s="537">
        <v>0</v>
      </c>
      <c r="I81" s="269"/>
      <c r="J81" s="537">
        <v>0</v>
      </c>
      <c r="K81" s="269"/>
      <c r="L81" s="537">
        <v>0</v>
      </c>
      <c r="M81" s="269"/>
      <c r="N81" s="537">
        <v>0</v>
      </c>
      <c r="O81" s="269"/>
      <c r="P81" s="537">
        <v>0</v>
      </c>
      <c r="Q81" s="269"/>
      <c r="R81" s="537">
        <f t="shared" si="15"/>
        <v>0</v>
      </c>
      <c r="S81" s="269"/>
      <c r="T81" s="537"/>
      <c r="U81" s="269"/>
      <c r="V81" s="537"/>
      <c r="W81" s="269"/>
      <c r="X81" s="537"/>
      <c r="Y81" s="269"/>
      <c r="Z81" s="537"/>
      <c r="AA81" s="273"/>
      <c r="AB81" s="1039"/>
      <c r="AC81" s="537">
        <v>0</v>
      </c>
      <c r="AD81" s="269"/>
      <c r="AE81" s="530"/>
      <c r="AF81" s="537">
        <v>0</v>
      </c>
      <c r="AG81" s="269"/>
      <c r="AH81" s="713"/>
      <c r="AI81" s="269">
        <f t="shared" ref="AI81:AI85" si="17">ROUND(SUM(+AC81-AF81),1)</f>
        <v>0</v>
      </c>
      <c r="AJ81" s="269"/>
      <c r="AK81" s="271">
        <f>ROUND(IF(AF81=0,0,AI81/ABS(AF81)),3)</f>
        <v>0</v>
      </c>
      <c r="AL81" s="1833"/>
      <c r="AM81" s="1569"/>
    </row>
    <row r="82" spans="1:39" ht="15" customHeight="1">
      <c r="A82" s="35"/>
      <c r="B82" s="355" t="s">
        <v>413</v>
      </c>
      <c r="C82" s="355"/>
      <c r="D82" s="537">
        <v>0</v>
      </c>
      <c r="E82" s="518"/>
      <c r="F82" s="537">
        <v>0</v>
      </c>
      <c r="G82" s="518"/>
      <c r="H82" s="537">
        <v>0</v>
      </c>
      <c r="I82" s="269"/>
      <c r="J82" s="537">
        <v>0</v>
      </c>
      <c r="K82" s="559"/>
      <c r="L82" s="537">
        <v>0</v>
      </c>
      <c r="M82" s="559"/>
      <c r="N82" s="537">
        <v>1.5</v>
      </c>
      <c r="O82" s="559"/>
      <c r="P82" s="537">
        <v>6</v>
      </c>
      <c r="Q82" s="559"/>
      <c r="R82" s="537">
        <f t="shared" si="15"/>
        <v>0</v>
      </c>
      <c r="S82" s="559"/>
      <c r="T82" s="537"/>
      <c r="U82" s="559"/>
      <c r="V82" s="537"/>
      <c r="W82" s="559"/>
      <c r="X82" s="537"/>
      <c r="Y82" s="559"/>
      <c r="Z82" s="537"/>
      <c r="AA82" s="294"/>
      <c r="AB82" s="530"/>
      <c r="AC82" s="537">
        <v>7.5</v>
      </c>
      <c r="AD82" s="269"/>
      <c r="AE82" s="530" t="s">
        <v>103</v>
      </c>
      <c r="AF82" s="537">
        <v>0</v>
      </c>
      <c r="AG82" s="292"/>
      <c r="AH82" s="716"/>
      <c r="AI82" s="269">
        <f t="shared" si="17"/>
        <v>7.5</v>
      </c>
      <c r="AJ82" s="269"/>
      <c r="AK82" s="271">
        <f>ROUND(IF(AF82=0,1,AI82/ABS(AF82)),3)</f>
        <v>1</v>
      </c>
      <c r="AL82" s="1833"/>
      <c r="AM82" s="1569"/>
    </row>
    <row r="83" spans="1:39" ht="15" customHeight="1">
      <c r="A83" s="35"/>
      <c r="B83" s="355" t="s">
        <v>414</v>
      </c>
      <c r="C83" s="355"/>
      <c r="D83" s="537">
        <v>0</v>
      </c>
      <c r="E83" s="518"/>
      <c r="F83" s="537">
        <v>0</v>
      </c>
      <c r="G83" s="518"/>
      <c r="H83" s="537">
        <v>0</v>
      </c>
      <c r="I83" s="269"/>
      <c r="J83" s="537">
        <v>4.9000000000000004</v>
      </c>
      <c r="K83" s="559"/>
      <c r="L83" s="537">
        <v>0.29999999999999982</v>
      </c>
      <c r="M83" s="559"/>
      <c r="N83" s="537">
        <v>5.3999999999999995</v>
      </c>
      <c r="O83" s="559"/>
      <c r="P83" s="537">
        <v>5.7999999999999989</v>
      </c>
      <c r="Q83" s="559"/>
      <c r="R83" s="537">
        <f t="shared" si="15"/>
        <v>0.50000000000000089</v>
      </c>
      <c r="S83" s="559"/>
      <c r="T83" s="537"/>
      <c r="U83" s="559"/>
      <c r="V83" s="537"/>
      <c r="W83" s="559"/>
      <c r="X83" s="537"/>
      <c r="Y83" s="559"/>
      <c r="Z83" s="537"/>
      <c r="AA83" s="294"/>
      <c r="AB83" s="530"/>
      <c r="AC83" s="537">
        <v>16.899999999999999</v>
      </c>
      <c r="AD83" s="269"/>
      <c r="AE83" s="530" t="s">
        <v>103</v>
      </c>
      <c r="AF83" s="537">
        <v>8.6999999999999993</v>
      </c>
      <c r="AG83" s="292"/>
      <c r="AH83" s="716"/>
      <c r="AI83" s="269">
        <f t="shared" si="17"/>
        <v>8.1999999999999993</v>
      </c>
      <c r="AJ83" s="269"/>
      <c r="AK83" s="271">
        <f>ROUND(IF(AF83=0,0,AI83/ABS(AF83)),3)</f>
        <v>0.94299999999999995</v>
      </c>
      <c r="AL83" s="1833"/>
      <c r="AM83" s="1569"/>
    </row>
    <row r="84" spans="1:39" ht="15" customHeight="1">
      <c r="A84" s="35"/>
      <c r="B84" s="355" t="s">
        <v>415</v>
      </c>
      <c r="C84" s="355"/>
      <c r="D84" s="537">
        <v>0</v>
      </c>
      <c r="E84" s="518"/>
      <c r="F84" s="537">
        <v>0</v>
      </c>
      <c r="G84" s="518"/>
      <c r="H84" s="537">
        <v>8.6</v>
      </c>
      <c r="I84" s="269"/>
      <c r="J84" s="537">
        <v>0</v>
      </c>
      <c r="K84" s="559"/>
      <c r="L84" s="537">
        <v>0</v>
      </c>
      <c r="M84" s="559"/>
      <c r="N84" s="537">
        <v>0</v>
      </c>
      <c r="O84" s="559"/>
      <c r="P84" s="537">
        <v>0</v>
      </c>
      <c r="Q84" s="559"/>
      <c r="R84" s="537">
        <f t="shared" si="15"/>
        <v>0</v>
      </c>
      <c r="S84" s="559"/>
      <c r="T84" s="537"/>
      <c r="U84" s="559"/>
      <c r="V84" s="537"/>
      <c r="W84" s="559"/>
      <c r="X84" s="537"/>
      <c r="Y84" s="559"/>
      <c r="Z84" s="537"/>
      <c r="AA84" s="294"/>
      <c r="AB84" s="530"/>
      <c r="AC84" s="537">
        <v>8.6</v>
      </c>
      <c r="AD84" s="269"/>
      <c r="AE84" s="530" t="s">
        <v>103</v>
      </c>
      <c r="AF84" s="537">
        <v>0</v>
      </c>
      <c r="AG84" s="292"/>
      <c r="AH84" s="716"/>
      <c r="AI84" s="269">
        <f t="shared" si="17"/>
        <v>8.6</v>
      </c>
      <c r="AJ84" s="269"/>
      <c r="AK84" s="271">
        <f>ROUND(IF(AF84=0,1,AI84/ABS(AF84)),3)</f>
        <v>1</v>
      </c>
      <c r="AL84" s="1833"/>
      <c r="AM84" s="1569"/>
    </row>
    <row r="85" spans="1:39" ht="15" customHeight="1">
      <c r="A85" s="35"/>
      <c r="B85" s="355" t="s">
        <v>416</v>
      </c>
      <c r="C85" s="355"/>
      <c r="D85" s="537">
        <v>0.1</v>
      </c>
      <c r="E85" s="518"/>
      <c r="F85" s="537">
        <v>-0.6</v>
      </c>
      <c r="G85" s="518"/>
      <c r="H85" s="537">
        <v>9.9999999999999978E-2</v>
      </c>
      <c r="I85" s="269"/>
      <c r="J85" s="537">
        <v>0.1</v>
      </c>
      <c r="K85" s="559"/>
      <c r="L85" s="537">
        <v>9.999999999999995E-2</v>
      </c>
      <c r="M85" s="559"/>
      <c r="N85" s="537">
        <v>0.10000000000000006</v>
      </c>
      <c r="O85" s="559"/>
      <c r="P85" s="537">
        <v>0.6</v>
      </c>
      <c r="Q85" s="559"/>
      <c r="R85" s="537">
        <f t="shared" si="15"/>
        <v>9.999999999999995E-2</v>
      </c>
      <c r="S85" s="559"/>
      <c r="T85" s="537"/>
      <c r="U85" s="559"/>
      <c r="V85" s="537"/>
      <c r="W85" s="559"/>
      <c r="X85" s="537"/>
      <c r="Y85" s="559"/>
      <c r="Z85" s="537"/>
      <c r="AA85" s="294"/>
      <c r="AB85" s="530"/>
      <c r="AC85" s="537">
        <v>0.6</v>
      </c>
      <c r="AD85" s="269"/>
      <c r="AE85" s="530" t="s">
        <v>103</v>
      </c>
      <c r="AF85" s="537">
        <v>1.4</v>
      </c>
      <c r="AG85" s="292"/>
      <c r="AH85" s="716"/>
      <c r="AI85" s="269">
        <f t="shared" si="17"/>
        <v>-0.8</v>
      </c>
      <c r="AJ85" s="269"/>
      <c r="AK85" s="271">
        <f t="shared" ref="AK85" si="18">ROUND(IF(AF85=0,0,AI85/ABS(AF85)),3)</f>
        <v>-0.57099999999999995</v>
      </c>
      <c r="AL85" s="1833"/>
      <c r="AM85" s="1569"/>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39"/>
      <c r="AC86" s="705" t="s">
        <v>452</v>
      </c>
      <c r="AD86" s="269"/>
      <c r="AE86" s="530" t="s">
        <v>103</v>
      </c>
      <c r="AF86" s="705" t="s">
        <v>452</v>
      </c>
      <c r="AG86" s="269"/>
      <c r="AH86" s="713"/>
      <c r="AI86" s="269"/>
      <c r="AJ86" s="269"/>
      <c r="AK86" s="288"/>
      <c r="AL86" s="1833"/>
      <c r="AM86" s="1569"/>
    </row>
    <row r="87" spans="1:39" ht="15" customHeight="1">
      <c r="A87" s="35"/>
      <c r="B87" s="355" t="s">
        <v>418</v>
      </c>
      <c r="C87" s="355"/>
      <c r="D87" s="537">
        <v>0.3</v>
      </c>
      <c r="E87" s="518"/>
      <c r="F87" s="537">
        <v>0.5</v>
      </c>
      <c r="G87" s="518"/>
      <c r="H87" s="537">
        <v>24.4</v>
      </c>
      <c r="I87" s="269"/>
      <c r="J87" s="537">
        <v>0.30000000000000143</v>
      </c>
      <c r="K87" s="559"/>
      <c r="L87" s="537">
        <v>0.30000000000000077</v>
      </c>
      <c r="M87" s="559"/>
      <c r="N87" s="537">
        <v>16.699999999999992</v>
      </c>
      <c r="O87" s="559"/>
      <c r="P87" s="537">
        <v>0.20000000000000712</v>
      </c>
      <c r="Q87" s="559"/>
      <c r="R87" s="537">
        <f t="shared" si="15"/>
        <v>0.2</v>
      </c>
      <c r="S87" s="559"/>
      <c r="T87" s="537"/>
      <c r="U87" s="559"/>
      <c r="V87" s="537"/>
      <c r="W87" s="559"/>
      <c r="X87" s="537"/>
      <c r="Y87" s="559"/>
      <c r="Z87" s="537"/>
      <c r="AA87" s="294"/>
      <c r="AB87" s="530"/>
      <c r="AC87" s="537">
        <v>42.9</v>
      </c>
      <c r="AD87" s="269"/>
      <c r="AE87" s="530" t="s">
        <v>103</v>
      </c>
      <c r="AF87" s="537">
        <v>37.799999999999997</v>
      </c>
      <c r="AG87" s="292"/>
      <c r="AH87" s="716"/>
      <c r="AI87" s="269">
        <f t="shared" ref="AI87:AI96" si="19">ROUND(SUM(+AC87-AF87),1)</f>
        <v>5.0999999999999996</v>
      </c>
      <c r="AJ87" s="269"/>
      <c r="AK87" s="271">
        <f t="shared" ref="AK87" si="20">ROUND(IF(AF87=0,1,AI87/ABS(AF87)),3)</f>
        <v>0.13500000000000001</v>
      </c>
      <c r="AL87" s="1833"/>
      <c r="AM87" s="1569"/>
    </row>
    <row r="88" spans="1:39" ht="15" customHeight="1">
      <c r="A88" s="35"/>
      <c r="B88" s="355" t="s">
        <v>419</v>
      </c>
      <c r="C88" s="355"/>
      <c r="D88" s="537">
        <v>-0.1</v>
      </c>
      <c r="E88" s="518"/>
      <c r="F88" s="537">
        <v>0.1</v>
      </c>
      <c r="G88" s="518"/>
      <c r="H88" s="537">
        <v>0.6</v>
      </c>
      <c r="I88" s="269"/>
      <c r="J88" s="537">
        <v>-0.6</v>
      </c>
      <c r="K88" s="559"/>
      <c r="L88" s="537">
        <v>-9.9999999999999978E-2</v>
      </c>
      <c r="M88" s="559"/>
      <c r="N88" s="537">
        <v>-0.10000000000000003</v>
      </c>
      <c r="O88" s="559"/>
      <c r="P88" s="537">
        <v>-0.30000000000000004</v>
      </c>
      <c r="Q88" s="559"/>
      <c r="R88" s="537">
        <f t="shared" si="15"/>
        <v>0.20000000000000007</v>
      </c>
      <c r="S88" s="559"/>
      <c r="T88" s="537"/>
      <c r="U88" s="559"/>
      <c r="V88" s="537"/>
      <c r="W88" s="559"/>
      <c r="X88" s="537"/>
      <c r="Y88" s="559"/>
      <c r="Z88" s="537"/>
      <c r="AA88" s="294"/>
      <c r="AB88" s="530"/>
      <c r="AC88" s="537">
        <v>-0.3</v>
      </c>
      <c r="AD88" s="269"/>
      <c r="AE88" s="530" t="s">
        <v>103</v>
      </c>
      <c r="AF88" s="537">
        <v>1.8</v>
      </c>
      <c r="AG88" s="292"/>
      <c r="AH88" s="716"/>
      <c r="AI88" s="269">
        <f t="shared" ref="AI88" si="21">ROUND(SUM(+AC88-AF88),1)</f>
        <v>-2.1</v>
      </c>
      <c r="AJ88" s="269"/>
      <c r="AK88" s="548">
        <f>ROUND(IF(AF88=0,1,AI88/ABS(AF88)),3)</f>
        <v>-1.167</v>
      </c>
      <c r="AL88" s="1833"/>
      <c r="AM88" s="1569"/>
    </row>
    <row r="89" spans="1:39" ht="15" customHeight="1">
      <c r="A89" s="35"/>
      <c r="B89" s="355" t="s">
        <v>420</v>
      </c>
      <c r="C89" s="355"/>
      <c r="D89" s="537">
        <v>0</v>
      </c>
      <c r="E89" s="518"/>
      <c r="F89" s="537">
        <v>0</v>
      </c>
      <c r="G89" s="518"/>
      <c r="H89" s="537">
        <v>0</v>
      </c>
      <c r="I89" s="269"/>
      <c r="J89" s="537">
        <v>0</v>
      </c>
      <c r="K89" s="559"/>
      <c r="L89" s="537">
        <v>0</v>
      </c>
      <c r="M89" s="559"/>
      <c r="N89" s="537">
        <v>0</v>
      </c>
      <c r="O89" s="559"/>
      <c r="P89" s="537">
        <v>0</v>
      </c>
      <c r="Q89" s="559"/>
      <c r="R89" s="537">
        <f t="shared" si="15"/>
        <v>0</v>
      </c>
      <c r="S89" s="559"/>
      <c r="T89" s="537"/>
      <c r="U89" s="559"/>
      <c r="V89" s="537"/>
      <c r="W89" s="559"/>
      <c r="X89" s="537"/>
      <c r="Y89" s="559"/>
      <c r="Z89" s="537"/>
      <c r="AA89" s="294"/>
      <c r="AB89" s="530"/>
      <c r="AC89" s="537">
        <v>0</v>
      </c>
      <c r="AD89" s="269"/>
      <c r="AE89" s="530" t="s">
        <v>103</v>
      </c>
      <c r="AF89" s="537">
        <v>0</v>
      </c>
      <c r="AG89" s="292"/>
      <c r="AH89" s="716"/>
      <c r="AI89" s="269">
        <f t="shared" si="19"/>
        <v>0</v>
      </c>
      <c r="AJ89" s="269"/>
      <c r="AK89" s="548">
        <f>ROUND(IF(AF89=0,0,AI89/ABS(AF89)),3)</f>
        <v>0</v>
      </c>
      <c r="AL89" s="1833"/>
      <c r="AM89" s="1569"/>
    </row>
    <row r="90" spans="1:39" ht="15" customHeight="1">
      <c r="A90" s="35"/>
      <c r="B90" s="355" t="s">
        <v>421</v>
      </c>
      <c r="C90" s="355"/>
      <c r="D90" s="537">
        <v>0</v>
      </c>
      <c r="E90" s="518"/>
      <c r="F90" s="537">
        <v>16.399999999999999</v>
      </c>
      <c r="G90" s="518"/>
      <c r="H90" s="537">
        <v>10.700000000000003</v>
      </c>
      <c r="I90" s="269"/>
      <c r="J90" s="537">
        <v>7.7999999999999972</v>
      </c>
      <c r="K90" s="559"/>
      <c r="L90" s="537">
        <v>7.1000000000000014</v>
      </c>
      <c r="M90" s="559"/>
      <c r="N90" s="537">
        <v>7.2000000000000028</v>
      </c>
      <c r="O90" s="559"/>
      <c r="P90" s="537">
        <v>12.599999999999994</v>
      </c>
      <c r="Q90" s="559"/>
      <c r="R90" s="537">
        <f t="shared" si="15"/>
        <v>7.9000000000000057</v>
      </c>
      <c r="S90" s="559"/>
      <c r="T90" s="537"/>
      <c r="U90" s="559"/>
      <c r="V90" s="537"/>
      <c r="W90" s="559"/>
      <c r="X90" s="537"/>
      <c r="Y90" s="559"/>
      <c r="Z90" s="537"/>
      <c r="AA90" s="294"/>
      <c r="AB90" s="530"/>
      <c r="AC90" s="537">
        <v>69.7</v>
      </c>
      <c r="AD90" s="269"/>
      <c r="AE90" s="530" t="s">
        <v>103</v>
      </c>
      <c r="AF90" s="537">
        <v>57.7</v>
      </c>
      <c r="AG90" s="292"/>
      <c r="AH90" s="716"/>
      <c r="AI90" s="269">
        <f t="shared" si="19"/>
        <v>12</v>
      </c>
      <c r="AJ90" s="269"/>
      <c r="AK90" s="548">
        <f>ROUND(IF(AF90=0,0,AI90/ABS(AF90)),3)</f>
        <v>0.20799999999999999</v>
      </c>
      <c r="AL90" s="1833"/>
      <c r="AM90" s="1569"/>
    </row>
    <row r="91" spans="1:39" ht="15" customHeight="1">
      <c r="A91" s="35"/>
      <c r="B91" s="355" t="s">
        <v>422</v>
      </c>
      <c r="C91" s="355"/>
      <c r="D91" s="537">
        <v>-24.4</v>
      </c>
      <c r="E91" s="518"/>
      <c r="F91" s="537">
        <v>94.199999999999989</v>
      </c>
      <c r="G91" s="518"/>
      <c r="H91" s="537">
        <v>3.9000000000000057</v>
      </c>
      <c r="I91" s="269"/>
      <c r="J91" s="537">
        <v>-18.399999999999999</v>
      </c>
      <c r="K91" s="559"/>
      <c r="L91" s="537">
        <v>6.9999999999999929</v>
      </c>
      <c r="M91" s="559"/>
      <c r="N91" s="537">
        <v>11.300000000000004</v>
      </c>
      <c r="O91" s="559"/>
      <c r="P91" s="537">
        <v>-16.299999999999997</v>
      </c>
      <c r="Q91" s="559"/>
      <c r="R91" s="537">
        <f t="shared" si="15"/>
        <v>3.6000000000000014</v>
      </c>
      <c r="S91" s="559"/>
      <c r="T91" s="537"/>
      <c r="U91" s="559"/>
      <c r="V91" s="537"/>
      <c r="W91" s="559"/>
      <c r="X91" s="537"/>
      <c r="Y91" s="559"/>
      <c r="Z91" s="537"/>
      <c r="AA91" s="294"/>
      <c r="AB91" s="530"/>
      <c r="AC91" s="537">
        <v>60.9</v>
      </c>
      <c r="AD91" s="269"/>
      <c r="AE91" s="530" t="s">
        <v>103</v>
      </c>
      <c r="AF91" s="537">
        <v>-25.2</v>
      </c>
      <c r="AG91" s="292"/>
      <c r="AH91" s="716"/>
      <c r="AI91" s="269">
        <f>ROUND(SUM(+AC91-AF91),1)</f>
        <v>86.1</v>
      </c>
      <c r="AJ91" s="269"/>
      <c r="AK91" s="548">
        <f>ROUND(IF(AF91=0,1,AI91/ABS(AF91)),3)</f>
        <v>3.4169999999999998</v>
      </c>
      <c r="AL91" s="1833"/>
      <c r="AM91" s="1569"/>
    </row>
    <row r="92" spans="1:39" ht="15" customHeight="1">
      <c r="A92" s="35"/>
      <c r="B92" s="355" t="s">
        <v>423</v>
      </c>
      <c r="C92" s="355"/>
      <c r="D92" s="537">
        <v>0</v>
      </c>
      <c r="E92" s="518"/>
      <c r="F92" s="537">
        <v>2.5</v>
      </c>
      <c r="G92" s="518"/>
      <c r="H92" s="537">
        <v>-0.8</v>
      </c>
      <c r="I92" s="269"/>
      <c r="J92" s="537">
        <v>0</v>
      </c>
      <c r="K92" s="559"/>
      <c r="L92" s="537">
        <v>0</v>
      </c>
      <c r="M92" s="559"/>
      <c r="N92" s="537">
        <v>2.5</v>
      </c>
      <c r="O92" s="559"/>
      <c r="P92" s="537">
        <v>-0.59999999999999987</v>
      </c>
      <c r="Q92" s="559"/>
      <c r="R92" s="537">
        <f t="shared" si="15"/>
        <v>0</v>
      </c>
      <c r="S92" s="559"/>
      <c r="T92" s="537"/>
      <c r="U92" s="559"/>
      <c r="V92" s="537"/>
      <c r="W92" s="559"/>
      <c r="X92" s="537"/>
      <c r="Y92" s="559"/>
      <c r="Z92" s="537"/>
      <c r="AA92" s="294"/>
      <c r="AB92" s="530"/>
      <c r="AC92" s="537">
        <v>3.6</v>
      </c>
      <c r="AD92" s="269"/>
      <c r="AE92" s="530" t="s">
        <v>103</v>
      </c>
      <c r="AF92" s="537">
        <v>3</v>
      </c>
      <c r="AG92" s="292"/>
      <c r="AH92" s="716"/>
      <c r="AI92" s="269">
        <f t="shared" si="19"/>
        <v>0.6</v>
      </c>
      <c r="AJ92" s="269"/>
      <c r="AK92" s="548">
        <f>ROUND(IF(AF92=0,0,AI92/ABS(AF92)),3)</f>
        <v>0.2</v>
      </c>
      <c r="AL92" s="1833"/>
      <c r="AM92" s="1569"/>
    </row>
    <row r="93" spans="1:39" ht="15" customHeight="1">
      <c r="A93" s="35"/>
      <c r="B93" s="355" t="s">
        <v>424</v>
      </c>
      <c r="C93" s="355"/>
      <c r="D93" s="537">
        <v>0</v>
      </c>
      <c r="E93" s="518"/>
      <c r="F93" s="537">
        <v>0</v>
      </c>
      <c r="G93" s="518"/>
      <c r="H93" s="537">
        <v>0.1</v>
      </c>
      <c r="I93" s="269"/>
      <c r="J93" s="537">
        <v>0</v>
      </c>
      <c r="K93" s="559"/>
      <c r="L93" s="537">
        <v>0</v>
      </c>
      <c r="M93" s="559"/>
      <c r="N93" s="537">
        <v>0</v>
      </c>
      <c r="O93" s="559"/>
      <c r="P93" s="537">
        <v>0</v>
      </c>
      <c r="Q93" s="559"/>
      <c r="R93" s="537">
        <f t="shared" si="15"/>
        <v>0.19999999999999998</v>
      </c>
      <c r="S93" s="559"/>
      <c r="T93" s="537"/>
      <c r="U93" s="559"/>
      <c r="V93" s="537"/>
      <c r="W93" s="559"/>
      <c r="X93" s="537"/>
      <c r="Y93" s="559"/>
      <c r="Z93" s="537"/>
      <c r="AA93" s="294"/>
      <c r="AB93" s="530"/>
      <c r="AC93" s="537">
        <v>0.3</v>
      </c>
      <c r="AD93" s="269"/>
      <c r="AE93" s="530" t="s">
        <v>103</v>
      </c>
      <c r="AF93" s="537">
        <v>9.1</v>
      </c>
      <c r="AG93" s="292"/>
      <c r="AH93" s="716"/>
      <c r="AI93" s="269">
        <f t="shared" si="19"/>
        <v>-8.8000000000000007</v>
      </c>
      <c r="AJ93" s="269"/>
      <c r="AK93" s="548">
        <f>ROUND(IF(AF93=0,1,AI93/ABS(AF93)),3)</f>
        <v>-0.96699999999999997</v>
      </c>
      <c r="AL93" s="1833"/>
      <c r="AM93" s="1569"/>
    </row>
    <row r="94" spans="1:39" ht="15" customHeight="1">
      <c r="A94" s="35"/>
      <c r="B94" s="355" t="s">
        <v>425</v>
      </c>
      <c r="C94" s="355"/>
      <c r="D94" s="537">
        <v>0</v>
      </c>
      <c r="E94" s="518"/>
      <c r="F94" s="537">
        <v>0</v>
      </c>
      <c r="G94" s="518"/>
      <c r="H94" s="537">
        <v>0</v>
      </c>
      <c r="I94" s="269"/>
      <c r="J94" s="537">
        <v>0</v>
      </c>
      <c r="K94" s="559"/>
      <c r="L94" s="537">
        <v>0</v>
      </c>
      <c r="M94" s="559"/>
      <c r="N94" s="537">
        <v>0</v>
      </c>
      <c r="O94" s="559"/>
      <c r="P94" s="537">
        <v>0</v>
      </c>
      <c r="Q94" s="559"/>
      <c r="R94" s="537">
        <f t="shared" si="15"/>
        <v>0</v>
      </c>
      <c r="S94" s="559"/>
      <c r="T94" s="537"/>
      <c r="U94" s="559"/>
      <c r="V94" s="537"/>
      <c r="W94" s="559"/>
      <c r="X94" s="537"/>
      <c r="Y94" s="559"/>
      <c r="Z94" s="537"/>
      <c r="AA94" s="294"/>
      <c r="AB94" s="530"/>
      <c r="AC94" s="537">
        <v>0</v>
      </c>
      <c r="AD94" s="269"/>
      <c r="AE94" s="530" t="s">
        <v>103</v>
      </c>
      <c r="AF94" s="537">
        <v>0</v>
      </c>
      <c r="AG94" s="292"/>
      <c r="AH94" s="716"/>
      <c r="AI94" s="269">
        <f t="shared" si="19"/>
        <v>0</v>
      </c>
      <c r="AJ94" s="269"/>
      <c r="AK94" s="271">
        <f>ROUND(IF(AF94=0,0,AI94/ABS(AF94)),3)</f>
        <v>0</v>
      </c>
      <c r="AL94" s="1833"/>
      <c r="AM94" s="1569"/>
    </row>
    <row r="95" spans="1:39" ht="15" customHeight="1">
      <c r="A95" s="35"/>
      <c r="B95" s="355" t="s">
        <v>426</v>
      </c>
      <c r="C95" s="355"/>
      <c r="D95" s="537">
        <v>8.3000000000000007</v>
      </c>
      <c r="E95" s="518"/>
      <c r="F95" s="537">
        <v>8.8999999999999986</v>
      </c>
      <c r="G95" s="518"/>
      <c r="H95" s="537">
        <v>64.5</v>
      </c>
      <c r="I95" s="269"/>
      <c r="J95" s="537">
        <v>-11.600000000000005</v>
      </c>
      <c r="K95" s="559"/>
      <c r="L95" s="537">
        <v>48.900000000000006</v>
      </c>
      <c r="M95" s="559"/>
      <c r="N95" s="537">
        <v>4.4999999999999893</v>
      </c>
      <c r="O95" s="559"/>
      <c r="P95" s="537">
        <v>40.800000000000026</v>
      </c>
      <c r="Q95" s="559"/>
      <c r="R95" s="537">
        <f t="shared" si="15"/>
        <v>-26.800000000000022</v>
      </c>
      <c r="S95" s="559"/>
      <c r="T95" s="537"/>
      <c r="U95" s="559"/>
      <c r="V95" s="537"/>
      <c r="W95" s="559"/>
      <c r="X95" s="537"/>
      <c r="Y95" s="559"/>
      <c r="Z95" s="537"/>
      <c r="AA95" s="294"/>
      <c r="AB95" s="530"/>
      <c r="AC95" s="537">
        <v>137.5</v>
      </c>
      <c r="AD95" s="269"/>
      <c r="AE95" s="530" t="s">
        <v>103</v>
      </c>
      <c r="AF95" s="537">
        <v>149.30000000000001</v>
      </c>
      <c r="AG95" s="269"/>
      <c r="AH95" s="716"/>
      <c r="AI95" s="269">
        <f t="shared" si="19"/>
        <v>-11.8</v>
      </c>
      <c r="AJ95" s="269"/>
      <c r="AK95" s="548">
        <f>ROUND(IF(AF95=0,0,AI95/ABS(AF95)),3)</f>
        <v>-7.9000000000000001E-2</v>
      </c>
      <c r="AL95" s="1833"/>
      <c r="AM95" s="1569"/>
    </row>
    <row r="96" spans="1:39" ht="15" customHeight="1">
      <c r="A96" s="35"/>
      <c r="B96" s="355" t="s">
        <v>427</v>
      </c>
      <c r="C96" s="355"/>
      <c r="D96" s="537">
        <v>0</v>
      </c>
      <c r="E96" s="518"/>
      <c r="F96" s="537">
        <v>0.1</v>
      </c>
      <c r="G96" s="518"/>
      <c r="H96" s="537">
        <v>0</v>
      </c>
      <c r="I96" s="269"/>
      <c r="J96" s="537">
        <v>0</v>
      </c>
      <c r="K96" s="559"/>
      <c r="L96" s="537">
        <v>0.6</v>
      </c>
      <c r="M96" s="559"/>
      <c r="N96" s="537">
        <v>1.1999999999999997</v>
      </c>
      <c r="O96" s="559"/>
      <c r="P96" s="537">
        <v>0.10000000000000017</v>
      </c>
      <c r="Q96" s="559"/>
      <c r="R96" s="537">
        <f>ROUND($AC96-N96-P96-L96-J96-H96-F96-D96,1)</f>
        <v>0</v>
      </c>
      <c r="S96" s="559"/>
      <c r="T96" s="537"/>
      <c r="U96" s="559"/>
      <c r="V96" s="537"/>
      <c r="W96" s="559"/>
      <c r="X96" s="537"/>
      <c r="Y96" s="559"/>
      <c r="Z96" s="537"/>
      <c r="AA96" s="294"/>
      <c r="AB96" s="530"/>
      <c r="AC96" s="537">
        <v>2</v>
      </c>
      <c r="AD96" s="269"/>
      <c r="AE96" s="530" t="s">
        <v>103</v>
      </c>
      <c r="AF96" s="537">
        <v>2.1</v>
      </c>
      <c r="AG96" s="269"/>
      <c r="AH96" s="716"/>
      <c r="AI96" s="269">
        <f t="shared" si="19"/>
        <v>-0.1</v>
      </c>
      <c r="AJ96" s="269"/>
      <c r="AK96" s="1040">
        <f>ROUND(IF(AF96=0,1,AI96/ABS(AF96)),3)</f>
        <v>-4.8000000000000001E-2</v>
      </c>
      <c r="AL96" s="1833"/>
      <c r="AM96" s="1569"/>
    </row>
    <row r="97" spans="1:41" s="62" customFormat="1" ht="15" customHeight="1">
      <c r="A97" s="423"/>
      <c r="B97" s="87" t="s">
        <v>429</v>
      </c>
      <c r="C97" s="60"/>
      <c r="D97" s="680">
        <f>ROUND(SUM(D60:D96),1)</f>
        <v>355</v>
      </c>
      <c r="E97" s="424"/>
      <c r="F97" s="680">
        <f>ROUND(SUM(F60:F96),1)</f>
        <v>419.2</v>
      </c>
      <c r="G97" s="424"/>
      <c r="H97" s="680">
        <f>ROUND(SUM(H60:H96),1)</f>
        <v>424.6</v>
      </c>
      <c r="I97" s="13"/>
      <c r="J97" s="680">
        <f>ROUND(SUM(J60:J96),1)</f>
        <v>300.89999999999998</v>
      </c>
      <c r="K97" s="13"/>
      <c r="L97" s="680">
        <f>ROUND(SUM(L60:L96),1)</f>
        <v>357.2</v>
      </c>
      <c r="M97" s="13"/>
      <c r="N97" s="680">
        <f>ROUND(SUM(N60:N96),1)</f>
        <v>511.5</v>
      </c>
      <c r="O97" s="13"/>
      <c r="P97" s="680">
        <f>ROUND(SUM(P60:P96),1)</f>
        <v>364.4</v>
      </c>
      <c r="Q97" s="13"/>
      <c r="R97" s="680">
        <f>ROUND(SUM(R60:R96),1)</f>
        <v>396</v>
      </c>
      <c r="S97" s="13"/>
      <c r="T97" s="680">
        <f>ROUND(SUM(T60:T96),1)</f>
        <v>0</v>
      </c>
      <c r="U97" s="13"/>
      <c r="V97" s="680">
        <f>ROUND(SUM(V60:V96),1)</f>
        <v>0</v>
      </c>
      <c r="W97" s="13"/>
      <c r="X97" s="680">
        <f>ROUND(SUM(X60:X96),1)</f>
        <v>0</v>
      </c>
      <c r="Y97" s="13"/>
      <c r="Z97" s="680">
        <f>ROUND(SUM(Z60:Z96),1)</f>
        <v>0</v>
      </c>
      <c r="AA97" s="40"/>
      <c r="AB97" s="678"/>
      <c r="AC97" s="680">
        <f>ROUND(SUM(AC60:AC96),1)</f>
        <v>3128.8</v>
      </c>
      <c r="AD97" s="13"/>
      <c r="AE97" s="676" t="s">
        <v>103</v>
      </c>
      <c r="AF97" s="680">
        <f>ROUND(SUM(AF60:AF96),1)</f>
        <v>3163.9</v>
      </c>
      <c r="AG97" s="13"/>
      <c r="AH97" s="714"/>
      <c r="AI97" s="680">
        <f>ROUND(SUM(AI60:AI96),1)</f>
        <v>-35.1</v>
      </c>
      <c r="AJ97" s="13"/>
      <c r="AK97" s="937">
        <f>ROUND(SUM(+AI97/AF97),3)</f>
        <v>-1.0999999999999999E-2</v>
      </c>
      <c r="AL97" s="1833"/>
      <c r="AM97" s="1569"/>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8"/>
      <c r="AC98" s="13"/>
      <c r="AD98" s="13"/>
      <c r="AE98" s="676"/>
      <c r="AF98" s="13"/>
      <c r="AG98" s="13"/>
      <c r="AH98" s="714"/>
      <c r="AI98" s="13"/>
      <c r="AJ98" s="13"/>
      <c r="AK98" s="77"/>
      <c r="AL98" s="1833"/>
      <c r="AM98" s="1569"/>
      <c r="AN98" s="59"/>
      <c r="AO98" s="59"/>
    </row>
    <row r="99" spans="1:41" ht="15" customHeight="1">
      <c r="A99" s="35"/>
      <c r="B99" s="296" t="s">
        <v>453</v>
      </c>
      <c r="C99" s="369"/>
      <c r="D99" s="537">
        <v>0.1</v>
      </c>
      <c r="E99" s="269"/>
      <c r="F99" s="537">
        <v>0</v>
      </c>
      <c r="G99" s="269"/>
      <c r="H99" s="537">
        <v>0.1</v>
      </c>
      <c r="I99" s="269"/>
      <c r="J99" s="537">
        <v>0</v>
      </c>
      <c r="K99" s="559"/>
      <c r="L99" s="537">
        <v>0</v>
      </c>
      <c r="M99" s="559"/>
      <c r="N99" s="537">
        <v>0</v>
      </c>
      <c r="O99" s="559"/>
      <c r="P99" s="537">
        <v>0.20000000000000004</v>
      </c>
      <c r="Q99" s="559"/>
      <c r="R99" s="537">
        <f>$AC99-N99-P99-L99-J99-H99-F99-D99</f>
        <v>0.70000000000000007</v>
      </c>
      <c r="S99" s="559"/>
      <c r="T99" s="537"/>
      <c r="U99" s="559"/>
      <c r="V99" s="537"/>
      <c r="W99" s="559"/>
      <c r="X99" s="537"/>
      <c r="Y99" s="559"/>
      <c r="Z99" s="537"/>
      <c r="AA99" s="294"/>
      <c r="AB99" s="530"/>
      <c r="AC99" s="537">
        <v>1.1000000000000001</v>
      </c>
      <c r="AD99" s="269"/>
      <c r="AE99" s="530" t="s">
        <v>103</v>
      </c>
      <c r="AF99" s="537">
        <v>4.7</v>
      </c>
      <c r="AG99" s="269"/>
      <c r="AH99" s="713"/>
      <c r="AI99" s="388">
        <f>ROUND(SUM(+AC99-AF99),1)</f>
        <v>-3.6</v>
      </c>
      <c r="AJ99" s="269"/>
      <c r="AK99" s="1041">
        <f>ROUND(IF(AF99=0,1,AI99/ABS(AF99)),3)</f>
        <v>-0.76600000000000001</v>
      </c>
      <c r="AL99" s="1833"/>
      <c r="AM99" s="1569"/>
    </row>
    <row r="100" spans="1:41" ht="4.3499999999999996" customHeight="1">
      <c r="A100" s="35"/>
      <c r="B100" s="296"/>
      <c r="C100" s="369"/>
      <c r="D100" s="622"/>
      <c r="E100" s="269"/>
      <c r="F100" s="622"/>
      <c r="G100" s="269"/>
      <c r="H100" s="622"/>
      <c r="I100" s="269"/>
      <c r="J100" s="622"/>
      <c r="K100" s="269"/>
      <c r="L100" s="622"/>
      <c r="M100" s="269"/>
      <c r="N100" s="622"/>
      <c r="O100" s="269"/>
      <c r="P100" s="1042"/>
      <c r="Q100" s="269"/>
      <c r="R100" s="622"/>
      <c r="S100" s="269"/>
      <c r="T100" s="622"/>
      <c r="U100" s="269"/>
      <c r="V100" s="622"/>
      <c r="W100" s="269"/>
      <c r="X100" s="622"/>
      <c r="Y100" s="269"/>
      <c r="Z100" s="622"/>
      <c r="AA100" s="369"/>
      <c r="AB100" s="1039"/>
      <c r="AC100" s="622"/>
      <c r="AD100" s="269"/>
      <c r="AE100" s="530" t="s">
        <v>103</v>
      </c>
      <c r="AF100" s="622"/>
      <c r="AG100" s="269"/>
      <c r="AH100" s="713"/>
      <c r="AI100" s="269"/>
      <c r="AJ100" s="269"/>
      <c r="AK100" s="288"/>
      <c r="AL100" s="1833"/>
      <c r="AM100" s="1569"/>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3632.6</v>
      </c>
      <c r="M101" s="13"/>
      <c r="N101" s="362">
        <f>ROUND(SUM(N99+N97+N56),1)</f>
        <v>7512.4</v>
      </c>
      <c r="O101" s="13"/>
      <c r="P101" s="362">
        <f>ROUND(SUM(P99+P97+P56),1)</f>
        <v>2164.3000000000002</v>
      </c>
      <c r="Q101" s="13"/>
      <c r="R101" s="362">
        <f>ROUND(SUM(R99+R97+R56),1)</f>
        <v>2728.1</v>
      </c>
      <c r="S101" s="13"/>
      <c r="T101" s="362">
        <f>ROUND(SUM(T99+T97+T56),1)</f>
        <v>0</v>
      </c>
      <c r="U101" s="13"/>
      <c r="V101" s="362">
        <f>ROUND(SUM(V99+V97+V56),1)</f>
        <v>0</v>
      </c>
      <c r="W101" s="13"/>
      <c r="X101" s="362">
        <f>ROUND(SUM(X99+X97+X56),1)</f>
        <v>0</v>
      </c>
      <c r="Y101" s="13"/>
      <c r="Z101" s="362">
        <f>ROUND(SUM(Z99+Z97+Z56),1)</f>
        <v>0</v>
      </c>
      <c r="AA101" s="40"/>
      <c r="AB101" s="678"/>
      <c r="AC101" s="362">
        <f>ROUND(SUM(AC99+AC97+AC56),1)</f>
        <v>38021.4</v>
      </c>
      <c r="AD101" s="13"/>
      <c r="AE101" s="676"/>
      <c r="AF101" s="362">
        <f>ROUND(SUM(AF99+AF97+AF56),1)</f>
        <v>36070.300000000003</v>
      </c>
      <c r="AG101" s="13"/>
      <c r="AH101" s="714"/>
      <c r="AI101" s="362">
        <f>ROUND(SUM(AI99+AI97+AI56),1)</f>
        <v>1951.1</v>
      </c>
      <c r="AJ101" s="13"/>
      <c r="AK101" s="373">
        <f>ROUND(SUM(+AI101/AF101),3)</f>
        <v>5.3999999999999999E-2</v>
      </c>
      <c r="AL101" s="1833"/>
      <c r="AM101" s="1569"/>
    </row>
    <row r="102" spans="1:41" ht="15" customHeight="1">
      <c r="A102" s="35"/>
      <c r="B102" s="296"/>
      <c r="C102" s="369"/>
      <c r="D102" s="269"/>
      <c r="E102" s="269"/>
      <c r="F102" s="269"/>
      <c r="G102" s="269"/>
      <c r="H102" s="269"/>
      <c r="I102" s="269"/>
      <c r="J102" s="269"/>
      <c r="K102" s="269"/>
      <c r="L102" s="622"/>
      <c r="M102" s="269"/>
      <c r="N102" s="622"/>
      <c r="O102" s="269"/>
      <c r="P102" s="269"/>
      <c r="Q102" s="269"/>
      <c r="R102" s="269"/>
      <c r="S102" s="269"/>
      <c r="T102" s="269"/>
      <c r="U102" s="269"/>
      <c r="V102" s="269"/>
      <c r="W102" s="269"/>
      <c r="X102" s="269"/>
      <c r="Y102" s="269"/>
      <c r="Z102" s="269"/>
      <c r="AA102" s="273"/>
      <c r="AB102" s="1039"/>
      <c r="AC102" s="269"/>
      <c r="AD102" s="269"/>
      <c r="AE102" s="530"/>
      <c r="AF102" s="269"/>
      <c r="AG102" s="269"/>
      <c r="AH102" s="713"/>
      <c r="AI102" s="269"/>
      <c r="AJ102" s="269"/>
      <c r="AK102" s="288"/>
      <c r="AL102" s="1833"/>
      <c r="AM102" s="1569"/>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39"/>
      <c r="AC103" s="269"/>
      <c r="AD103" s="269"/>
      <c r="AE103" s="530"/>
      <c r="AF103" s="269"/>
      <c r="AG103" s="269"/>
      <c r="AH103" s="713"/>
      <c r="AI103" s="269"/>
      <c r="AJ103" s="269"/>
      <c r="AK103" s="288"/>
      <c r="AL103" s="1833"/>
      <c r="AM103" s="1569"/>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39"/>
      <c r="AC104" s="293"/>
      <c r="AD104" s="269"/>
      <c r="AE104" s="530"/>
      <c r="AF104" s="293"/>
      <c r="AG104" s="717"/>
      <c r="AH104" s="713"/>
      <c r="AI104" s="269"/>
      <c r="AJ104" s="269"/>
      <c r="AK104" s="288"/>
      <c r="AL104" s="1833"/>
      <c r="AM104" s="1569"/>
    </row>
    <row r="105" spans="1:41" ht="15" customHeight="1">
      <c r="A105" s="35"/>
      <c r="B105" s="390" t="s">
        <v>124</v>
      </c>
      <c r="C105" s="369"/>
      <c r="D105" s="537">
        <v>2466.3000000000002</v>
      </c>
      <c r="E105" s="518"/>
      <c r="F105" s="537">
        <v>5370.0999999999995</v>
      </c>
      <c r="G105" s="518"/>
      <c r="H105" s="537">
        <v>2562.3999999999996</v>
      </c>
      <c r="I105" s="269"/>
      <c r="J105" s="537">
        <v>1199.9000000000015</v>
      </c>
      <c r="K105" s="559"/>
      <c r="L105" s="537">
        <v>989.5</v>
      </c>
      <c r="M105" s="559"/>
      <c r="N105" s="537">
        <v>2475.7999999999993</v>
      </c>
      <c r="O105" s="559"/>
      <c r="P105" s="537">
        <v>1425.1999999999971</v>
      </c>
      <c r="Q105" s="559"/>
      <c r="R105" s="537">
        <f>$AC105-N105-P105-L105-J105-H105-F105-D105</f>
        <v>2035.3000000000029</v>
      </c>
      <c r="S105" s="559"/>
      <c r="T105" s="537"/>
      <c r="U105" s="559"/>
      <c r="V105" s="537"/>
      <c r="W105" s="559"/>
      <c r="X105" s="537"/>
      <c r="Y105" s="559"/>
      <c r="Z105" s="537"/>
      <c r="AA105" s="294"/>
      <c r="AB105" s="530"/>
      <c r="AC105" s="537">
        <v>18524.5</v>
      </c>
      <c r="AD105" s="269"/>
      <c r="AE105" s="530" t="s">
        <v>103</v>
      </c>
      <c r="AF105" s="537">
        <v>17642.7</v>
      </c>
      <c r="AG105" s="717"/>
      <c r="AH105" s="713"/>
      <c r="AI105" s="269">
        <f>ROUND(SUM(+AC105-AF105),1)</f>
        <v>881.8</v>
      </c>
      <c r="AJ105" s="269"/>
      <c r="AK105" s="271">
        <f>ROUND(IF(AF105=0,0,AI105/ABS(AF105)),3)</f>
        <v>0.05</v>
      </c>
      <c r="AL105" s="1833"/>
      <c r="AM105" s="1569"/>
    </row>
    <row r="106" spans="1:41" ht="15" customHeight="1">
      <c r="A106" s="35"/>
      <c r="B106" s="390" t="s">
        <v>125</v>
      </c>
      <c r="C106" s="369"/>
      <c r="D106" s="537">
        <v>0</v>
      </c>
      <c r="E106" s="518"/>
      <c r="F106" s="537">
        <v>0</v>
      </c>
      <c r="G106" s="518"/>
      <c r="H106" s="537">
        <v>0.2</v>
      </c>
      <c r="I106" s="269"/>
      <c r="J106" s="537">
        <v>0.49999999999999994</v>
      </c>
      <c r="K106" s="559"/>
      <c r="L106" s="537">
        <v>0.7</v>
      </c>
      <c r="M106" s="559"/>
      <c r="N106" s="537">
        <v>0.80000000000000027</v>
      </c>
      <c r="O106" s="559"/>
      <c r="P106" s="537">
        <v>0.90000000000000013</v>
      </c>
      <c r="Q106" s="559"/>
      <c r="R106" s="537">
        <f t="shared" ref="R106:R114" si="22">$AC106-N106-P106-L106-J106-H106-F106-D106</f>
        <v>9.9999999999999867E-2</v>
      </c>
      <c r="S106" s="559"/>
      <c r="T106" s="537"/>
      <c r="U106" s="559"/>
      <c r="V106" s="537"/>
      <c r="W106" s="559"/>
      <c r="X106" s="537"/>
      <c r="Y106" s="559"/>
      <c r="Z106" s="537"/>
      <c r="AA106" s="294"/>
      <c r="AB106" s="530"/>
      <c r="AC106" s="537">
        <v>3.2</v>
      </c>
      <c r="AD106" s="269"/>
      <c r="AE106" s="530" t="s">
        <v>103</v>
      </c>
      <c r="AF106" s="537">
        <v>3.5</v>
      </c>
      <c r="AG106" s="269"/>
      <c r="AH106" s="713"/>
      <c r="AI106" s="269">
        <f t="shared" ref="AI106:AI114" si="23">ROUND(SUM(+AC106-AF106),1)</f>
        <v>-0.3</v>
      </c>
      <c r="AJ106" s="269"/>
      <c r="AK106" s="548">
        <f>ROUND(IF(AF106=0,1,AI106/ABS(AF106)),3)</f>
        <v>-8.5999999999999993E-2</v>
      </c>
      <c r="AL106" s="1833"/>
      <c r="AM106" s="1569"/>
    </row>
    <row r="107" spans="1:41" ht="15" customHeight="1">
      <c r="A107" s="35"/>
      <c r="B107" s="390" t="s">
        <v>126</v>
      </c>
      <c r="C107" s="369"/>
      <c r="D107" s="537">
        <v>61.1</v>
      </c>
      <c r="E107" s="518"/>
      <c r="F107" s="537">
        <v>53.300000000000004</v>
      </c>
      <c r="G107" s="518"/>
      <c r="H107" s="537">
        <v>400.2</v>
      </c>
      <c r="I107" s="269"/>
      <c r="J107" s="537">
        <v>61.70000000000001</v>
      </c>
      <c r="K107" s="559"/>
      <c r="L107" s="537">
        <v>104.40000000000003</v>
      </c>
      <c r="M107" s="559"/>
      <c r="N107" s="537">
        <v>138.60000000000005</v>
      </c>
      <c r="O107" s="559"/>
      <c r="P107" s="537">
        <v>37.499999999999794</v>
      </c>
      <c r="Q107" s="559"/>
      <c r="R107" s="537">
        <f t="shared" si="22"/>
        <v>19.80000000000009</v>
      </c>
      <c r="S107" s="559"/>
      <c r="T107" s="537"/>
      <c r="U107" s="559"/>
      <c r="V107" s="537"/>
      <c r="W107" s="559"/>
      <c r="X107" s="537"/>
      <c r="Y107" s="559"/>
      <c r="Z107" s="537"/>
      <c r="AA107" s="294"/>
      <c r="AB107" s="530"/>
      <c r="AC107" s="537">
        <v>876.6</v>
      </c>
      <c r="AD107" s="269"/>
      <c r="AE107" s="530" t="s">
        <v>103</v>
      </c>
      <c r="AF107" s="537">
        <v>797</v>
      </c>
      <c r="AG107" s="269"/>
      <c r="AH107" s="713"/>
      <c r="AI107" s="269">
        <f t="shared" si="23"/>
        <v>79.599999999999994</v>
      </c>
      <c r="AJ107" s="269"/>
      <c r="AK107" s="271">
        <f>ROUND(IF(AF107=0,0,AI107/ABS(AF107)),3)</f>
        <v>0.1</v>
      </c>
      <c r="AL107" s="1833"/>
      <c r="AM107" s="1569"/>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3"/>
      <c r="AI108" s="269" t="s">
        <v>103</v>
      </c>
      <c r="AJ108" s="269"/>
      <c r="AK108" s="288" t="s">
        <v>103</v>
      </c>
      <c r="AL108" s="1833"/>
      <c r="AM108" s="1569"/>
    </row>
    <row r="109" spans="1:41" ht="15" customHeight="1">
      <c r="A109" s="35"/>
      <c r="B109" s="1043" t="s">
        <v>128</v>
      </c>
      <c r="C109" s="369"/>
      <c r="D109" s="537">
        <v>3127.2000000000003</v>
      </c>
      <c r="E109" s="518"/>
      <c r="F109" s="537">
        <v>3679.2999999999997</v>
      </c>
      <c r="G109" s="518"/>
      <c r="H109" s="537">
        <v>2517.1</v>
      </c>
      <c r="I109" s="269"/>
      <c r="J109" s="537">
        <v>2929.1999999999994</v>
      </c>
      <c r="K109" s="559"/>
      <c r="L109" s="537">
        <v>3150.6000000000008</v>
      </c>
      <c r="M109" s="559"/>
      <c r="N109" s="537">
        <v>2260.5000000000023</v>
      </c>
      <c r="O109" s="559"/>
      <c r="P109" s="537">
        <v>3316.5999999999972</v>
      </c>
      <c r="Q109" s="559"/>
      <c r="R109" s="537">
        <f t="shared" si="22"/>
        <v>3019.1999999999994</v>
      </c>
      <c r="S109" s="559"/>
      <c r="T109" s="537"/>
      <c r="U109" s="559"/>
      <c r="V109" s="537"/>
      <c r="W109" s="559"/>
      <c r="X109" s="537"/>
      <c r="Y109" s="559"/>
      <c r="Z109" s="537"/>
      <c r="AA109" s="294"/>
      <c r="AB109" s="530"/>
      <c r="AC109" s="537">
        <v>23999.7</v>
      </c>
      <c r="AD109" s="269"/>
      <c r="AE109" s="530" t="s">
        <v>103</v>
      </c>
      <c r="AF109" s="537">
        <v>20807.900000000001</v>
      </c>
      <c r="AG109" s="269"/>
      <c r="AH109" s="713"/>
      <c r="AI109" s="269">
        <f t="shared" si="23"/>
        <v>3191.8</v>
      </c>
      <c r="AJ109" s="269"/>
      <c r="AK109" s="548">
        <f t="shared" ref="AK109:AK112" si="24">ROUND(IF(AF109=0,0,AI109/ABS(AF109)),3)</f>
        <v>0.153</v>
      </c>
      <c r="AL109" s="1833"/>
      <c r="AM109" s="1569"/>
    </row>
    <row r="110" spans="1:41" ht="15" customHeight="1">
      <c r="A110" s="35"/>
      <c r="B110" s="390" t="s">
        <v>129</v>
      </c>
      <c r="C110" s="369"/>
      <c r="D110" s="537">
        <v>206.4</v>
      </c>
      <c r="E110" s="518"/>
      <c r="F110" s="537">
        <v>166.4</v>
      </c>
      <c r="G110" s="518"/>
      <c r="H110" s="537">
        <v>372.30000000000007</v>
      </c>
      <c r="I110" s="269"/>
      <c r="J110" s="537">
        <v>437.30000000000007</v>
      </c>
      <c r="K110" s="559"/>
      <c r="L110" s="537">
        <v>147.49999999999974</v>
      </c>
      <c r="M110" s="559"/>
      <c r="N110" s="537">
        <v>453.4000000000002</v>
      </c>
      <c r="O110" s="559"/>
      <c r="P110" s="537">
        <v>339.5999999999998</v>
      </c>
      <c r="Q110" s="559"/>
      <c r="R110" s="537">
        <f t="shared" si="22"/>
        <v>249.40000000000029</v>
      </c>
      <c r="S110" s="559"/>
      <c r="T110" s="537"/>
      <c r="U110" s="559"/>
      <c r="V110" s="537"/>
      <c r="W110" s="559"/>
      <c r="X110" s="537"/>
      <c r="Y110" s="559"/>
      <c r="Z110" s="537"/>
      <c r="AA110" s="294"/>
      <c r="AB110" s="530"/>
      <c r="AC110" s="537">
        <v>2372.3000000000002</v>
      </c>
      <c r="AD110" s="269"/>
      <c r="AE110" s="530" t="s">
        <v>103</v>
      </c>
      <c r="AF110" s="537">
        <v>1853.2</v>
      </c>
      <c r="AG110" s="269"/>
      <c r="AH110" s="713"/>
      <c r="AI110" s="269">
        <f t="shared" si="23"/>
        <v>519.1</v>
      </c>
      <c r="AJ110" s="269"/>
      <c r="AK110" s="271">
        <f t="shared" si="24"/>
        <v>0.28000000000000003</v>
      </c>
      <c r="AL110" s="1833"/>
      <c r="AM110" s="1569"/>
    </row>
    <row r="111" spans="1:41" ht="15" customHeight="1">
      <c r="A111" s="35"/>
      <c r="B111" s="390" t="s">
        <v>130</v>
      </c>
      <c r="C111" s="369"/>
      <c r="D111" s="537">
        <v>27</v>
      </c>
      <c r="E111" s="518"/>
      <c r="F111" s="537">
        <v>40.700000000000003</v>
      </c>
      <c r="G111" s="518"/>
      <c r="H111" s="537">
        <v>14.5</v>
      </c>
      <c r="I111" s="269"/>
      <c r="J111" s="537">
        <v>28.200000000000003</v>
      </c>
      <c r="K111" s="559"/>
      <c r="L111" s="537">
        <v>80.100000000000009</v>
      </c>
      <c r="M111" s="559"/>
      <c r="N111" s="537">
        <v>39.399999999999977</v>
      </c>
      <c r="O111" s="559"/>
      <c r="P111" s="537">
        <v>69.999999999999986</v>
      </c>
      <c r="Q111" s="559"/>
      <c r="R111" s="537">
        <f t="shared" si="22"/>
        <v>62.90000000000002</v>
      </c>
      <c r="S111" s="559"/>
      <c r="T111" s="537"/>
      <c r="U111" s="559"/>
      <c r="V111" s="537"/>
      <c r="W111" s="559"/>
      <c r="X111" s="537"/>
      <c r="Y111" s="559"/>
      <c r="Z111" s="537"/>
      <c r="AA111" s="294"/>
      <c r="AB111" s="530"/>
      <c r="AC111" s="537">
        <v>362.8</v>
      </c>
      <c r="AD111" s="269"/>
      <c r="AE111" s="530" t="s">
        <v>103</v>
      </c>
      <c r="AF111" s="537">
        <v>323.39999999999998</v>
      </c>
      <c r="AG111" s="269"/>
      <c r="AH111" s="713" t="s">
        <v>103</v>
      </c>
      <c r="AI111" s="269">
        <f t="shared" si="23"/>
        <v>39.4</v>
      </c>
      <c r="AJ111" s="269"/>
      <c r="AK111" s="271">
        <f t="shared" si="24"/>
        <v>0.122</v>
      </c>
      <c r="AL111" s="1833"/>
      <c r="AM111" s="1569"/>
    </row>
    <row r="112" spans="1:41" ht="15" customHeight="1">
      <c r="A112" s="35"/>
      <c r="B112" s="390" t="s">
        <v>131</v>
      </c>
      <c r="C112" s="369"/>
      <c r="D112" s="537">
        <v>178.8</v>
      </c>
      <c r="E112" s="518"/>
      <c r="F112" s="537">
        <v>298</v>
      </c>
      <c r="G112" s="518"/>
      <c r="H112" s="537">
        <v>270.20000000000005</v>
      </c>
      <c r="I112" s="269"/>
      <c r="J112" s="537">
        <v>175.59999999999997</v>
      </c>
      <c r="K112" s="559"/>
      <c r="L112" s="537">
        <v>169.49999999999994</v>
      </c>
      <c r="M112" s="559"/>
      <c r="N112" s="537">
        <v>439.30000000000013</v>
      </c>
      <c r="O112" s="559"/>
      <c r="P112" s="537">
        <v>759.69999999999982</v>
      </c>
      <c r="Q112" s="559"/>
      <c r="R112" s="537">
        <f t="shared" si="22"/>
        <v>1143.0999999999999</v>
      </c>
      <c r="S112" s="559"/>
      <c r="T112" s="537"/>
      <c r="U112" s="559"/>
      <c r="V112" s="537"/>
      <c r="W112" s="559"/>
      <c r="X112" s="537"/>
      <c r="Y112" s="559"/>
      <c r="Z112" s="537"/>
      <c r="AA112" s="294"/>
      <c r="AB112" s="530"/>
      <c r="AC112" s="537">
        <v>3434.2</v>
      </c>
      <c r="AD112" s="269"/>
      <c r="AE112" s="530" t="s">
        <v>103</v>
      </c>
      <c r="AF112" s="537">
        <v>3237.2</v>
      </c>
      <c r="AG112" s="269"/>
      <c r="AH112" s="713"/>
      <c r="AI112" s="269">
        <f t="shared" si="23"/>
        <v>197</v>
      </c>
      <c r="AJ112" s="269"/>
      <c r="AK112" s="271">
        <f t="shared" si="24"/>
        <v>6.0999999999999999E-2</v>
      </c>
      <c r="AL112" s="1833"/>
      <c r="AM112" s="1569"/>
    </row>
    <row r="113" spans="1:39" ht="15" customHeight="1">
      <c r="A113" s="35"/>
      <c r="B113" s="390" t="s">
        <v>132</v>
      </c>
      <c r="C113" s="369"/>
      <c r="D113" s="537">
        <v>17.600000000000001</v>
      </c>
      <c r="E113" s="518"/>
      <c r="F113" s="537">
        <v>21.1</v>
      </c>
      <c r="G113" s="518"/>
      <c r="H113" s="537">
        <v>24</v>
      </c>
      <c r="I113" s="269"/>
      <c r="J113" s="537">
        <v>21.200000000000003</v>
      </c>
      <c r="K113" s="559"/>
      <c r="L113" s="537">
        <v>28.399999999999991</v>
      </c>
      <c r="M113" s="559"/>
      <c r="N113" s="537">
        <v>18.799999999999997</v>
      </c>
      <c r="O113" s="559"/>
      <c r="P113" s="537">
        <v>25.700000000000031</v>
      </c>
      <c r="Q113" s="559"/>
      <c r="R113" s="537">
        <f t="shared" si="22"/>
        <v>16.899999999999935</v>
      </c>
      <c r="S113" s="559"/>
      <c r="T113" s="537"/>
      <c r="U113" s="559"/>
      <c r="V113" s="537"/>
      <c r="W113" s="559"/>
      <c r="X113" s="537"/>
      <c r="Y113" s="559"/>
      <c r="Z113" s="537"/>
      <c r="AA113" s="294"/>
      <c r="AB113" s="530"/>
      <c r="AC113" s="537">
        <v>173.7</v>
      </c>
      <c r="AD113" s="269"/>
      <c r="AE113" s="530" t="s">
        <v>103</v>
      </c>
      <c r="AF113" s="537">
        <v>157.19999999999999</v>
      </c>
      <c r="AG113" s="269"/>
      <c r="AH113" s="713"/>
      <c r="AI113" s="269">
        <f t="shared" si="23"/>
        <v>16.5</v>
      </c>
      <c r="AJ113" s="269"/>
      <c r="AK113" s="548">
        <f>ROUND(IF(AF113=0,0,AI113/ABS(AF113)),3)</f>
        <v>0.105</v>
      </c>
      <c r="AL113" s="1833"/>
      <c r="AM113" s="1569"/>
    </row>
    <row r="114" spans="1:39" ht="15" customHeight="1">
      <c r="A114" s="35"/>
      <c r="B114" s="390" t="s">
        <v>133</v>
      </c>
      <c r="C114" s="369"/>
      <c r="D114" s="537">
        <v>0.2</v>
      </c>
      <c r="E114" s="518"/>
      <c r="F114" s="537">
        <v>51</v>
      </c>
      <c r="G114" s="518"/>
      <c r="H114" s="537">
        <v>21.600000000000009</v>
      </c>
      <c r="I114" s="269"/>
      <c r="J114" s="537">
        <v>41.199999999999989</v>
      </c>
      <c r="K114" s="559"/>
      <c r="L114" s="537">
        <v>27.500000000000004</v>
      </c>
      <c r="M114" s="559"/>
      <c r="N114" s="537">
        <v>0</v>
      </c>
      <c r="O114" s="559"/>
      <c r="P114" s="537">
        <v>0.19999999999999146</v>
      </c>
      <c r="Q114" s="559"/>
      <c r="R114" s="537">
        <f t="shared" si="22"/>
        <v>58.800000000000011</v>
      </c>
      <c r="S114" s="559"/>
      <c r="T114" s="537"/>
      <c r="U114" s="559"/>
      <c r="V114" s="537"/>
      <c r="W114" s="559"/>
      <c r="X114" s="537"/>
      <c r="Y114" s="559"/>
      <c r="Z114" s="537"/>
      <c r="AA114" s="294"/>
      <c r="AB114" s="530"/>
      <c r="AC114" s="537">
        <v>200.5</v>
      </c>
      <c r="AD114" s="269"/>
      <c r="AE114" s="530" t="s">
        <v>103</v>
      </c>
      <c r="AF114" s="537">
        <v>181.1</v>
      </c>
      <c r="AG114" s="372"/>
      <c r="AH114" s="718"/>
      <c r="AI114" s="269">
        <f t="shared" si="23"/>
        <v>19.399999999999999</v>
      </c>
      <c r="AJ114" s="372"/>
      <c r="AK114" s="548">
        <f>ROUND(IF(AF114=0,1,AI114/ABS(AF114)),3)</f>
        <v>0.107</v>
      </c>
      <c r="AL114" s="1833"/>
      <c r="AM114" s="1569"/>
    </row>
    <row r="115" spans="1:39" ht="15" customHeight="1">
      <c r="A115" s="35"/>
      <c r="B115" s="296" t="s">
        <v>455</v>
      </c>
      <c r="C115" s="369"/>
      <c r="D115" s="680">
        <f>ROUND(SUM(D105:D114),1)</f>
        <v>6084.6</v>
      </c>
      <c r="E115" s="13"/>
      <c r="F115" s="680">
        <f>ROUND(SUM(F105:F114),1)</f>
        <v>9679.9</v>
      </c>
      <c r="G115" s="13"/>
      <c r="H115" s="680">
        <f>ROUND(SUM(H105:H114),1)</f>
        <v>6182.5</v>
      </c>
      <c r="I115" s="13"/>
      <c r="J115" s="680">
        <f>ROUND(SUM(J105:J114),1)</f>
        <v>4894.8</v>
      </c>
      <c r="K115" s="13"/>
      <c r="L115" s="680">
        <f>ROUND(SUM(L105:L114),1)</f>
        <v>4698.2</v>
      </c>
      <c r="M115" s="13"/>
      <c r="N115" s="680">
        <f>ROUND(SUM(N105:N114),1)</f>
        <v>5826.6</v>
      </c>
      <c r="O115" s="13"/>
      <c r="P115" s="680">
        <f>ROUND(SUM(P105:P114),1)</f>
        <v>5975.4</v>
      </c>
      <c r="Q115" s="13"/>
      <c r="R115" s="680">
        <f>ROUND(SUM(R105:R114),1)</f>
        <v>6605.5</v>
      </c>
      <c r="S115" s="13"/>
      <c r="T115" s="680">
        <f>ROUND(SUM(T105:T114),1)</f>
        <v>0</v>
      </c>
      <c r="U115" s="13"/>
      <c r="V115" s="680">
        <f>ROUND(SUM(V105:V114),1)</f>
        <v>0</v>
      </c>
      <c r="W115" s="13"/>
      <c r="X115" s="680">
        <f>ROUND(SUM(X105:X114),1)</f>
        <v>0</v>
      </c>
      <c r="Y115" s="13"/>
      <c r="Z115" s="680">
        <f>ROUND(SUM(Z105:Z114),1)</f>
        <v>0</v>
      </c>
      <c r="AA115" s="40"/>
      <c r="AB115" s="678"/>
      <c r="AC115" s="680">
        <f>ROUND(SUM(AC105:AC114),1)</f>
        <v>49947.5</v>
      </c>
      <c r="AD115" s="13"/>
      <c r="AE115" s="676" t="s">
        <v>103</v>
      </c>
      <c r="AF115" s="680">
        <f>ROUND(SUM(AF105:AF114),1)</f>
        <v>45003.199999999997</v>
      </c>
      <c r="AG115" s="13"/>
      <c r="AH115" s="714"/>
      <c r="AI115" s="680">
        <f>ROUND(SUM(+AC115-AF115),1)</f>
        <v>4944.3</v>
      </c>
      <c r="AJ115" s="13"/>
      <c r="AK115" s="1213">
        <f>ROUND(SUM(AI115/AF115),3)</f>
        <v>0.11</v>
      </c>
      <c r="AL115" s="1833"/>
      <c r="AM115" s="1569"/>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39"/>
      <c r="AC116" s="269"/>
      <c r="AD116" s="269"/>
      <c r="AE116" s="530"/>
      <c r="AF116" s="269"/>
      <c r="AG116" s="269"/>
      <c r="AH116" s="713"/>
      <c r="AI116" s="269"/>
      <c r="AJ116" s="269"/>
      <c r="AK116" s="288"/>
      <c r="AL116" s="1833"/>
      <c r="AM116" s="1569"/>
    </row>
    <row r="117" spans="1:39" ht="15" customHeight="1">
      <c r="A117" s="35"/>
      <c r="B117" s="296" t="s">
        <v>457</v>
      </c>
      <c r="C117" s="369"/>
      <c r="D117" s="537">
        <v>1017</v>
      </c>
      <c r="E117" s="518"/>
      <c r="F117" s="537">
        <v>1129.8000000000002</v>
      </c>
      <c r="G117" s="518"/>
      <c r="H117" s="537">
        <v>825.39999999999964</v>
      </c>
      <c r="I117" s="269"/>
      <c r="J117" s="537">
        <v>1182.4000000000005</v>
      </c>
      <c r="K117" s="559"/>
      <c r="L117" s="537">
        <v>895.09999999999945</v>
      </c>
      <c r="M117" s="559"/>
      <c r="N117" s="537">
        <v>887.40000000000055</v>
      </c>
      <c r="O117" s="559"/>
      <c r="P117" s="537">
        <v>1105.5999999999995</v>
      </c>
      <c r="Q117" s="559"/>
      <c r="R117" s="537">
        <f>$AC117-N117-P117-L117-J117-H117-F117-D117</f>
        <v>930.80000000000018</v>
      </c>
      <c r="S117" s="559"/>
      <c r="T117" s="537"/>
      <c r="U117" s="559"/>
      <c r="V117" s="537"/>
      <c r="W117" s="559"/>
      <c r="X117" s="537"/>
      <c r="Y117" s="559"/>
      <c r="Z117" s="537"/>
      <c r="AA117" s="294"/>
      <c r="AB117" s="530"/>
      <c r="AC117" s="537">
        <v>7973.5</v>
      </c>
      <c r="AD117" s="269"/>
      <c r="AE117" s="530" t="s">
        <v>103</v>
      </c>
      <c r="AF117" s="537">
        <v>7276.2</v>
      </c>
      <c r="AG117" s="269"/>
      <c r="AH117" s="713"/>
      <c r="AI117" s="269">
        <f>ROUND(SUM(+AC117-AF117),1)</f>
        <v>697.3</v>
      </c>
      <c r="AJ117" s="269"/>
      <c r="AK117" s="271">
        <f>ROUND(IF(AF117=0,0,AI117/ABS(AF117)),3)</f>
        <v>9.6000000000000002E-2</v>
      </c>
      <c r="AL117" s="1833"/>
      <c r="AM117" s="1569"/>
    </row>
    <row r="118" spans="1:39" ht="15" customHeight="1">
      <c r="A118" s="35"/>
      <c r="B118" s="418" t="s">
        <v>458</v>
      </c>
      <c r="C118" s="369"/>
      <c r="D118" s="537">
        <v>171.6</v>
      </c>
      <c r="E118" s="518"/>
      <c r="F118" s="537">
        <v>259.10000000000002</v>
      </c>
      <c r="G118" s="518"/>
      <c r="H118" s="537">
        <v>246.39999999999998</v>
      </c>
      <c r="I118" s="269"/>
      <c r="J118" s="537">
        <v>308.09999999999991</v>
      </c>
      <c r="K118" s="559"/>
      <c r="L118" s="537">
        <v>305.60000000000014</v>
      </c>
      <c r="M118" s="559"/>
      <c r="N118" s="537">
        <v>329.79999999999984</v>
      </c>
      <c r="O118" s="559"/>
      <c r="P118" s="537">
        <v>261.20000000000016</v>
      </c>
      <c r="Q118" s="559"/>
      <c r="R118" s="537">
        <f t="shared" ref="R118:R119" si="25">$AC118-N118-P118-L118-J118-H118-F118-D118</f>
        <v>286.50000000000011</v>
      </c>
      <c r="S118" s="559"/>
      <c r="T118" s="537"/>
      <c r="U118" s="559"/>
      <c r="V118" s="537"/>
      <c r="W118" s="559"/>
      <c r="X118" s="537"/>
      <c r="Y118" s="559"/>
      <c r="Z118" s="537"/>
      <c r="AA118" s="294"/>
      <c r="AB118" s="530"/>
      <c r="AC118" s="537">
        <v>2168.3000000000002</v>
      </c>
      <c r="AD118" s="269"/>
      <c r="AE118" s="530" t="s">
        <v>103</v>
      </c>
      <c r="AF118" s="537">
        <v>1595.4</v>
      </c>
      <c r="AG118" s="269"/>
      <c r="AH118" s="713"/>
      <c r="AI118" s="269">
        <f>ROUND(SUM(+AC118-AF118),1)</f>
        <v>572.9</v>
      </c>
      <c r="AJ118" s="269"/>
      <c r="AK118" s="271">
        <f>ROUND(IF(AF118=0,0,AI118/ABS(AF118)),3)</f>
        <v>0.35899999999999999</v>
      </c>
      <c r="AL118" s="1833"/>
      <c r="AM118" s="1569"/>
    </row>
    <row r="119" spans="1:39" ht="15" customHeight="1">
      <c r="A119" s="35"/>
      <c r="B119" s="418" t="s">
        <v>459</v>
      </c>
      <c r="C119" s="369"/>
      <c r="D119" s="537">
        <v>896.4</v>
      </c>
      <c r="E119" s="518"/>
      <c r="F119" s="537">
        <v>626.30000000000007</v>
      </c>
      <c r="G119" s="518"/>
      <c r="H119" s="537">
        <v>557.89999999999975</v>
      </c>
      <c r="I119" s="269"/>
      <c r="J119" s="537">
        <v>677.00000000000011</v>
      </c>
      <c r="K119" s="559"/>
      <c r="L119" s="537">
        <v>523.1</v>
      </c>
      <c r="M119" s="559"/>
      <c r="N119" s="537">
        <v>607.20000000000039</v>
      </c>
      <c r="O119" s="559"/>
      <c r="P119" s="537">
        <v>630.99999999999966</v>
      </c>
      <c r="Q119" s="559"/>
      <c r="R119" s="537">
        <f t="shared" si="25"/>
        <v>562.79999999999984</v>
      </c>
      <c r="S119" s="559"/>
      <c r="T119" s="537"/>
      <c r="U119" s="559"/>
      <c r="V119" s="537"/>
      <c r="W119" s="559"/>
      <c r="X119" s="537"/>
      <c r="Y119" s="559"/>
      <c r="Z119" s="537"/>
      <c r="AA119" s="294"/>
      <c r="AB119" s="530"/>
      <c r="AC119" s="537">
        <v>5081.7</v>
      </c>
      <c r="AD119" s="269"/>
      <c r="AE119" s="530" t="s">
        <v>103</v>
      </c>
      <c r="AF119" s="537">
        <v>4723.6000000000004</v>
      </c>
      <c r="AG119" s="269"/>
      <c r="AH119" s="713"/>
      <c r="AI119" s="388">
        <f>ROUND(SUM(+AC119-AF119),1)</f>
        <v>358.1</v>
      </c>
      <c r="AJ119" s="269"/>
      <c r="AK119" s="539">
        <f>ROUND(IF(AF119=0,0,AI119/ABS(AF119)),3)</f>
        <v>7.5999999999999998E-2</v>
      </c>
      <c r="AL119" s="1833"/>
      <c r="AM119" s="1569"/>
    </row>
    <row r="120" spans="1:39" ht="7.5" customHeight="1">
      <c r="A120" s="35"/>
      <c r="B120" s="296"/>
      <c r="C120" s="369"/>
      <c r="D120" s="622"/>
      <c r="E120" s="269"/>
      <c r="F120" s="622"/>
      <c r="G120" s="269"/>
      <c r="H120" s="622"/>
      <c r="I120" s="269"/>
      <c r="J120" s="622"/>
      <c r="K120" s="269"/>
      <c r="L120" s="622"/>
      <c r="M120" s="269"/>
      <c r="N120" s="622"/>
      <c r="O120" s="269"/>
      <c r="P120" s="622"/>
      <c r="Q120" s="269"/>
      <c r="R120" s="1042"/>
      <c r="S120" s="269"/>
      <c r="T120" s="622"/>
      <c r="U120" s="269"/>
      <c r="V120" s="622"/>
      <c r="W120" s="269"/>
      <c r="X120" s="622"/>
      <c r="Y120" s="269"/>
      <c r="Z120" s="622"/>
      <c r="AA120" s="273"/>
      <c r="AB120" s="1039"/>
      <c r="AC120" s="622"/>
      <c r="AD120" s="269"/>
      <c r="AE120" s="530"/>
      <c r="AF120" s="622"/>
      <c r="AG120" s="269"/>
      <c r="AH120" s="713"/>
      <c r="AI120" s="269"/>
      <c r="AJ120" s="269"/>
      <c r="AK120" s="288"/>
      <c r="AL120" s="1833"/>
      <c r="AM120" s="1569"/>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7973.2</v>
      </c>
      <c r="Q121" s="13"/>
      <c r="R121" s="13">
        <f>ROUND(SUM(R117:R119)+R115,1)</f>
        <v>8385.6</v>
      </c>
      <c r="S121" s="13"/>
      <c r="T121" s="13">
        <f>ROUND(SUM(T117:T119)+T115,1)</f>
        <v>0</v>
      </c>
      <c r="U121" s="13"/>
      <c r="V121" s="13">
        <f>ROUND(SUM(V117:V119)+V115,1)</f>
        <v>0</v>
      </c>
      <c r="W121" s="13"/>
      <c r="X121" s="13">
        <f>ROUND(SUM(X117:X119)+X115,1)</f>
        <v>0</v>
      </c>
      <c r="Y121" s="13"/>
      <c r="Z121" s="13">
        <f>ROUND(SUM(Z117:Z119)+Z115,1)</f>
        <v>0</v>
      </c>
      <c r="AA121" s="40"/>
      <c r="AB121" s="678"/>
      <c r="AC121" s="13">
        <f>ROUND(SUM(AC117:AC119)+AC115,1)</f>
        <v>65171</v>
      </c>
      <c r="AD121" s="13"/>
      <c r="AE121" s="676"/>
      <c r="AF121" s="13">
        <f>ROUND(SUM(AF117:AF119)+AF115,1)</f>
        <v>58598.400000000001</v>
      </c>
      <c r="AG121" s="13"/>
      <c r="AH121" s="714"/>
      <c r="AI121" s="362">
        <f>ROUND(SUM(AI115:AI119),1)</f>
        <v>6572.6</v>
      </c>
      <c r="AJ121" s="13"/>
      <c r="AK121" s="1044">
        <f>ROUND(SUM(AI121/AF121),3)</f>
        <v>0.112</v>
      </c>
      <c r="AL121" s="1833"/>
      <c r="AM121" s="1569"/>
    </row>
    <row r="122" spans="1:39" ht="15" customHeight="1">
      <c r="A122" s="35"/>
      <c r="B122" s="296"/>
      <c r="C122" s="369"/>
      <c r="D122" s="622"/>
      <c r="E122" s="269"/>
      <c r="F122" s="622"/>
      <c r="G122" s="269"/>
      <c r="H122" s="622"/>
      <c r="I122" s="269"/>
      <c r="J122" s="622"/>
      <c r="K122" s="269"/>
      <c r="L122" s="622"/>
      <c r="M122" s="269"/>
      <c r="N122" s="622"/>
      <c r="O122" s="269"/>
      <c r="P122" s="622"/>
      <c r="Q122" s="269"/>
      <c r="R122" s="622"/>
      <c r="S122" s="269"/>
      <c r="T122" s="622"/>
      <c r="U122" s="269"/>
      <c r="V122" s="622"/>
      <c r="W122" s="269"/>
      <c r="X122" s="622"/>
      <c r="Y122" s="269"/>
      <c r="Z122" s="622"/>
      <c r="AA122" s="273"/>
      <c r="AB122" s="1039"/>
      <c r="AC122" s="622"/>
      <c r="AD122" s="269"/>
      <c r="AE122" s="530"/>
      <c r="AF122" s="622"/>
      <c r="AG122" s="269"/>
      <c r="AH122" s="713"/>
      <c r="AI122" s="269"/>
      <c r="AJ122" s="269"/>
      <c r="AK122" s="288"/>
      <c r="AL122" s="1833"/>
      <c r="AM122" s="1569"/>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39"/>
      <c r="AC123" s="269"/>
      <c r="AD123" s="269"/>
      <c r="AE123" s="530"/>
      <c r="AF123" s="269"/>
      <c r="AG123" s="269"/>
      <c r="AH123" s="713"/>
      <c r="AI123" s="269"/>
      <c r="AJ123" s="269"/>
      <c r="AK123" s="288"/>
      <c r="AL123" s="1833"/>
      <c r="AM123" s="1569"/>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-5808.9</v>
      </c>
      <c r="Q124" s="13"/>
      <c r="R124" s="13">
        <f>ROUND(SUM(R101-R121),1)</f>
        <v>-5657.5</v>
      </c>
      <c r="S124" s="13"/>
      <c r="T124" s="13">
        <f>ROUND(SUM(T101-T121),1)</f>
        <v>0</v>
      </c>
      <c r="U124" s="13"/>
      <c r="V124" s="13">
        <f>ROUND(SUM(V101-V121),1)</f>
        <v>0</v>
      </c>
      <c r="W124" s="13"/>
      <c r="X124" s="13">
        <f>ROUND(SUM(X101-X121),1)</f>
        <v>0</v>
      </c>
      <c r="Y124" s="13"/>
      <c r="Z124" s="13">
        <f>ROUND(SUM(Z101-Z121),1)</f>
        <v>0</v>
      </c>
      <c r="AA124" s="40"/>
      <c r="AB124" s="678"/>
      <c r="AC124" s="13">
        <f>ROUND(SUM(AC101-AC121),1)</f>
        <v>-27149.599999999999</v>
      </c>
      <c r="AD124" s="13"/>
      <c r="AE124" s="676"/>
      <c r="AF124" s="13">
        <f>ROUND(SUM(AF101-AF121),1)</f>
        <v>-22528.1</v>
      </c>
      <c r="AG124" s="13"/>
      <c r="AH124" s="714"/>
      <c r="AI124" s="362">
        <f>ROUND(SUM(+AC124-AF124),1)</f>
        <v>-4621.5</v>
      </c>
      <c r="AJ124" s="13"/>
      <c r="AK124" s="618">
        <f>-ROUND(AI124/AF124,3)</f>
        <v>-0.20499999999999999</v>
      </c>
      <c r="AL124" s="1833"/>
      <c r="AM124" s="1569"/>
    </row>
    <row r="125" spans="1:39" ht="15" customHeight="1">
      <c r="A125" s="35"/>
      <c r="B125" s="296"/>
      <c r="C125" s="369"/>
      <c r="D125" s="622"/>
      <c r="E125" s="269"/>
      <c r="F125" s="622"/>
      <c r="G125" s="269"/>
      <c r="H125" s="622"/>
      <c r="I125" s="269"/>
      <c r="J125" s="622"/>
      <c r="K125" s="269"/>
      <c r="L125" s="622"/>
      <c r="M125" s="269"/>
      <c r="N125" s="622"/>
      <c r="O125" s="269"/>
      <c r="P125" s="622"/>
      <c r="Q125" s="269"/>
      <c r="R125" s="622"/>
      <c r="S125" s="269"/>
      <c r="T125" s="622"/>
      <c r="U125" s="269"/>
      <c r="V125" s="622"/>
      <c r="W125" s="269"/>
      <c r="X125" s="622"/>
      <c r="Y125" s="269"/>
      <c r="Z125" s="622"/>
      <c r="AA125" s="273"/>
      <c r="AB125" s="1039"/>
      <c r="AC125" s="622"/>
      <c r="AD125" s="269"/>
      <c r="AE125" s="530"/>
      <c r="AF125" s="622"/>
      <c r="AG125" s="622"/>
      <c r="AH125" s="713"/>
      <c r="AI125" s="269"/>
      <c r="AJ125" s="269"/>
      <c r="AK125" s="288"/>
      <c r="AL125" s="1833"/>
      <c r="AM125" s="1569"/>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39"/>
      <c r="AC126" s="269"/>
      <c r="AD126" s="269"/>
      <c r="AE126" s="530"/>
      <c r="AF126" s="269"/>
      <c r="AG126" s="269"/>
      <c r="AH126" s="713"/>
      <c r="AI126" s="269"/>
      <c r="AJ126" s="269"/>
      <c r="AK126" s="288"/>
      <c r="AL126" s="1833"/>
      <c r="AM126" s="1569"/>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39"/>
      <c r="AC127" s="269"/>
      <c r="AD127" s="269"/>
      <c r="AE127" s="530"/>
      <c r="AF127" s="269"/>
      <c r="AG127" s="269"/>
      <c r="AH127" s="713"/>
      <c r="AI127" s="269"/>
      <c r="AJ127" s="269"/>
      <c r="AK127" s="288"/>
      <c r="AL127" s="1833"/>
      <c r="AM127" s="1569"/>
    </row>
    <row r="128" spans="1:39" ht="15" customHeight="1">
      <c r="A128" s="35"/>
      <c r="B128" s="418" t="s">
        <v>462</v>
      </c>
      <c r="C128" s="369"/>
      <c r="D128" s="537">
        <v>4916.3999999999996</v>
      </c>
      <c r="E128" s="518"/>
      <c r="F128" s="537">
        <v>1991.6000000000004</v>
      </c>
      <c r="G128" s="518"/>
      <c r="H128" s="537">
        <v>4686.8999999999996</v>
      </c>
      <c r="I128" s="269"/>
      <c r="J128" s="537">
        <v>2141.3999999999996</v>
      </c>
      <c r="K128" s="559"/>
      <c r="L128" s="537">
        <v>1899.6000000000004</v>
      </c>
      <c r="M128" s="559"/>
      <c r="N128" s="537">
        <v>4490.0999999999985</v>
      </c>
      <c r="O128" s="559"/>
      <c r="P128" s="537">
        <v>599.40000000000509</v>
      </c>
      <c r="Q128" s="559"/>
      <c r="R128" s="537">
        <f>$AC128-N128-P128-L128-J128-H128-F128-D128</f>
        <v>1329.2999999999975</v>
      </c>
      <c r="S128" s="559"/>
      <c r="T128" s="537"/>
      <c r="U128" s="559"/>
      <c r="V128" s="537"/>
      <c r="W128" s="559"/>
      <c r="X128" s="537"/>
      <c r="Y128" s="559"/>
      <c r="Z128" s="537"/>
      <c r="AA128" s="294"/>
      <c r="AB128" s="530"/>
      <c r="AC128" s="537">
        <v>22054.7</v>
      </c>
      <c r="AD128" s="269"/>
      <c r="AE128" s="530" t="s">
        <v>103</v>
      </c>
      <c r="AF128" s="537">
        <v>20304.3</v>
      </c>
      <c r="AG128" s="269"/>
      <c r="AH128" s="713"/>
      <c r="AI128" s="269">
        <f>ROUND(SUM(+AC128-AF128),1)</f>
        <v>1750.4</v>
      </c>
      <c r="AJ128" s="269"/>
      <c r="AK128" s="271">
        <f>ROUND(IF(AF128=0,0,AI128/ABS(AF128)),3)</f>
        <v>8.5999999999999993E-2</v>
      </c>
      <c r="AL128" s="1833"/>
      <c r="AM128" s="1569"/>
    </row>
    <row r="129" spans="1:39" ht="15" customHeight="1">
      <c r="A129" s="35"/>
      <c r="B129" s="418" t="s">
        <v>463</v>
      </c>
      <c r="C129" s="369"/>
      <c r="D129" s="537">
        <v>661.1</v>
      </c>
      <c r="E129" s="518"/>
      <c r="F129" s="537">
        <v>681.99999999999989</v>
      </c>
      <c r="G129" s="518"/>
      <c r="H129" s="537">
        <v>1049</v>
      </c>
      <c r="I129" s="269"/>
      <c r="J129" s="537">
        <v>777.70000000000027</v>
      </c>
      <c r="K129" s="559"/>
      <c r="L129" s="537">
        <v>805.39999999999952</v>
      </c>
      <c r="M129" s="559"/>
      <c r="N129" s="537">
        <v>1008.1000000000007</v>
      </c>
      <c r="O129" s="559"/>
      <c r="P129" s="537">
        <v>797.69999999999925</v>
      </c>
      <c r="Q129" s="559"/>
      <c r="R129" s="537">
        <f t="shared" ref="R129:R135" si="26">$AC129-N129-P129-L129-J129-H129-F129-D129</f>
        <v>801.60000000000116</v>
      </c>
      <c r="S129" s="559"/>
      <c r="T129" s="537"/>
      <c r="U129" s="559"/>
      <c r="V129" s="537"/>
      <c r="W129" s="559"/>
      <c r="X129" s="537"/>
      <c r="Y129" s="559"/>
      <c r="Z129" s="537"/>
      <c r="AA129" s="294"/>
      <c r="AB129" s="530"/>
      <c r="AC129" s="537">
        <v>6582.6</v>
      </c>
      <c r="AD129" s="269"/>
      <c r="AE129" s="530" t="s">
        <v>103</v>
      </c>
      <c r="AF129" s="537">
        <v>6018</v>
      </c>
      <c r="AG129" s="269"/>
      <c r="AH129" s="713"/>
      <c r="AI129" s="269">
        <f>ROUND(SUM(+AC129-AF129),1)</f>
        <v>564.6</v>
      </c>
      <c r="AJ129" s="269"/>
      <c r="AK129" s="271">
        <f>ROUND(IF(AF129=0,0,AI129/ABS(AF129)),3)</f>
        <v>9.4E-2</v>
      </c>
      <c r="AL129" s="1833"/>
      <c r="AM129" s="1569"/>
    </row>
    <row r="130" spans="1:39" ht="15" customHeight="1">
      <c r="A130" s="35"/>
      <c r="B130" s="418" t="s">
        <v>464</v>
      </c>
      <c r="C130" s="369"/>
      <c r="D130" s="537">
        <v>90</v>
      </c>
      <c r="E130" s="518"/>
      <c r="F130" s="537">
        <v>113.4</v>
      </c>
      <c r="G130" s="518"/>
      <c r="H130" s="537">
        <v>79.700000000000017</v>
      </c>
      <c r="I130" s="269"/>
      <c r="J130" s="537">
        <v>83.699999999999989</v>
      </c>
      <c r="K130" s="559"/>
      <c r="L130" s="537">
        <v>124.69999999999996</v>
      </c>
      <c r="M130" s="559"/>
      <c r="N130" s="537">
        <v>101.1</v>
      </c>
      <c r="O130" s="559"/>
      <c r="P130" s="537">
        <v>97.30000000000004</v>
      </c>
      <c r="Q130" s="559"/>
      <c r="R130" s="537">
        <f t="shared" si="26"/>
        <v>91.80000000000004</v>
      </c>
      <c r="S130" s="559"/>
      <c r="T130" s="537"/>
      <c r="U130" s="559"/>
      <c r="V130" s="537"/>
      <c r="W130" s="559"/>
      <c r="X130" s="537"/>
      <c r="Y130" s="559"/>
      <c r="Z130" s="537"/>
      <c r="AA130" s="294"/>
      <c r="AB130" s="530"/>
      <c r="AC130" s="537">
        <v>781.7</v>
      </c>
      <c r="AD130" s="269"/>
      <c r="AE130" s="530" t="s">
        <v>103</v>
      </c>
      <c r="AF130" s="537">
        <v>656.3</v>
      </c>
      <c r="AG130" s="269"/>
      <c r="AH130" s="713"/>
      <c r="AI130" s="269">
        <f>ROUND(SUM(+AC130-AF130),1)</f>
        <v>125.4</v>
      </c>
      <c r="AJ130" s="269"/>
      <c r="AK130" s="271">
        <f>ROUND(IF(AF130=0,0,AI130/ABS(AF130)),3)</f>
        <v>0.191</v>
      </c>
      <c r="AL130" s="1833"/>
      <c r="AM130" s="1569"/>
    </row>
    <row r="131" spans="1:39" ht="15" customHeight="1">
      <c r="A131" s="35"/>
      <c r="B131" s="418" t="s">
        <v>465</v>
      </c>
      <c r="C131" s="369"/>
      <c r="D131" s="537">
        <v>292.79999999999984</v>
      </c>
      <c r="E131" s="518"/>
      <c r="F131" s="537">
        <v>162.30000000000052</v>
      </c>
      <c r="G131" s="518"/>
      <c r="H131" s="537">
        <v>156.69999999999891</v>
      </c>
      <c r="I131" s="269"/>
      <c r="J131" s="537">
        <v>419.70000000000209</v>
      </c>
      <c r="K131" s="559"/>
      <c r="L131" s="537">
        <v>936.79999999999961</v>
      </c>
      <c r="M131" s="559"/>
      <c r="N131" s="537">
        <v>153.80000000000121</v>
      </c>
      <c r="O131" s="559"/>
      <c r="P131" s="537">
        <v>142.49999999999636</v>
      </c>
      <c r="Q131" s="559"/>
      <c r="R131" s="537">
        <f t="shared" si="26"/>
        <v>140.70000000000209</v>
      </c>
      <c r="S131" s="559"/>
      <c r="T131" s="537"/>
      <c r="U131" s="559"/>
      <c r="V131" s="537"/>
      <c r="W131" s="559"/>
      <c r="X131" s="537"/>
      <c r="Y131" s="559"/>
      <c r="Z131" s="537"/>
      <c r="AA131" s="294"/>
      <c r="AB131" s="530"/>
      <c r="AC131" s="537">
        <v>2405.3000000000006</v>
      </c>
      <c r="AD131" s="269"/>
      <c r="AE131" s="530" t="s">
        <v>103</v>
      </c>
      <c r="AF131" s="537">
        <v>1420.6000000000022</v>
      </c>
      <c r="AG131" s="269"/>
      <c r="AH131" s="713"/>
      <c r="AI131" s="269">
        <f>ROUND(SUM(+AC131-AF131),1)</f>
        <v>984.7</v>
      </c>
      <c r="AJ131" s="269"/>
      <c r="AK131" s="548">
        <f>ROUND(IF(AF131=0,0,AI131/ABS(AF131)),3)</f>
        <v>0.69299999999999995</v>
      </c>
      <c r="AL131" s="1833"/>
      <c r="AM131" s="1569"/>
    </row>
    <row r="132" spans="1:39" ht="15" customHeight="1">
      <c r="A132" s="35" t="s">
        <v>103</v>
      </c>
      <c r="B132" s="296" t="s">
        <v>466</v>
      </c>
      <c r="C132" s="369"/>
      <c r="D132" s="537">
        <v>-415.8</v>
      </c>
      <c r="E132" s="518"/>
      <c r="F132" s="537">
        <v>-439.7</v>
      </c>
      <c r="G132" s="518"/>
      <c r="H132" s="537">
        <v>-681.59999999999991</v>
      </c>
      <c r="I132" s="269"/>
      <c r="J132" s="537">
        <v>257.99999999999994</v>
      </c>
      <c r="K132" s="559"/>
      <c r="L132" s="537">
        <v>-930</v>
      </c>
      <c r="M132" s="559"/>
      <c r="N132" s="537">
        <v>-833.70000000000027</v>
      </c>
      <c r="O132" s="559"/>
      <c r="P132" s="537">
        <v>-333.59999999999985</v>
      </c>
      <c r="Q132" s="559"/>
      <c r="R132" s="537">
        <f t="shared" si="26"/>
        <v>-861.09999999999991</v>
      </c>
      <c r="S132" s="559"/>
      <c r="T132" s="537"/>
      <c r="U132" s="559"/>
      <c r="V132" s="537"/>
      <c r="W132" s="559"/>
      <c r="X132" s="537"/>
      <c r="Y132" s="559"/>
      <c r="Z132" s="537"/>
      <c r="AA132" s="294"/>
      <c r="AB132" s="530"/>
      <c r="AC132" s="537">
        <v>-4237.5</v>
      </c>
      <c r="AD132" s="269"/>
      <c r="AE132" s="530" t="s">
        <v>103</v>
      </c>
      <c r="AF132" s="537">
        <v>-3063.6</v>
      </c>
      <c r="AG132" s="269"/>
      <c r="AH132" s="713"/>
      <c r="AI132" s="269">
        <f>ROUND(SUM(+AC132-AF132)*-1,1)</f>
        <v>1173.9000000000001</v>
      </c>
      <c r="AJ132" s="269"/>
      <c r="AK132" s="548">
        <f t="shared" ref="AK132" si="27">ROUND(IF(AF132=0,0,AI132/ABS(AF132)),3)</f>
        <v>0.38300000000000001</v>
      </c>
      <c r="AL132" s="1833"/>
      <c r="AM132" s="1569"/>
    </row>
    <row r="133" spans="1:39" ht="15" customHeight="1">
      <c r="A133" s="35"/>
      <c r="B133" s="296" t="s">
        <v>467</v>
      </c>
      <c r="C133" s="369"/>
      <c r="D133" s="537">
        <v>0</v>
      </c>
      <c r="E133" s="518"/>
      <c r="F133" s="537">
        <v>0</v>
      </c>
      <c r="G133" s="518"/>
      <c r="H133" s="537">
        <v>-16.5</v>
      </c>
      <c r="I133" s="269"/>
      <c r="J133" s="537">
        <v>-60</v>
      </c>
      <c r="K133" s="559"/>
      <c r="L133" s="537">
        <v>0</v>
      </c>
      <c r="M133" s="559"/>
      <c r="N133" s="537">
        <v>-16.5</v>
      </c>
      <c r="O133" s="559"/>
      <c r="P133" s="537">
        <v>-589</v>
      </c>
      <c r="Q133" s="559"/>
      <c r="R133" s="537">
        <f t="shared" si="26"/>
        <v>0</v>
      </c>
      <c r="S133" s="559"/>
      <c r="T133" s="537"/>
      <c r="U133" s="559"/>
      <c r="V133" s="537"/>
      <c r="W133" s="559"/>
      <c r="X133" s="537"/>
      <c r="Y133" s="559"/>
      <c r="Z133" s="537"/>
      <c r="AA133" s="294"/>
      <c r="AB133" s="530"/>
      <c r="AC133" s="537">
        <v>-682</v>
      </c>
      <c r="AD133" s="269"/>
      <c r="AE133" s="530" t="s">
        <v>103</v>
      </c>
      <c r="AF133" s="537">
        <v>-862.3</v>
      </c>
      <c r="AG133" s="269"/>
      <c r="AH133" s="713"/>
      <c r="AI133" s="269">
        <f>ROUND(SUM(+AC133-AF133)*-1,1)</f>
        <v>-180.3</v>
      </c>
      <c r="AJ133" s="269"/>
      <c r="AK133" s="271">
        <f>ROUND(IF(AF133=0,1,AI133/ABS(AF133)),3)</f>
        <v>-0.20899999999999999</v>
      </c>
      <c r="AL133" s="1833"/>
      <c r="AM133" s="1569"/>
    </row>
    <row r="134" spans="1:39" ht="15" customHeight="1">
      <c r="A134" s="35"/>
      <c r="B134" s="296" t="s">
        <v>468</v>
      </c>
      <c r="C134" s="369"/>
      <c r="D134" s="537">
        <v>-6.5</v>
      </c>
      <c r="E134" s="518"/>
      <c r="F134" s="537">
        <v>-0.59999999999999964</v>
      </c>
      <c r="G134" s="518"/>
      <c r="H134" s="537">
        <v>0</v>
      </c>
      <c r="I134" s="269"/>
      <c r="J134" s="537">
        <v>-56.999999999999993</v>
      </c>
      <c r="K134" s="559"/>
      <c r="L134" s="537">
        <v>7.5999999999999925</v>
      </c>
      <c r="M134" s="559"/>
      <c r="N134" s="537">
        <v>2.5</v>
      </c>
      <c r="O134" s="559"/>
      <c r="P134" s="537">
        <v>-11.900000000000006</v>
      </c>
      <c r="Q134" s="559"/>
      <c r="R134" s="537">
        <f t="shared" si="26"/>
        <v>5.8000000000000025</v>
      </c>
      <c r="S134" s="559"/>
      <c r="T134" s="537"/>
      <c r="U134" s="559"/>
      <c r="V134" s="537"/>
      <c r="W134" s="559"/>
      <c r="X134" s="537"/>
      <c r="Y134" s="559"/>
      <c r="Z134" s="537"/>
      <c r="AA134" s="294"/>
      <c r="AB134" s="530"/>
      <c r="AC134" s="537">
        <v>-60.1</v>
      </c>
      <c r="AD134" s="269"/>
      <c r="AE134" s="530" t="s">
        <v>103</v>
      </c>
      <c r="AF134" s="537">
        <v>-99.9</v>
      </c>
      <c r="AG134" s="269"/>
      <c r="AH134" s="713"/>
      <c r="AI134" s="269">
        <f>ROUND(SUM(+AC134-AF134)*-1,1)</f>
        <v>-39.799999999999997</v>
      </c>
      <c r="AJ134" s="269"/>
      <c r="AK134" s="271">
        <f>ROUND(IF(AF134=0,0,AI134/ABS(AF134)),3)</f>
        <v>-0.39800000000000002</v>
      </c>
      <c r="AL134" s="1833"/>
      <c r="AM134" s="1569"/>
    </row>
    <row r="135" spans="1:39" ht="15" customHeight="1">
      <c r="A135" s="35"/>
      <c r="B135" s="296" t="s">
        <v>469</v>
      </c>
      <c r="C135" s="369"/>
      <c r="D135" s="537">
        <v>-346.90000000000003</v>
      </c>
      <c r="E135" s="518"/>
      <c r="F135" s="537">
        <v>-428.99999999999994</v>
      </c>
      <c r="G135" s="518"/>
      <c r="H135" s="537">
        <v>-6565.6999999999989</v>
      </c>
      <c r="I135" s="269"/>
      <c r="J135" s="537">
        <v>-379.30000000000109</v>
      </c>
      <c r="K135" s="559"/>
      <c r="L135" s="537">
        <v>-140.8999999999993</v>
      </c>
      <c r="M135" s="559"/>
      <c r="N135" s="537">
        <v>-366.59999999999997</v>
      </c>
      <c r="O135" s="559"/>
      <c r="P135" s="537">
        <v>-101.60000000000002</v>
      </c>
      <c r="Q135" s="559"/>
      <c r="R135" s="537">
        <f t="shared" si="26"/>
        <v>-399.4999999999996</v>
      </c>
      <c r="S135" s="559"/>
      <c r="T135" s="537"/>
      <c r="U135" s="559"/>
      <c r="V135" s="537"/>
      <c r="W135" s="559"/>
      <c r="X135" s="537"/>
      <c r="Y135" s="559"/>
      <c r="Z135" s="537"/>
      <c r="AA135" s="294"/>
      <c r="AB135" s="530"/>
      <c r="AC135" s="537">
        <v>-8729.5</v>
      </c>
      <c r="AD135" s="269"/>
      <c r="AE135" s="530" t="s">
        <v>103</v>
      </c>
      <c r="AF135" s="537">
        <v>-2622.5000000000005</v>
      </c>
      <c r="AG135" s="269"/>
      <c r="AH135" s="713"/>
      <c r="AI135" s="388">
        <f>ROUND(SUM(+AC135-AF135)*-1,1)</f>
        <v>6107</v>
      </c>
      <c r="AJ135" s="269"/>
      <c r="AK135" s="539">
        <f>ROUND(IF(AF135=0,0,AI135/ABS(AF135)),3)</f>
        <v>2.3290000000000002</v>
      </c>
      <c r="AL135" s="1833"/>
      <c r="AM135" s="1569"/>
    </row>
    <row r="136" spans="1:39" ht="5.0999999999999996" customHeight="1">
      <c r="A136" s="35"/>
      <c r="B136" s="296"/>
      <c r="C136" s="369"/>
      <c r="D136" s="622"/>
      <c r="E136" s="269"/>
      <c r="F136" s="622"/>
      <c r="G136" s="269"/>
      <c r="H136" s="622"/>
      <c r="I136" s="269"/>
      <c r="J136" s="622"/>
      <c r="K136" s="269"/>
      <c r="L136" s="622"/>
      <c r="M136" s="269"/>
      <c r="N136" s="622"/>
      <c r="O136" s="269"/>
      <c r="P136" s="622"/>
      <c r="Q136" s="269"/>
      <c r="R136" s="622"/>
      <c r="S136" s="269"/>
      <c r="T136" s="622"/>
      <c r="U136" s="269"/>
      <c r="V136" s="622"/>
      <c r="W136" s="269"/>
      <c r="X136" s="622"/>
      <c r="Y136" s="269"/>
      <c r="Z136" s="622"/>
      <c r="AA136" s="273"/>
      <c r="AB136" s="1039"/>
      <c r="AC136" s="622"/>
      <c r="AD136" s="269"/>
      <c r="AE136" s="530"/>
      <c r="AF136" s="622"/>
      <c r="AG136" s="269"/>
      <c r="AH136" s="713"/>
      <c r="AI136" s="269"/>
      <c r="AJ136" s="269"/>
      <c r="AK136" s="288"/>
      <c r="AL136" s="1833"/>
      <c r="AM136" s="1569"/>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39"/>
      <c r="AC137" s="269"/>
      <c r="AD137" s="269"/>
      <c r="AE137" s="530"/>
      <c r="AF137" s="269"/>
      <c r="AG137" s="269"/>
      <c r="AH137" s="713"/>
      <c r="AI137" s="269"/>
      <c r="AJ137" s="269"/>
      <c r="AK137" s="288"/>
      <c r="AL137" s="1833"/>
      <c r="AM137" s="1569"/>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600.79999999999995</v>
      </c>
      <c r="Q138" s="13"/>
      <c r="R138" s="13">
        <f>ROUND(SUM(R128:R135),1)</f>
        <v>1108.5999999999999</v>
      </c>
      <c r="S138" s="13"/>
      <c r="T138" s="13">
        <f>ROUND(SUM(T128:T135),1)</f>
        <v>0</v>
      </c>
      <c r="U138" s="13"/>
      <c r="V138" s="13">
        <f>ROUND(SUM(V128:V135),1)</f>
        <v>0</v>
      </c>
      <c r="W138" s="13"/>
      <c r="X138" s="13">
        <f>ROUND(SUM(X128:X135),1)</f>
        <v>0</v>
      </c>
      <c r="Y138" s="40"/>
      <c r="Z138" s="13">
        <f>ROUND(SUM(Z128:Z135),1)</f>
        <v>0</v>
      </c>
      <c r="AA138" s="40"/>
      <c r="AB138" s="678"/>
      <c r="AC138" s="13">
        <f>ROUND(SUM(AC128:AC136),1)</f>
        <v>18115.2</v>
      </c>
      <c r="AD138" s="13"/>
      <c r="AE138" s="676"/>
      <c r="AF138" s="13">
        <f>ROUND(SUM(AF128:AF136),1)</f>
        <v>21750.9</v>
      </c>
      <c r="AG138" s="13"/>
      <c r="AH138" s="714"/>
      <c r="AI138" s="362">
        <f>ROUND(SUM(+AC138-AF138),1)</f>
        <v>-3635.7</v>
      </c>
      <c r="AJ138" s="13"/>
      <c r="AK138" s="618">
        <f>ROUND(SUM(+AI138/AF138),3)</f>
        <v>-0.16700000000000001</v>
      </c>
      <c r="AL138" s="1833"/>
      <c r="AM138" s="1569"/>
    </row>
    <row r="139" spans="1:39" ht="15" customHeight="1">
      <c r="A139" s="35"/>
      <c r="B139" s="296"/>
      <c r="C139" s="369"/>
      <c r="D139" s="622"/>
      <c r="E139" s="269"/>
      <c r="F139" s="622"/>
      <c r="G139" s="269"/>
      <c r="H139" s="622"/>
      <c r="I139" s="269"/>
      <c r="J139" s="622"/>
      <c r="K139" s="269"/>
      <c r="L139" s="622"/>
      <c r="M139" s="269"/>
      <c r="N139" s="622"/>
      <c r="O139" s="269"/>
      <c r="P139" s="622"/>
      <c r="Q139" s="269"/>
      <c r="R139" s="622"/>
      <c r="S139" s="269"/>
      <c r="T139" s="622"/>
      <c r="U139" s="269"/>
      <c r="V139" s="622"/>
      <c r="W139" s="269"/>
      <c r="X139" s="622"/>
      <c r="Y139" s="273"/>
      <c r="Z139" s="1045"/>
      <c r="AA139" s="273"/>
      <c r="AB139" s="1039"/>
      <c r="AC139" s="622"/>
      <c r="AD139" s="269"/>
      <c r="AE139" s="530"/>
      <c r="AF139" s="622"/>
      <c r="AG139" s="269"/>
      <c r="AH139" s="713"/>
      <c r="AI139" s="428"/>
      <c r="AJ139" s="428"/>
      <c r="AK139" s="333"/>
      <c r="AL139" s="1833"/>
      <c r="AM139" s="1569"/>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39"/>
      <c r="AC140" s="269"/>
      <c r="AD140" s="269"/>
      <c r="AE140" s="530"/>
      <c r="AF140" s="269"/>
      <c r="AG140" s="269"/>
      <c r="AH140" s="713"/>
      <c r="AI140" s="428"/>
      <c r="AJ140" s="428"/>
      <c r="AK140" s="333"/>
      <c r="AL140" s="1833"/>
      <c r="AM140" s="1569"/>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39"/>
      <c r="AC141" s="269"/>
      <c r="AD141" s="269"/>
      <c r="AE141" s="530"/>
      <c r="AF141" s="269"/>
      <c r="AG141" s="269"/>
      <c r="AH141" s="713"/>
      <c r="AI141" s="428"/>
      <c r="AJ141" s="428"/>
      <c r="AK141" s="333"/>
      <c r="AL141" s="1833"/>
      <c r="AM141" s="1569"/>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-5208.1000000000004</v>
      </c>
      <c r="Q142" s="13"/>
      <c r="R142" s="13">
        <f>ROUND(SUM(R124+R138),1)</f>
        <v>-4548.8999999999996</v>
      </c>
      <c r="S142" s="269"/>
      <c r="T142" s="13">
        <f>ROUND(SUM(T124+T138),1)</f>
        <v>0</v>
      </c>
      <c r="U142" s="269"/>
      <c r="V142" s="13">
        <f>ROUND(SUM(V124+V138),1)</f>
        <v>0</v>
      </c>
      <c r="W142" s="269"/>
      <c r="X142" s="13">
        <f>ROUND(SUM(X124+X138),1)</f>
        <v>0</v>
      </c>
      <c r="Y142" s="273"/>
      <c r="Z142" s="362">
        <f>ROUND(SUM(Z124+Z138),1)</f>
        <v>0</v>
      </c>
      <c r="AA142" s="273"/>
      <c r="AB142" s="1039"/>
      <c r="AC142" s="13">
        <f>ROUND(SUM(AC124+AC138),1)</f>
        <v>-9034.4</v>
      </c>
      <c r="AD142" s="13"/>
      <c r="AE142" s="676"/>
      <c r="AF142" s="13">
        <f>ROUND(SUM(AF124+AF138),1)</f>
        <v>-777.2</v>
      </c>
      <c r="AG142" s="13"/>
      <c r="AH142" s="714"/>
      <c r="AI142" s="362">
        <f>ROUND(SUM(+AC142-AF142),1)</f>
        <v>-8257.2000000000007</v>
      </c>
      <c r="AJ142" s="719"/>
      <c r="AK142" s="618">
        <f>ROUND(SUM(AI142/ABS(AF142)),3)</f>
        <v>-10.624000000000001</v>
      </c>
      <c r="AL142" s="1833"/>
      <c r="AM142" s="1569"/>
    </row>
    <row r="143" spans="1:39" ht="9" customHeight="1">
      <c r="A143" s="35"/>
      <c r="B143" s="296"/>
      <c r="C143" s="369"/>
      <c r="D143" s="1045"/>
      <c r="E143" s="296"/>
      <c r="F143" s="1130"/>
      <c r="G143" s="296"/>
      <c r="H143" s="1004"/>
      <c r="I143" s="296"/>
      <c r="J143" s="622"/>
      <c r="K143" s="296"/>
      <c r="L143" s="1004"/>
      <c r="M143" s="296"/>
      <c r="N143" s="1004"/>
      <c r="O143" s="296"/>
      <c r="P143" s="1004"/>
      <c r="Q143" s="296"/>
      <c r="R143" s="1004"/>
      <c r="S143" s="296"/>
      <c r="T143" s="1004"/>
      <c r="U143" s="296"/>
      <c r="V143" s="1004"/>
      <c r="W143" s="296"/>
      <c r="X143" s="1004"/>
      <c r="Y143" s="296"/>
      <c r="Z143" s="369"/>
      <c r="AA143" s="369"/>
      <c r="AB143" s="1039"/>
      <c r="AC143" s="622"/>
      <c r="AD143" s="269"/>
      <c r="AE143" s="530"/>
      <c r="AF143" s="622"/>
      <c r="AG143" s="269"/>
      <c r="AH143" s="713"/>
      <c r="AI143" s="622"/>
      <c r="AJ143" s="428"/>
      <c r="AK143" s="1046"/>
      <c r="AL143" s="1833"/>
      <c r="AM143" s="1569"/>
    </row>
    <row r="144" spans="1:39" ht="15" customHeight="1" thickBot="1">
      <c r="A144" s="35"/>
      <c r="B144" s="1235"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52430.3</v>
      </c>
      <c r="Q144" s="45"/>
      <c r="R144" s="73">
        <f>ROUND(SUM(R13+R142),1)</f>
        <v>47881.4</v>
      </c>
      <c r="S144" s="45"/>
      <c r="T144" s="73">
        <f>ROUND(SUM(T13+T142),1)</f>
        <v>0</v>
      </c>
      <c r="U144" s="45"/>
      <c r="V144" s="73">
        <f>ROUND(SUM(V13+V142),1)</f>
        <v>0</v>
      </c>
      <c r="W144" s="45"/>
      <c r="X144" s="73">
        <f>ROUND(SUM(X13+X142),1)</f>
        <v>0</v>
      </c>
      <c r="Y144" s="45"/>
      <c r="Z144" s="73">
        <f>ROUND(SUM(Z13+Z142),1)</f>
        <v>0</v>
      </c>
      <c r="AA144" s="45"/>
      <c r="AB144" s="720"/>
      <c r="AC144" s="73">
        <f>ROUND(SUM(AC13+AC142),1)</f>
        <v>47881.4</v>
      </c>
      <c r="AD144" s="13"/>
      <c r="AE144" s="676"/>
      <c r="AF144" s="73">
        <f>ROUND(SUM(AF13+AF142),1)</f>
        <v>45553.7</v>
      </c>
      <c r="AG144" s="45"/>
      <c r="AH144" s="711"/>
      <c r="AI144" s="73">
        <f>ROUND(SUM(+AC144-AF144),1)</f>
        <v>2327.6999999999998</v>
      </c>
      <c r="AJ144" s="719"/>
      <c r="AK144" s="80">
        <f>ROUND(SUM(+AI144/AF144),3)</f>
        <v>5.0999999999999997E-2</v>
      </c>
      <c r="AL144" s="1833"/>
      <c r="AM144" s="1569"/>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5"/>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5"/>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2085"/>
      <c r="AD147" s="269"/>
      <c r="AE147" s="269"/>
      <c r="AF147" s="269"/>
      <c r="AG147" s="269"/>
      <c r="AH147" s="705"/>
      <c r="AI147" s="428"/>
      <c r="AJ147" s="428"/>
      <c r="AK147" s="333"/>
    </row>
    <row r="148" spans="1:37" ht="15" customHeight="1">
      <c r="A148" s="66"/>
      <c r="B148" s="355"/>
      <c r="C148" s="721"/>
      <c r="D148" s="721"/>
      <c r="E148" s="1132"/>
      <c r="F148" s="1132"/>
      <c r="G148" s="1132"/>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 customHeight="1">
      <c r="A149" s="66"/>
      <c r="B149" s="355"/>
      <c r="C149" s="721"/>
      <c r="D149" s="721"/>
      <c r="E149" s="1132"/>
      <c r="F149" s="1132"/>
      <c r="G149" s="1132"/>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1"/>
      <c r="D150" s="721"/>
      <c r="E150" s="1132"/>
      <c r="F150" s="1132"/>
      <c r="G150" s="1132"/>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1"/>
      <c r="D151" s="721"/>
      <c r="E151" s="1132"/>
      <c r="F151" s="1132"/>
      <c r="G151" s="1132"/>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1"/>
      <c r="D152" s="721"/>
      <c r="E152" s="1132"/>
      <c r="F152" s="1132"/>
      <c r="G152" s="1132"/>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1"/>
      <c r="D153" s="721"/>
      <c r="E153" s="1132"/>
      <c r="F153" s="1132"/>
      <c r="G153" s="1132"/>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1"/>
      <c r="D154" s="721"/>
      <c r="E154" s="1132"/>
      <c r="F154" s="1132"/>
      <c r="G154" s="1132"/>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1"/>
      <c r="D155" s="721"/>
      <c r="E155" s="1132"/>
      <c r="F155" s="1132"/>
      <c r="G155" s="1132"/>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1"/>
      <c r="D156" s="721"/>
      <c r="E156" s="1132"/>
      <c r="F156" s="1132"/>
      <c r="G156" s="1132"/>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1"/>
      <c r="D157" s="721"/>
      <c r="E157" s="1132"/>
      <c r="F157" s="1132"/>
      <c r="G157" s="1132"/>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1"/>
      <c r="D158" s="721"/>
      <c r="E158" s="1132"/>
      <c r="F158" s="1132"/>
      <c r="G158" s="1132"/>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1"/>
      <c r="D159" s="721"/>
      <c r="E159" s="1132"/>
      <c r="F159" s="1132"/>
      <c r="G159" s="1132"/>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1"/>
      <c r="D160" s="721"/>
      <c r="E160" s="1132"/>
      <c r="F160" s="1132"/>
      <c r="G160" s="1132"/>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1"/>
      <c r="D161" s="721"/>
      <c r="E161" s="1132"/>
      <c r="F161" s="1132"/>
      <c r="G161" s="1132"/>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1"/>
      <c r="D162" s="721"/>
      <c r="E162" s="1132"/>
      <c r="F162" s="1132"/>
      <c r="G162" s="1132"/>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1"/>
      <c r="D163" s="721"/>
      <c r="E163" s="1132"/>
      <c r="F163" s="1132"/>
      <c r="G163" s="1132"/>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1"/>
      <c r="D164" s="721"/>
      <c r="E164" s="1132"/>
      <c r="F164" s="1132"/>
      <c r="G164" s="1132"/>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1"/>
      <c r="D165" s="721"/>
      <c r="E165" s="1132"/>
      <c r="F165" s="1132"/>
      <c r="G165" s="1132"/>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1"/>
      <c r="D166" s="721"/>
      <c r="E166" s="1132"/>
      <c r="F166" s="1132"/>
      <c r="G166" s="1132"/>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1"/>
      <c r="D167" s="721"/>
      <c r="E167" s="1132"/>
      <c r="F167" s="1132"/>
      <c r="G167" s="1132"/>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00000000000001"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00000000000001"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00000000000001"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00000000000001"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00000000000001"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00000000000001" customHeight="1">
      <c r="B173" s="722"/>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00000000000001"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00000000000001"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00000000000001"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00000000000001"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00000000000001"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00000000000001"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00000000000001"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23 AK33 AK64 AK82:AK84 AK106 AK133 AI3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zoomScaleNormal="80" workbookViewId="0"/>
  </sheetViews>
  <sheetFormatPr defaultColWidth="8.88671875" defaultRowHeight="15"/>
  <cols>
    <col min="1" max="1" width="1.88671875" style="4" customWidth="1"/>
    <col min="2" max="2" width="45.44140625" style="4" customWidth="1"/>
    <col min="3" max="3" width="1.88671875" style="4" customWidth="1"/>
    <col min="4" max="4" width="12.44140625" style="4" bestFit="1" customWidth="1"/>
    <col min="5" max="5" width="1.88671875" customWidth="1"/>
    <col min="6" max="6" width="12.109375" style="4" bestFit="1" customWidth="1"/>
    <col min="7" max="7" width="1.88671875" customWidth="1"/>
    <col min="8" max="8" width="13.44140625" style="4" customWidth="1"/>
    <col min="9" max="9" width="1.88671875" customWidth="1"/>
    <col min="10" max="10" width="16.109375" style="4" customWidth="1"/>
    <col min="11" max="11" width="1.88671875" customWidth="1"/>
    <col min="12" max="12" width="13.44140625" style="4" customWidth="1"/>
    <col min="13" max="13" width="1.88671875" customWidth="1"/>
    <col min="14" max="14" width="14.109375" style="4" customWidth="1"/>
    <col min="15" max="15" width="1.88671875" customWidth="1"/>
    <col min="16" max="16" width="14.109375" style="4" customWidth="1"/>
    <col min="17" max="17" width="1.88671875" customWidth="1"/>
    <col min="18" max="18" width="14.109375" style="4" customWidth="1"/>
    <col min="19" max="19" width="1.88671875" customWidth="1"/>
    <col min="20" max="20" width="14.109375" style="4" customWidth="1"/>
    <col min="21" max="21" width="1.88671875" customWidth="1"/>
    <col min="22" max="22" width="14.109375" style="4" customWidth="1"/>
    <col min="23" max="23" width="1.88671875" customWidth="1"/>
    <col min="24" max="24" width="14.109375" style="4" customWidth="1"/>
    <col min="25" max="25" width="1.88671875" customWidth="1"/>
    <col min="26" max="26" width="14.109375" style="4" customWidth="1"/>
    <col min="27" max="27" width="1.88671875" style="4" customWidth="1"/>
    <col min="28" max="28" width="14.109375" style="4" customWidth="1"/>
    <col min="29" max="30" width="0.886718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88671875" style="4" customWidth="1"/>
    <col min="38" max="38" width="0.88671875" style="4" customWidth="1"/>
    <col min="39" max="39" width="13.44140625" style="369" customWidth="1"/>
    <col min="40" max="16384" width="8.8867187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ht="15.75">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25">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5"/>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100" t="str">
        <f>'Cashflow Governmental'!$AB$12</f>
        <v>8 Months Ended November 30</v>
      </c>
      <c r="AE9" s="2100"/>
      <c r="AF9" s="2100"/>
      <c r="AG9" s="2100"/>
      <c r="AH9" s="2100"/>
      <c r="AI9" s="2100"/>
      <c r="AJ9" s="2100"/>
      <c r="AK9" s="2100"/>
      <c r="AL9" s="2100"/>
      <c r="AM9" s="2100"/>
    </row>
    <row r="10" spans="1:46" ht="15.75">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ht="15.75">
      <c r="A11" s="369"/>
      <c r="B11" s="369"/>
      <c r="C11" s="369"/>
      <c r="D11" s="54" t="s">
        <v>332</v>
      </c>
      <c r="F11" s="54" t="s">
        <v>333</v>
      </c>
      <c r="H11" s="54" t="s">
        <v>334</v>
      </c>
      <c r="J11" s="54" t="s">
        <v>335</v>
      </c>
      <c r="L11" s="1236" t="s">
        <v>336</v>
      </c>
      <c r="N11" s="54" t="s">
        <v>448</v>
      </c>
      <c r="P11" s="54" t="s">
        <v>449</v>
      </c>
      <c r="R11" s="54" t="s">
        <v>339</v>
      </c>
      <c r="T11" s="54" t="s">
        <v>340</v>
      </c>
      <c r="V11" s="54" t="s">
        <v>341</v>
      </c>
      <c r="X11" s="54" t="s">
        <v>342</v>
      </c>
      <c r="Z11" s="54" t="s">
        <v>450</v>
      </c>
      <c r="AA11" s="54"/>
      <c r="AB11" s="1236" t="s">
        <v>480</v>
      </c>
      <c r="AC11" s="54"/>
      <c r="AD11" s="3"/>
      <c r="AE11" s="319" t="str">
        <f>'Cashflow Governmental'!AB14</f>
        <v>2025</v>
      </c>
      <c r="AF11" s="3" t="s">
        <v>103</v>
      </c>
      <c r="AG11" s="60"/>
      <c r="AH11" s="319" t="str">
        <f>'Cashflow Governmental'!AE14</f>
        <v>2024</v>
      </c>
      <c r="AI11" s="319"/>
      <c r="AJ11" s="60"/>
      <c r="AK11" s="1238" t="s">
        <v>112</v>
      </c>
      <c r="AL11" s="60"/>
      <c r="AM11" s="1238" t="s">
        <v>113</v>
      </c>
      <c r="AN11" s="60"/>
      <c r="AO11" s="60"/>
      <c r="AP11" s="60"/>
      <c r="AQ11" s="60"/>
      <c r="AR11" s="60"/>
    </row>
    <row r="12" spans="1:46" ht="5.25" customHeight="1">
      <c r="A12" s="369"/>
      <c r="B12" s="369"/>
      <c r="C12" s="369"/>
      <c r="D12" s="1004"/>
      <c r="F12" s="1004"/>
      <c r="H12" s="1004"/>
      <c r="J12" s="1004"/>
      <c r="L12" s="1004"/>
      <c r="N12" s="1004"/>
      <c r="P12" s="1004"/>
      <c r="R12" s="1004"/>
      <c r="T12" s="1004"/>
      <c r="V12" s="1004"/>
      <c r="X12" s="1004"/>
      <c r="Z12" s="1004"/>
      <c r="AA12" s="369"/>
      <c r="AB12" s="369"/>
      <c r="AC12" s="369"/>
      <c r="AD12" s="369"/>
      <c r="AE12" s="1004"/>
      <c r="AF12" s="369"/>
      <c r="AG12" s="369"/>
      <c r="AH12" s="1004"/>
      <c r="AI12" s="369"/>
      <c r="AJ12" s="369"/>
      <c r="AK12" s="369"/>
      <c r="AL12" s="369"/>
      <c r="AN12" s="369"/>
      <c r="AO12" s="369"/>
      <c r="AP12" s="369"/>
      <c r="AQ12" s="369"/>
      <c r="AR12" s="369"/>
    </row>
    <row r="13" spans="1:46" ht="15" customHeight="1">
      <c r="A13" s="296"/>
      <c r="B13" s="1235" t="s">
        <v>481</v>
      </c>
      <c r="C13" s="296"/>
      <c r="D13" s="20">
        <f>'Exhibit G State'!D13+'Exhibit G Federal'!D13</f>
        <v>18119.2</v>
      </c>
      <c r="F13" s="20">
        <f>D123</f>
        <v>21935</v>
      </c>
      <c r="G13" s="20"/>
      <c r="H13" s="20">
        <f>F123</f>
        <v>21542.9</v>
      </c>
      <c r="J13" s="20">
        <f>H123</f>
        <v>20847.2</v>
      </c>
      <c r="L13" s="20">
        <f>J123</f>
        <v>21204.7</v>
      </c>
      <c r="N13" s="20">
        <f>L123</f>
        <v>22964.7</v>
      </c>
      <c r="P13" s="20">
        <f>N123</f>
        <v>20080.400000000001</v>
      </c>
      <c r="R13" s="20">
        <f>P123</f>
        <v>21240.799999999999</v>
      </c>
      <c r="S13" s="20"/>
      <c r="T13" s="20"/>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3"/>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48"/>
      <c r="AE14" s="369"/>
      <c r="AF14" s="369"/>
      <c r="AG14" s="1048"/>
      <c r="AH14" s="369"/>
      <c r="AI14" s="1049"/>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5"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f>'Exhibit G State'!L17</f>
        <v>0</v>
      </c>
      <c r="M17"/>
      <c r="N17" s="269">
        <f>'Exhibit G State'!N17</f>
        <v>0</v>
      </c>
      <c r="O17"/>
      <c r="P17" s="269">
        <f>'Exhibit G State'!P17</f>
        <v>0</v>
      </c>
      <c r="Q17"/>
      <c r="R17" s="269">
        <f>'Exhibit G State'!R17</f>
        <v>0</v>
      </c>
      <c r="S17" s="269"/>
      <c r="T17" s="269"/>
      <c r="U17" s="269"/>
      <c r="V17" s="269"/>
      <c r="W17" s="269"/>
      <c r="X17" s="269"/>
      <c r="Y17" s="269"/>
      <c r="Z17" s="269"/>
      <c r="AA17" s="269"/>
      <c r="AB17" s="269">
        <v>0</v>
      </c>
      <c r="AC17" s="269"/>
      <c r="AD17" s="21"/>
      <c r="AE17" s="269">
        <f>ROUND(SUM(D17:Z17),1)</f>
        <v>0</v>
      </c>
      <c r="AF17" s="269"/>
      <c r="AG17" s="529"/>
      <c r="AH17" s="292">
        <f>'Exhibit G State'!AF17</f>
        <v>0</v>
      </c>
      <c r="AI17" s="525"/>
      <c r="AJ17" s="269"/>
      <c r="AK17" s="269">
        <f>ROUND(SUM(+AE17-AH17),1)</f>
        <v>0</v>
      </c>
      <c r="AL17" s="11"/>
      <c r="AM17" s="271">
        <f>ROUND(IF(AH17=0,0,AK17/ABS(AH17)),3)</f>
        <v>0</v>
      </c>
      <c r="AN17" s="411"/>
      <c r="AO17" s="411"/>
      <c r="AP17" s="411"/>
      <c r="AQ17" s="411"/>
      <c r="AR17" s="411"/>
      <c r="AS17" s="411"/>
      <c r="AT17" s="411"/>
    </row>
    <row r="18" spans="1:46" s="60" customFormat="1" ht="6" customHeight="1">
      <c r="A18" s="3"/>
      <c r="B18" s="418"/>
      <c r="C18" s="3"/>
      <c r="D18" s="724"/>
      <c r="E18" s="724"/>
      <c r="F18" s="724"/>
      <c r="G18" s="724"/>
      <c r="H18" s="724"/>
      <c r="I18"/>
      <c r="J18" s="269">
        <f>'Exhibit G State'!J18</f>
        <v>0</v>
      </c>
      <c r="K18"/>
      <c r="L18" s="724"/>
      <c r="M18"/>
      <c r="N18" s="724"/>
      <c r="O18"/>
      <c r="P18" s="724"/>
      <c r="Q18"/>
      <c r="R18" s="724"/>
      <c r="S18" s="724"/>
      <c r="T18" s="724"/>
      <c r="U18" s="724"/>
      <c r="V18" s="724"/>
      <c r="W18"/>
      <c r="X18" s="724"/>
      <c r="Y18" s="724"/>
      <c r="Z18" s="724"/>
      <c r="AA18" s="724"/>
      <c r="AB18" s="20"/>
      <c r="AC18" s="20"/>
      <c r="AD18" s="21"/>
      <c r="AE18" s="279"/>
      <c r="AF18" s="279"/>
      <c r="AG18" s="437"/>
      <c r="AH18" s="281"/>
      <c r="AI18" s="901"/>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t="s">
        <v>103</v>
      </c>
      <c r="L19" s="269" t="s">
        <v>103</v>
      </c>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f>'Exhibit G State'!L20</f>
        <v>111.50000000000003</v>
      </c>
      <c r="N20" s="269">
        <f>'Exhibit G State'!N20</f>
        <v>135.60000000000005</v>
      </c>
      <c r="P20" s="269">
        <f>'Exhibit G State'!P20</f>
        <v>118.9</v>
      </c>
      <c r="R20" s="269">
        <f>'Exhibit G State'!R20</f>
        <v>115.20000000000007</v>
      </c>
      <c r="S20" s="269"/>
      <c r="T20" s="269"/>
      <c r="U20" s="269"/>
      <c r="V20" s="269"/>
      <c r="W20" s="269"/>
      <c r="X20" s="269"/>
      <c r="Y20" s="269"/>
      <c r="Z20" s="269"/>
      <c r="AA20" s="269"/>
      <c r="AB20" s="269">
        <v>0</v>
      </c>
      <c r="AC20" s="269"/>
      <c r="AD20" s="529"/>
      <c r="AE20" s="269">
        <f>ROUND(SUM(D20:Z20),1)</f>
        <v>970.2</v>
      </c>
      <c r="AF20" s="269"/>
      <c r="AG20" s="529"/>
      <c r="AH20" s="292">
        <f>'Exhibit G State'!AF20</f>
        <v>914.69999999999993</v>
      </c>
      <c r="AI20" s="525"/>
      <c r="AJ20" s="269"/>
      <c r="AK20" s="269">
        <f t="shared" ref="AK20:AK27" si="0">ROUND(SUM(+AE20-AH20),1)</f>
        <v>55.5</v>
      </c>
      <c r="AL20" s="11"/>
      <c r="AM20" s="271">
        <f t="shared" ref="AM20:AM26" si="1">ROUND(IF(AH20=0,0,AK20/ABS(AH20)),3)</f>
        <v>6.0999999999999999E-2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f>'Exhibit G State'!L21</f>
        <v>0</v>
      </c>
      <c r="N21" s="269">
        <f>'Exhibit G State'!N21</f>
        <v>13.100000000000003</v>
      </c>
      <c r="P21" s="269">
        <f>'Exhibit G State'!P21</f>
        <v>0</v>
      </c>
      <c r="R21" s="269">
        <f>'Exhibit G State'!R21</f>
        <v>9.9999999999996092E-2</v>
      </c>
      <c r="S21" s="269"/>
      <c r="T21" s="269"/>
      <c r="U21" s="269"/>
      <c r="V21" s="269"/>
      <c r="W21" s="269"/>
      <c r="X21" s="269"/>
      <c r="Y21" s="269"/>
      <c r="Z21" s="269"/>
      <c r="AA21" s="269"/>
      <c r="AB21" s="269">
        <v>0</v>
      </c>
      <c r="AC21" s="269"/>
      <c r="AD21" s="529"/>
      <c r="AE21" s="269">
        <f>ROUND(SUM(D21:Z21),1)</f>
        <v>27.2</v>
      </c>
      <c r="AF21" s="269"/>
      <c r="AG21" s="529"/>
      <c r="AH21" s="292">
        <f>'Exhibit G State'!AF21</f>
        <v>20.6</v>
      </c>
      <c r="AI21" s="525"/>
      <c r="AJ21" s="269"/>
      <c r="AK21" s="269">
        <f t="shared" si="0"/>
        <v>6.6</v>
      </c>
      <c r="AL21" s="11"/>
      <c r="AM21" s="548">
        <f>ROUND(IF(AH21=0,1,AK21/ABS(AH21)),3)</f>
        <v>0.32</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f>'Exhibit G State'!L22</f>
        <v>46.300000000000011</v>
      </c>
      <c r="N22" s="269">
        <f>'Exhibit G State'!N22</f>
        <v>48.700000000000017</v>
      </c>
      <c r="P22" s="269">
        <f>'Exhibit G State'!P22</f>
        <v>42.399999999999949</v>
      </c>
      <c r="R22" s="269">
        <f>'Exhibit G State'!R22</f>
        <v>39.200000000000017</v>
      </c>
      <c r="S22" s="269"/>
      <c r="T22" s="269"/>
      <c r="U22" s="269"/>
      <c r="V22" s="269"/>
      <c r="W22" s="269"/>
      <c r="X22" s="269"/>
      <c r="Y22" s="269"/>
      <c r="Z22" s="269"/>
      <c r="AA22" s="269"/>
      <c r="AB22" s="269">
        <v>0</v>
      </c>
      <c r="AC22" s="269"/>
      <c r="AD22" s="529"/>
      <c r="AE22" s="269">
        <f>ROUND(SUM(D22:Z22),1)</f>
        <v>371.7</v>
      </c>
      <c r="AF22" s="269"/>
      <c r="AG22" s="529"/>
      <c r="AH22" s="292">
        <f>'Exhibit G State'!AF22</f>
        <v>402.9</v>
      </c>
      <c r="AI22" s="525"/>
      <c r="AJ22" s="269"/>
      <c r="AK22" s="269">
        <f t="shared" si="0"/>
        <v>-31.2</v>
      </c>
      <c r="AL22" s="11"/>
      <c r="AM22" s="271">
        <f t="shared" si="1"/>
        <v>-7.6999999999999999E-2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f>'Exhibit G State'!L23</f>
        <v>3.1000000000000032</v>
      </c>
      <c r="N23" s="269">
        <f>'Exhibit G State'!N23</f>
        <v>46.399999999999991</v>
      </c>
      <c r="P23" s="269">
        <f>'Exhibit G State'!P23</f>
        <v>2.7</v>
      </c>
      <c r="R23" s="269">
        <f>'Exhibit G State'!R23</f>
        <v>5.3000000000000158</v>
      </c>
      <c r="S23" s="269"/>
      <c r="T23" s="269"/>
      <c r="U23" s="269"/>
      <c r="V23" s="269"/>
      <c r="W23" s="269"/>
      <c r="X23" s="269"/>
      <c r="Y23" s="269"/>
      <c r="Z23" s="269"/>
      <c r="AA23" s="269"/>
      <c r="AB23" s="269">
        <v>0</v>
      </c>
      <c r="AC23" s="269"/>
      <c r="AD23" s="529"/>
      <c r="AE23" s="269">
        <f t="shared" ref="AE23:AE27" si="2">ROUND(SUM(D23:Z23),1)</f>
        <v>96.4</v>
      </c>
      <c r="AF23" s="269"/>
      <c r="AG23" s="529"/>
      <c r="AH23" s="292">
        <f>'Exhibit G State'!AF23</f>
        <v>54.1</v>
      </c>
      <c r="AI23" s="525"/>
      <c r="AJ23" s="269"/>
      <c r="AK23" s="269">
        <f>ROUND(SUM(+AE23-AH23),1)</f>
        <v>42.3</v>
      </c>
      <c r="AL23" s="11"/>
      <c r="AM23" s="271">
        <f>ROUND(IF(AH23=0,1,AK23/ABS(AH23)),3)</f>
        <v>0.78200000000000003</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f>'Exhibit G State'!L24</f>
        <v>9.6000000000000032</v>
      </c>
      <c r="N24" s="269">
        <f>'Exhibit G State'!N24</f>
        <v>8.9</v>
      </c>
      <c r="P24" s="269">
        <f>'Exhibit G State'!P24</f>
        <v>9.4</v>
      </c>
      <c r="R24" s="269">
        <f>'Exhibit G State'!R24</f>
        <v>8.4000000000000075</v>
      </c>
      <c r="S24" s="269"/>
      <c r="T24" s="269"/>
      <c r="U24" s="269"/>
      <c r="V24" s="269"/>
      <c r="W24" s="269"/>
      <c r="X24" s="269"/>
      <c r="Y24" s="269"/>
      <c r="Z24" s="269"/>
      <c r="AA24" s="269"/>
      <c r="AB24" s="269">
        <v>0</v>
      </c>
      <c r="AC24" s="269"/>
      <c r="AD24" s="529"/>
      <c r="AE24" s="269">
        <f>ROUND(SUM(D24:Z24),1)</f>
        <v>70.7</v>
      </c>
      <c r="AF24" s="269"/>
      <c r="AG24" s="529"/>
      <c r="AH24" s="292">
        <f>'Exhibit G State'!AF24</f>
        <v>71.2</v>
      </c>
      <c r="AI24" s="525"/>
      <c r="AJ24" s="269"/>
      <c r="AK24" s="269">
        <f t="shared" si="0"/>
        <v>-0.5</v>
      </c>
      <c r="AL24" s="11"/>
      <c r="AM24" s="271">
        <f t="shared" si="1"/>
        <v>-7.0000000000000001E-3</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f>'Exhibit G State'!L25</f>
        <v>0</v>
      </c>
      <c r="N25" s="269">
        <f>'Exhibit G State'!N25</f>
        <v>0.1</v>
      </c>
      <c r="P25" s="269">
        <f>'Exhibit G State'!P25</f>
        <v>0</v>
      </c>
      <c r="R25" s="269">
        <f>'Exhibit G State'!R25</f>
        <v>0</v>
      </c>
      <c r="S25" s="269"/>
      <c r="T25" s="269"/>
      <c r="U25" s="269"/>
      <c r="V25" s="269"/>
      <c r="W25" s="269"/>
      <c r="X25" s="269"/>
      <c r="Y25" s="269"/>
      <c r="Z25" s="269"/>
      <c r="AA25" s="269"/>
      <c r="AB25" s="269">
        <v>0</v>
      </c>
      <c r="AC25" s="269"/>
      <c r="AD25" s="529"/>
      <c r="AE25" s="269">
        <f>ROUND(SUM(D25:Z25),1)</f>
        <v>0</v>
      </c>
      <c r="AF25" s="269"/>
      <c r="AG25" s="529"/>
      <c r="AH25" s="292">
        <f>'Exhibit G State'!AF25</f>
        <v>0.2</v>
      </c>
      <c r="AI25" s="525"/>
      <c r="AJ25" s="269"/>
      <c r="AK25" s="269">
        <f t="shared" ref="AK25" si="3">ROUND(SUM(+AE25-AH25),1)</f>
        <v>-0.2</v>
      </c>
      <c r="AL25" s="11"/>
      <c r="AM25" s="271">
        <f>ROUND(IF(AH25=0,1,(AK25)/ABS(AH25)),3)</f>
        <v>-1</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f>'Exhibit G State'!L26</f>
        <v>0</v>
      </c>
      <c r="N26" s="269">
        <f>'Exhibit G State'!N26</f>
        <v>0</v>
      </c>
      <c r="P26" s="269">
        <f>'Exhibit G State'!P26</f>
        <v>0</v>
      </c>
      <c r="R26" s="269">
        <f>'Exhibit G State'!R26</f>
        <v>0</v>
      </c>
      <c r="S26" s="269"/>
      <c r="T26" s="269"/>
      <c r="U26" s="269"/>
      <c r="V26" s="269"/>
      <c r="W26" s="269"/>
      <c r="X26" s="269"/>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f>'Exhibit G State'!L27</f>
        <v>9.9999999999999978E-2</v>
      </c>
      <c r="N27" s="269">
        <f>'Exhibit G State'!N27</f>
        <v>0</v>
      </c>
      <c r="P27" s="269">
        <f>'Exhibit G State'!P27</f>
        <v>0.10000000000000003</v>
      </c>
      <c r="R27" s="269">
        <f>'Exhibit G State'!R27</f>
        <v>0</v>
      </c>
      <c r="S27" s="269"/>
      <c r="T27" s="269"/>
      <c r="U27" s="269"/>
      <c r="V27" s="269"/>
      <c r="W27" s="269"/>
      <c r="X27" s="269"/>
      <c r="Y27" s="269"/>
      <c r="Z27" s="269"/>
      <c r="AA27" s="269"/>
      <c r="AB27" s="269">
        <v>0</v>
      </c>
      <c r="AC27" s="269"/>
      <c r="AD27" s="529"/>
      <c r="AE27" s="269">
        <f t="shared" si="2"/>
        <v>0.4</v>
      </c>
      <c r="AF27" s="269"/>
      <c r="AG27" s="529"/>
      <c r="AH27" s="292">
        <f>'Exhibit G State'!AF27</f>
        <v>1.2</v>
      </c>
      <c r="AI27" s="525"/>
      <c r="AJ27" s="269"/>
      <c r="AK27" s="269">
        <f t="shared" si="0"/>
        <v>-0.8</v>
      </c>
      <c r="AL27" s="11"/>
      <c r="AM27" s="548">
        <f>ROUND(IF(AH27=0,1,AK27/ABS(AH27)),3)</f>
        <v>-0.66700000000000004</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f>'Exhibit G State'!L28</f>
        <v>9.9999999999999811E-2</v>
      </c>
      <c r="N28" s="269">
        <f>'Exhibit G State'!N28</f>
        <v>4.8000000000000007</v>
      </c>
      <c r="P28" s="269">
        <f>'Exhibit G State'!P28</f>
        <v>0.19999999999999946</v>
      </c>
      <c r="R28" s="269">
        <f>'Exhibit G State'!R28</f>
        <v>9.9999999999999811E-2</v>
      </c>
      <c r="S28" s="269"/>
      <c r="T28" s="269"/>
      <c r="U28" s="269"/>
      <c r="V28" s="269"/>
      <c r="W28" s="269"/>
      <c r="X28" s="269"/>
      <c r="Y28" s="269"/>
      <c r="Z28" s="269"/>
      <c r="AA28" s="269"/>
      <c r="AB28" s="269">
        <v>0</v>
      </c>
      <c r="AC28" s="269"/>
      <c r="AD28" s="529"/>
      <c r="AE28" s="269">
        <f t="shared" ref="AE28" si="4">ROUND(SUM(D28:Z28),1)</f>
        <v>10.199999999999999</v>
      </c>
      <c r="AF28" s="269"/>
      <c r="AG28" s="529"/>
      <c r="AH28" s="292">
        <f>'Exhibit G State'!AF28</f>
        <v>10.9</v>
      </c>
      <c r="AI28" s="525"/>
      <c r="AJ28" s="269"/>
      <c r="AK28" s="269">
        <f t="shared" ref="AK28" si="5">ROUND(SUM(+AE28-AH28),1)</f>
        <v>-0.7</v>
      </c>
      <c r="AL28" s="11"/>
      <c r="AM28" s="548">
        <f>ROUND(IF(AH28=0,1,AK28/ABS(AH28)),3)</f>
        <v>-6.4000000000000001E-2</v>
      </c>
      <c r="AN28" s="411"/>
      <c r="AO28" s="411"/>
      <c r="AP28" s="411"/>
      <c r="AQ28" s="411"/>
      <c r="AR28" s="411"/>
      <c r="AS28" s="411"/>
      <c r="AT28" s="411"/>
    </row>
    <row r="29" spans="1:46" s="60" customFormat="1" ht="15" customHeight="1">
      <c r="A29" s="3"/>
      <c r="B29" s="3" t="s">
        <v>483</v>
      </c>
      <c r="C29" s="3"/>
      <c r="D29" s="680">
        <f>ROUND(SUM(D20:D28),1)</f>
        <v>217.3</v>
      </c>
      <c r="E29"/>
      <c r="F29" s="680">
        <f>ROUND(SUM(F20:F28),1)</f>
        <v>157.6</v>
      </c>
      <c r="G29"/>
      <c r="H29" s="680">
        <f>ROUND(SUM(H20:H28),1)</f>
        <v>230.8</v>
      </c>
      <c r="I29"/>
      <c r="J29" s="680">
        <f>ROUND(SUM(J20:J28),1)</f>
        <v>170.8</v>
      </c>
      <c r="K29"/>
      <c r="L29" s="680">
        <f>ROUND(SUM(L20:L28),1)</f>
        <v>170.7</v>
      </c>
      <c r="M29"/>
      <c r="N29" s="680">
        <f>ROUND(SUM(N20:N28),1)</f>
        <v>257.60000000000002</v>
      </c>
      <c r="O29"/>
      <c r="P29" s="680">
        <f>ROUND(SUM(P20:P28),1)</f>
        <v>173.7</v>
      </c>
      <c r="Q29"/>
      <c r="R29" s="680">
        <f>ROUND(SUM(R20:R28),1)</f>
        <v>168.3</v>
      </c>
      <c r="S29"/>
      <c r="T29" s="680">
        <f>ROUND(SUM(T20:T28),1)</f>
        <v>0</v>
      </c>
      <c r="U29"/>
      <c r="V29" s="680">
        <f>ROUND(SUM(V20:V28),1)</f>
        <v>0</v>
      </c>
      <c r="W29"/>
      <c r="X29" s="680">
        <f>ROUND(SUM(X20:X28),1)</f>
        <v>0</v>
      </c>
      <c r="Y29"/>
      <c r="Z29" s="680">
        <f>ROUND(SUM(Z20:Z28),1)</f>
        <v>0</v>
      </c>
      <c r="AA29" s="13"/>
      <c r="AB29" s="680">
        <f>ROUND(SUM(AB20:AB28),1)</f>
        <v>0</v>
      </c>
      <c r="AC29" s="13"/>
      <c r="AD29" s="14"/>
      <c r="AE29" s="680">
        <f>ROUND(SUM(AE20:AE28),1)</f>
        <v>1546.8</v>
      </c>
      <c r="AF29" s="13"/>
      <c r="AG29" s="14"/>
      <c r="AH29" s="680">
        <f>ROUND(SUM(AH20:AH28),1)</f>
        <v>1475.8</v>
      </c>
      <c r="AI29" s="78"/>
      <c r="AJ29" s="13"/>
      <c r="AK29" s="680">
        <f>ROUND(SUM(AK20:AK28),1)</f>
        <v>71</v>
      </c>
      <c r="AM29" s="937">
        <f>ROUND(SUM(+AK29/AH29),3)</f>
        <v>4.8000000000000001E-2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f>'Exhibit G State'!L31</f>
        <v>35.399999999999977</v>
      </c>
      <c r="N31" s="269">
        <f>'Exhibit G State'!N31</f>
        <v>199.5</v>
      </c>
      <c r="P31" s="269">
        <f>'Exhibit G State'!P31</f>
        <v>46.200000000000045</v>
      </c>
      <c r="R31" s="269">
        <f>'Exhibit G State'!R31</f>
        <v>32.5</v>
      </c>
      <c r="S31" s="269"/>
      <c r="T31" s="269"/>
      <c r="U31" s="269"/>
      <c r="V31" s="269"/>
      <c r="W31" s="269"/>
      <c r="X31" s="269"/>
      <c r="Y31" s="269"/>
      <c r="Z31" s="269"/>
      <c r="AA31" s="269"/>
      <c r="AB31" s="269">
        <v>0</v>
      </c>
      <c r="AC31" s="269"/>
      <c r="AD31" s="529"/>
      <c r="AE31" s="269">
        <f>ROUND(SUM(D31:Z31),1)</f>
        <v>964.5</v>
      </c>
      <c r="AF31" s="269"/>
      <c r="AG31" s="529"/>
      <c r="AH31" s="269">
        <f>'Exhibit G State'!AF31</f>
        <v>1111.4000000000001</v>
      </c>
      <c r="AI31" s="525"/>
      <c r="AJ31" s="269"/>
      <c r="AK31" s="269">
        <f>ROUND(SUM(+AE31-AH31),1)</f>
        <v>-146.9</v>
      </c>
      <c r="AL31" s="11"/>
      <c r="AM31" s="271">
        <f>ROUND(IF(AH31=0,0,AK31/ABS(AH31)),3)</f>
        <v>-0.13200000000000001</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f>'Exhibit G State'!L32</f>
        <v>-6.7000000000000028</v>
      </c>
      <c r="N32" s="269">
        <f>'Exhibit G State'!N32</f>
        <v>19.200000000000003</v>
      </c>
      <c r="P32" s="269">
        <f>'Exhibit G State'!P32</f>
        <v>0.10000000000000142</v>
      </c>
      <c r="R32" s="269">
        <f>'Exhibit G State'!R32</f>
        <v>6.6999999999999957</v>
      </c>
      <c r="S32" s="269"/>
      <c r="T32" s="269"/>
      <c r="U32" s="269"/>
      <c r="V32" s="269"/>
      <c r="W32" s="269"/>
      <c r="X32" s="269"/>
      <c r="Y32" s="269"/>
      <c r="Z32" s="269"/>
      <c r="AA32" s="269"/>
      <c r="AB32" s="269">
        <v>0</v>
      </c>
      <c r="AC32" s="269"/>
      <c r="AD32" s="529"/>
      <c r="AE32" s="269">
        <f>ROUND(SUM(D32:Z32),1)</f>
        <v>61.4</v>
      </c>
      <c r="AF32" s="269"/>
      <c r="AG32" s="529"/>
      <c r="AH32" s="269">
        <f>'Exhibit G State'!AF32</f>
        <v>54</v>
      </c>
      <c r="AI32" s="525"/>
      <c r="AJ32" s="269"/>
      <c r="AK32" s="269">
        <f>ROUND(SUM(+AE32-AH32),1)</f>
        <v>7.4</v>
      </c>
      <c r="AL32" s="11"/>
      <c r="AM32" s="271">
        <f>ROUND(IF(AH32=0,0,AK32/ABS(AH32)),3)</f>
        <v>0.13700000000000001</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f>'Exhibit G State'!L33</f>
        <v>0.6000000000000032</v>
      </c>
      <c r="N33" s="269">
        <f>'Exhibit G State'!N33</f>
        <v>59.8</v>
      </c>
      <c r="P33" s="269">
        <f>'Exhibit G State'!P33</f>
        <v>-20.999999999999996</v>
      </c>
      <c r="R33" s="269">
        <f>'Exhibit G State'!R33</f>
        <v>0.40000000000000302</v>
      </c>
      <c r="S33" s="269"/>
      <c r="T33" s="269"/>
      <c r="U33" s="269"/>
      <c r="V33" s="269"/>
      <c r="W33" s="269"/>
      <c r="X33" s="269"/>
      <c r="Y33" s="269"/>
      <c r="Z33" s="269"/>
      <c r="AA33" s="269"/>
      <c r="AB33" s="269">
        <v>0</v>
      </c>
      <c r="AC33" s="269"/>
      <c r="AD33" s="529"/>
      <c r="AE33" s="269">
        <f>ROUND(SUM(D33:Z33),1)</f>
        <v>96.8</v>
      </c>
      <c r="AF33" s="269"/>
      <c r="AG33" s="529"/>
      <c r="AH33" s="269">
        <f>'Exhibit G State'!AF33</f>
        <v>143</v>
      </c>
      <c r="AI33" s="525"/>
      <c r="AJ33" s="269"/>
      <c r="AK33" s="269">
        <f>ROUND(SUM(+AE33-AH33),1)</f>
        <v>-46.2</v>
      </c>
      <c r="AL33" s="11"/>
      <c r="AM33" s="548">
        <f>ROUND(IF(AH33=0,0,AK33/ABS(AH33)),3)</f>
        <v>-0.32300000000000001</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f>'Exhibit G State'!L34</f>
        <v>0</v>
      </c>
      <c r="N34" s="269">
        <f>'Exhibit G State'!N34</f>
        <v>0</v>
      </c>
      <c r="P34" s="269">
        <f>'Exhibit G State'!P34</f>
        <v>-0.1000000000000002</v>
      </c>
      <c r="R34" s="269">
        <f>'Exhibit G State'!R34</f>
        <v>-1.3</v>
      </c>
      <c r="S34" s="269"/>
      <c r="T34" s="269"/>
      <c r="U34" s="269"/>
      <c r="V34" s="269"/>
      <c r="W34" s="269"/>
      <c r="X34" s="269"/>
      <c r="Y34" s="269"/>
      <c r="Z34" s="269"/>
      <c r="AA34" s="269"/>
      <c r="AB34" s="269">
        <v>0</v>
      </c>
      <c r="AC34" s="269"/>
      <c r="AD34" s="529"/>
      <c r="AE34" s="269">
        <f>ROUND(SUM(D34:Z34),1)</f>
        <v>-3.8</v>
      </c>
      <c r="AF34" s="269"/>
      <c r="AG34" s="529"/>
      <c r="AH34" s="269">
        <f>'Exhibit G State'!AF34</f>
        <v>-0.4</v>
      </c>
      <c r="AI34" s="525"/>
      <c r="AJ34" s="269"/>
      <c r="AK34" s="269">
        <f>ROUND(SUM(+AE34-AH34),1)</f>
        <v>-3.4</v>
      </c>
      <c r="AL34" s="11"/>
      <c r="AM34" s="548">
        <f>ROUND(IF(AH34=0,1,AK34/ABS(AH34)),3)</f>
        <v>-8.5</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f>'Exhibit G State'!L35</f>
        <v>41.200000000000024</v>
      </c>
      <c r="N35" s="269">
        <f>'Exhibit G State'!N35</f>
        <v>38.900000000000013</v>
      </c>
      <c r="P35" s="269">
        <f>'Exhibit G State'!P35</f>
        <v>39.599999999999973</v>
      </c>
      <c r="R35" s="269">
        <f>'Exhibit G State'!R35</f>
        <v>34.200000000000024</v>
      </c>
      <c r="S35" s="269"/>
      <c r="T35" s="269"/>
      <c r="U35" s="269"/>
      <c r="V35" s="269"/>
      <c r="W35" s="269"/>
      <c r="X35" s="269"/>
      <c r="Y35" s="269"/>
      <c r="Z35" s="269"/>
      <c r="AA35" s="269"/>
      <c r="AB35" s="269">
        <v>0</v>
      </c>
      <c r="AC35" s="269"/>
      <c r="AD35" s="529"/>
      <c r="AE35" s="269">
        <f>ROUND(SUM(D35:Z35),1)</f>
        <v>303.60000000000002</v>
      </c>
      <c r="AF35" s="269"/>
      <c r="AG35" s="529"/>
      <c r="AH35" s="269">
        <f>'Exhibit G State'!AF35</f>
        <v>323.60000000000002</v>
      </c>
      <c r="AI35" s="525"/>
      <c r="AJ35" s="269"/>
      <c r="AK35" s="269">
        <f>ROUND(SUM(+AE35-AH35),1)</f>
        <v>-20</v>
      </c>
      <c r="AL35" s="11"/>
      <c r="AM35" s="271">
        <f>ROUND(IF(AH35=0,0,AK35/ABS(AH35)),3)</f>
        <v>-6.2E-2</v>
      </c>
      <c r="AN35" s="411"/>
      <c r="AO35" s="411"/>
      <c r="AP35" s="411"/>
      <c r="AQ35" s="411"/>
      <c r="AR35" s="411"/>
      <c r="AS35" s="411"/>
      <c r="AT35" s="411"/>
    </row>
    <row r="36" spans="1:46" s="60" customFormat="1" ht="15" customHeight="1">
      <c r="A36" s="3"/>
      <c r="B36" s="3" t="s">
        <v>484</v>
      </c>
      <c r="C36" s="3"/>
      <c r="D36" s="680">
        <f t="shared" ref="D36:F36" si="6">ROUND(SUM(D31:D35),1)</f>
        <v>285.89999999999998</v>
      </c>
      <c r="E36"/>
      <c r="F36" s="680">
        <f t="shared" si="6"/>
        <v>62.2</v>
      </c>
      <c r="G36"/>
      <c r="H36" s="680">
        <f>ROUND(SUM(H31:H35),1)</f>
        <v>450.5</v>
      </c>
      <c r="I36"/>
      <c r="J36" s="680">
        <f>ROUND(SUM(J31:J35),1)</f>
        <v>98.7</v>
      </c>
      <c r="K36"/>
      <c r="L36" s="680">
        <f>ROUND(SUM(L31:L35),1)</f>
        <v>70.5</v>
      </c>
      <c r="M36"/>
      <c r="N36" s="680">
        <f>ROUND(SUM(N31:N35),1)</f>
        <v>317.39999999999998</v>
      </c>
      <c r="O36"/>
      <c r="P36" s="680">
        <f>ROUND(SUM(P31:P35),1)</f>
        <v>64.8</v>
      </c>
      <c r="Q36"/>
      <c r="R36" s="680">
        <f>ROUND(SUM(R31:R35),1)</f>
        <v>72.5</v>
      </c>
      <c r="S36"/>
      <c r="T36" s="680">
        <f>ROUND(SUM(T31:T35),1)</f>
        <v>0</v>
      </c>
      <c r="U36"/>
      <c r="V36" s="680">
        <f>ROUND(SUM(V31:V35),1)</f>
        <v>0</v>
      </c>
      <c r="W36"/>
      <c r="X36" s="680">
        <f>ROUND(SUM(X31:X35),1)</f>
        <v>0</v>
      </c>
      <c r="Y36"/>
      <c r="Z36" s="680">
        <f>ROUND(SUM(Z31:Z35),1)</f>
        <v>0</v>
      </c>
      <c r="AA36" s="13"/>
      <c r="AB36" s="680">
        <f>SUM(AB31:AB35)</f>
        <v>0</v>
      </c>
      <c r="AC36" s="13"/>
      <c r="AD36" s="14"/>
      <c r="AE36" s="680">
        <f>ROUND(SUM(AE31:AE35),1)</f>
        <v>1422.5</v>
      </c>
      <c r="AF36" s="13"/>
      <c r="AG36" s="14"/>
      <c r="AH36" s="680">
        <f>ROUND(SUM(AH31:AH35),1)</f>
        <v>1631.6</v>
      </c>
      <c r="AI36" s="78"/>
      <c r="AJ36" s="13"/>
      <c r="AK36" s="680">
        <f>ROUND(SUM(AK31:AK35),1)</f>
        <v>-209.1</v>
      </c>
      <c r="AM36" s="937">
        <f>ROUND(SUM(+AK36/AH36),3)</f>
        <v>-0.128</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241.2</v>
      </c>
      <c r="N38" s="362">
        <f>ROUND(SUM(N17+N29+N36),1)</f>
        <v>575</v>
      </c>
      <c r="P38" s="362">
        <f>ROUND(SUM(P17+P29+P36),1)</f>
        <v>238.5</v>
      </c>
      <c r="R38" s="362">
        <f>ROUND(SUM(R17+R29+R36),1)</f>
        <v>240.8</v>
      </c>
      <c r="T38" s="362">
        <f>ROUND(SUM(T17+T29+T36),1)</f>
        <v>0</v>
      </c>
      <c r="V38" s="362">
        <f>ROUND(SUM(V17+V29+V36),1)</f>
        <v>0</v>
      </c>
      <c r="X38" s="362">
        <f>ROUND(SUM(X17+X29+X36),1)</f>
        <v>0</v>
      </c>
      <c r="Z38" s="362">
        <f>ROUND(SUM(Z17+Z29+Z36),1)</f>
        <v>0</v>
      </c>
      <c r="AA38" s="13"/>
      <c r="AB38" s="362">
        <f>ROUND(SUM(AB17+AB29+AB36),1)</f>
        <v>0</v>
      </c>
      <c r="AC38" s="13"/>
      <c r="AD38" s="529"/>
      <c r="AE38" s="362">
        <f>ROUND(SUM(AE17+AE29+AE36),1)</f>
        <v>2969.3</v>
      </c>
      <c r="AF38" s="269"/>
      <c r="AG38" s="529"/>
      <c r="AH38" s="362">
        <f>ROUND(SUM(AH17+AH29+AH36),1)</f>
        <v>3107.4</v>
      </c>
      <c r="AI38" s="525"/>
      <c r="AJ38" s="269"/>
      <c r="AK38" s="362">
        <f>ROUND(SUM(AK17+AK29+AK36),1)</f>
        <v>-138.1</v>
      </c>
      <c r="AL38" s="369"/>
      <c r="AM38" s="373">
        <f>ROUND(SUM(+AK38/AH38),3)</f>
        <v>-4.3999999999999997E-2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50"/>
      <c r="AJ39" s="269"/>
      <c r="AK39" s="269"/>
      <c r="AL39" s="11"/>
      <c r="AM39" s="288"/>
      <c r="AN39" s="411"/>
      <c r="AO39" s="411"/>
      <c r="AP39" s="411"/>
      <c r="AQ39" s="411"/>
      <c r="AR39" s="411"/>
      <c r="AS39" s="411"/>
      <c r="AT39" s="411"/>
    </row>
    <row r="40" spans="1:46" ht="15" customHeight="1">
      <c r="A40" s="296"/>
      <c r="B40" s="1235"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50"/>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50"/>
      <c r="AJ41" s="269"/>
      <c r="AK41" s="269"/>
      <c r="AL41" s="11"/>
      <c r="AM41" s="288"/>
      <c r="AN41" s="411"/>
      <c r="AO41" s="411"/>
      <c r="AP41" s="411"/>
      <c r="AQ41" s="411"/>
      <c r="AR41" s="411"/>
      <c r="AS41" s="411"/>
      <c r="AT41" s="411"/>
    </row>
    <row r="42" spans="1:46" ht="15" customHeight="1">
      <c r="A42" s="296"/>
      <c r="B42" s="355" t="s">
        <v>1415</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f>'Exhibit G State'!L42+'Exhibit G Federal'!L19</f>
        <v>1.3</v>
      </c>
      <c r="N42" s="292">
        <f>'Exhibit G State'!N42+'Exhibit G Federal'!N19</f>
        <v>1.8</v>
      </c>
      <c r="P42" s="292">
        <f>'Exhibit G State'!P42+'Exhibit G Federal'!P19</f>
        <v>1.3999999999999997</v>
      </c>
      <c r="R42" s="292">
        <f>'Exhibit G State'!R42+'Exhibit G Federal'!R19</f>
        <v>1.3999999999999997</v>
      </c>
      <c r="S42" s="292"/>
      <c r="T42" s="292"/>
      <c r="U42" s="292"/>
      <c r="V42" s="292"/>
      <c r="W42" s="292"/>
      <c r="X42" s="292"/>
      <c r="Y42" s="292"/>
      <c r="Z42" s="292"/>
      <c r="AA42" s="292"/>
      <c r="AB42" s="269">
        <v>0</v>
      </c>
      <c r="AC42" s="269"/>
      <c r="AD42" s="529"/>
      <c r="AE42" s="269">
        <f t="shared" ref="AE42:AE83" si="7">ROUND(SUM(D42:Z42),1)</f>
        <v>11.8</v>
      </c>
      <c r="AF42" s="269"/>
      <c r="AG42" s="529"/>
      <c r="AH42" s="292">
        <f>'Exhibit G State'!AF42+'Exhibit G Federal'!AF19</f>
        <v>8.6999999999999993</v>
      </c>
      <c r="AI42" s="1050"/>
      <c r="AJ42" s="269"/>
      <c r="AK42" s="269">
        <f>ROUND(SUM(+AE42-AH42),1)</f>
        <v>3.1</v>
      </c>
      <c r="AL42" s="11"/>
      <c r="AM42" s="271">
        <f>ROUND(IF(AH42=0,0,AK42/ABS(AH42)),3)</f>
        <v>0.35599999999999998</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50"/>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f>'Exhibit G State'!L44+'Exhibit G Federal'!L21</f>
        <v>93.499999999999943</v>
      </c>
      <c r="N44" s="292">
        <f>'Exhibit G State'!N44+'Exhibit G Federal'!N21</f>
        <v>22.500000000000071</v>
      </c>
      <c r="P44" s="292">
        <f>'Exhibit G State'!P44+'Exhibit G Federal'!P21</f>
        <v>82.20000000000006</v>
      </c>
      <c r="R44" s="292">
        <f>'Exhibit G State'!R44+'Exhibit G Federal'!R21</f>
        <v>55.699999999999918</v>
      </c>
      <c r="S44" s="292"/>
      <c r="T44" s="292"/>
      <c r="U44" s="292"/>
      <c r="V44" s="292"/>
      <c r="W44" s="292"/>
      <c r="X44" s="292"/>
      <c r="Y44" s="292"/>
      <c r="Z44" s="292"/>
      <c r="AA44" s="292"/>
      <c r="AB44" s="269">
        <v>0</v>
      </c>
      <c r="AC44" s="269"/>
      <c r="AD44" s="529"/>
      <c r="AE44" s="269">
        <f>ROUND(SUM(D44:Z44),1)</f>
        <v>560</v>
      </c>
      <c r="AF44" s="269"/>
      <c r="AG44" s="529"/>
      <c r="AH44" s="292">
        <f>'Exhibit G State'!AF44+'Exhibit G Federal'!AF21</f>
        <v>584</v>
      </c>
      <c r="AI44" s="1050"/>
      <c r="AJ44" s="269"/>
      <c r="AK44" s="269">
        <f>ROUND(SUM(+AE44-AH44),1)</f>
        <v>-24</v>
      </c>
      <c r="AL44" s="11"/>
      <c r="AM44" s="271">
        <f>ROUND(IF(AH44=0,0,AK44/ABS(AH44)),3)</f>
        <v>-4.1000000000000002E-2</v>
      </c>
      <c r="AN44" s="411"/>
      <c r="AO44" s="411"/>
      <c r="AP44" s="411"/>
      <c r="AQ44" s="411"/>
      <c r="AR44" s="411"/>
      <c r="AS44" s="411"/>
      <c r="AT44" s="411"/>
    </row>
    <row r="45" spans="1:46" ht="15" customHeight="1">
      <c r="A45" s="296"/>
      <c r="B45" s="355" t="s">
        <v>1417</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f>'Exhibit G State'!L45+'Exhibit G Federal'!L22</f>
        <v>691.80000000000018</v>
      </c>
      <c r="N45" s="292">
        <f>'Exhibit G State'!N45+'Exhibit G Federal'!N22</f>
        <v>687.09999999999968</v>
      </c>
      <c r="P45" s="292">
        <f>'Exhibit G State'!P45+'Exhibit G Federal'!P22</f>
        <v>692.40000000000077</v>
      </c>
      <c r="R45" s="292">
        <f>'Exhibit G State'!R45+'Exhibit G Federal'!R22</f>
        <v>664.09999999999968</v>
      </c>
      <c r="S45" s="292"/>
      <c r="T45" s="292"/>
      <c r="U45" s="292"/>
      <c r="V45" s="292"/>
      <c r="W45" s="292"/>
      <c r="X45" s="292"/>
      <c r="Y45" s="292"/>
      <c r="Z45" s="292"/>
      <c r="AA45" s="292"/>
      <c r="AB45" s="269">
        <v>0</v>
      </c>
      <c r="AC45" s="269"/>
      <c r="AD45" s="529"/>
      <c r="AE45" s="269">
        <f t="shared" si="7"/>
        <v>5463.2</v>
      </c>
      <c r="AF45" s="269"/>
      <c r="AG45" s="529"/>
      <c r="AH45" s="292">
        <f>'Exhibit G State'!AF45+'Exhibit G Federal'!AF22</f>
        <v>5320</v>
      </c>
      <c r="AI45" s="1050"/>
      <c r="AJ45" s="269"/>
      <c r="AK45" s="269">
        <f>ROUND(SUM(+AE45-AH45),1)</f>
        <v>143.19999999999999</v>
      </c>
      <c r="AL45" s="11"/>
      <c r="AM45" s="271">
        <f>ROUND(IF(AH45=0,0,AK45/ABS(AH45)),3)</f>
        <v>2.7E-2</v>
      </c>
      <c r="AN45" s="411"/>
      <c r="AO45" s="411"/>
      <c r="AP45" s="411"/>
      <c r="AQ45" s="411"/>
      <c r="AR45" s="411"/>
      <c r="AS45" s="411"/>
      <c r="AT45" s="411"/>
    </row>
    <row r="46" spans="1:46" ht="15" customHeight="1">
      <c r="A46" s="296"/>
      <c r="B46" s="355" t="s">
        <v>1418</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f>'Exhibit G State'!L46+'Exhibit G Federal'!L23</f>
        <v>0.79999999999999993</v>
      </c>
      <c r="N46" s="292">
        <f>'Exhibit G State'!N46+'Exhibit G Federal'!N23</f>
        <v>65.800000000000011</v>
      </c>
      <c r="P46" s="292">
        <f>'Exhibit G State'!P46+'Exhibit G Federal'!P23</f>
        <v>0</v>
      </c>
      <c r="R46" s="292">
        <f>'Exhibit G State'!R46+'Exhibit G Federal'!R23</f>
        <v>-22.000000000000011</v>
      </c>
      <c r="S46" s="292"/>
      <c r="T46" s="292"/>
      <c r="U46" s="292"/>
      <c r="V46" s="292"/>
      <c r="W46" s="292"/>
      <c r="X46" s="292"/>
      <c r="Y46" s="292"/>
      <c r="Z46" s="292"/>
      <c r="AA46" s="292"/>
      <c r="AB46" s="269">
        <v>0</v>
      </c>
      <c r="AC46" s="269"/>
      <c r="AD46" s="529"/>
      <c r="AE46" s="269">
        <f t="shared" si="7"/>
        <v>46.7</v>
      </c>
      <c r="AF46" s="269"/>
      <c r="AG46" s="529"/>
      <c r="AH46" s="292">
        <f>'Exhibit G State'!AF46+'Exhibit G Federal'!AF23</f>
        <v>47.3</v>
      </c>
      <c r="AI46" s="1050"/>
      <c r="AJ46" s="269"/>
      <c r="AK46" s="269">
        <f>ROUND(SUM(+AE46-AH46),1)</f>
        <v>-0.6</v>
      </c>
      <c r="AL46" s="11"/>
      <c r="AM46" s="548">
        <f>ROUND(IF(AH46=0,0,AK46/ABS(AH46)),3)</f>
        <v>-1.2999999999999999E-2</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f>'Exhibit G State'!L47+'Exhibit G Federal'!L24</f>
        <v>631.19999999999993</v>
      </c>
      <c r="N47" s="292">
        <f>'Exhibit G State'!N47+'Exhibit G Federal'!N24</f>
        <v>0</v>
      </c>
      <c r="P47" s="292">
        <f>'Exhibit G State'!P47+'Exhibit G Federal'!P24</f>
        <v>591</v>
      </c>
      <c r="R47" s="292">
        <f>'Exhibit G State'!R47+'Exhibit G Federal'!R24</f>
        <v>1014.8</v>
      </c>
      <c r="S47" s="292"/>
      <c r="T47" s="292"/>
      <c r="U47" s="292"/>
      <c r="V47" s="292"/>
      <c r="W47" s="292"/>
      <c r="X47" s="292"/>
      <c r="Y47" s="292"/>
      <c r="Z47" s="292"/>
      <c r="AA47" s="292"/>
      <c r="AB47" s="269">
        <v>0</v>
      </c>
      <c r="AC47" s="269"/>
      <c r="AD47" s="529"/>
      <c r="AE47" s="269">
        <f t="shared" si="7"/>
        <v>2237.1</v>
      </c>
      <c r="AF47" s="269"/>
      <c r="AG47" s="529"/>
      <c r="AH47" s="292">
        <f>'Exhibit G State'!AF47+'Exhibit G Federal'!AF24</f>
        <v>0.2</v>
      </c>
      <c r="AI47" s="1050"/>
      <c r="AJ47" s="269"/>
      <c r="AK47" s="269">
        <f>ROUND(SUM(+AE47-AH47),1)</f>
        <v>2236.9</v>
      </c>
      <c r="AL47" s="11"/>
      <c r="AM47" s="548">
        <f>ROUND(IF(AH47=0,1,AK47/ABS(AH47)),3)</f>
        <v>11184.5</v>
      </c>
      <c r="AN47" s="411"/>
      <c r="AO47" s="411"/>
      <c r="AP47" s="411"/>
      <c r="AQ47" s="411"/>
      <c r="AR47" s="411"/>
      <c r="AS47" s="411"/>
      <c r="AT47" s="411"/>
    </row>
    <row r="48" spans="1:46" ht="15" customHeight="1">
      <c r="A48" s="296"/>
      <c r="B48" s="355" t="s">
        <v>395</v>
      </c>
      <c r="C48" s="296"/>
      <c r="D48" s="292"/>
      <c r="E48" s="292"/>
      <c r="F48" s="292"/>
      <c r="G48" s="292"/>
      <c r="H48" s="292"/>
      <c r="J48" s="292" t="s">
        <v>103</v>
      </c>
      <c r="L48" s="292" t="s">
        <v>103</v>
      </c>
      <c r="N48" s="292" t="s">
        <v>103</v>
      </c>
      <c r="P48" s="292" t="s">
        <v>103</v>
      </c>
      <c r="R48" s="292" t="s">
        <v>103</v>
      </c>
      <c r="S48" s="269"/>
      <c r="T48" s="292"/>
      <c r="U48" s="269"/>
      <c r="V48" s="292"/>
      <c r="W48" s="269"/>
      <c r="X48" s="292"/>
      <c r="Y48" s="269"/>
      <c r="Z48" s="292"/>
      <c r="AA48" s="292"/>
      <c r="AB48" s="269"/>
      <c r="AC48" s="269"/>
      <c r="AD48" s="529"/>
      <c r="AE48" s="269"/>
      <c r="AF48" s="269"/>
      <c r="AG48" s="529"/>
      <c r="AH48" s="292"/>
      <c r="AI48" s="1050"/>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f>'Exhibit G State'!L49</f>
        <v>0.10000000000000017</v>
      </c>
      <c r="N49" s="292">
        <f>'Exhibit G State'!N49</f>
        <v>0.10000000000000017</v>
      </c>
      <c r="P49" s="292">
        <f>'Exhibit G State'!P49</f>
        <v>0</v>
      </c>
      <c r="R49" s="292">
        <f>'Exhibit G State'!R49</f>
        <v>0</v>
      </c>
      <c r="S49" s="292"/>
      <c r="T49" s="292"/>
      <c r="U49" s="292"/>
      <c r="V49" s="292"/>
      <c r="W49" s="292"/>
      <c r="X49" s="292"/>
      <c r="Y49" s="292"/>
      <c r="Z49" s="292"/>
      <c r="AA49" s="292"/>
      <c r="AB49" s="269">
        <v>0</v>
      </c>
      <c r="AC49" s="269"/>
      <c r="AD49" s="529"/>
      <c r="AE49" s="269">
        <f>ROUND(SUM(D49:Z49),1)</f>
        <v>2.6</v>
      </c>
      <c r="AF49" s="269"/>
      <c r="AG49" s="529"/>
      <c r="AH49" s="292">
        <f>'Exhibit G State'!AF49</f>
        <v>2.5</v>
      </c>
      <c r="AI49" s="1050"/>
      <c r="AJ49" s="269"/>
      <c r="AK49" s="269">
        <f>ROUND(SUM(+AE49-AH49),1)</f>
        <v>0.1</v>
      </c>
      <c r="AL49" s="11"/>
      <c r="AM49" s="271">
        <f>ROUND(IF(AH49=0,0,AK49/ABS(AH49)),3)</f>
        <v>0.04</v>
      </c>
      <c r="AN49" s="411"/>
      <c r="AO49" s="411"/>
      <c r="AP49" s="411"/>
      <c r="AQ49" s="411"/>
      <c r="AR49" s="411"/>
      <c r="AS49" s="411"/>
      <c r="AT49" s="411"/>
    </row>
    <row r="50" spans="1:46" ht="15" customHeight="1">
      <c r="A50" s="296"/>
      <c r="B50" s="355" t="s">
        <v>1420</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f>'Exhibit G State'!L50+'Exhibit G Federal'!L26</f>
        <v>26.600000000000023</v>
      </c>
      <c r="N50" s="292">
        <f>'Exhibit G State'!N50+'Exhibit G Federal'!N26</f>
        <v>104.69999999999999</v>
      </c>
      <c r="P50" s="292">
        <f>'Exhibit G State'!P50+'Exhibit G Federal'!P26</f>
        <v>61.600000000000037</v>
      </c>
      <c r="R50" s="292">
        <f>'Exhibit G State'!R50+'Exhibit G Federal'!R26</f>
        <v>54.799999999999969</v>
      </c>
      <c r="S50" s="292"/>
      <c r="T50" s="292"/>
      <c r="U50" s="292"/>
      <c r="V50" s="292"/>
      <c r="W50" s="292"/>
      <c r="X50" s="292"/>
      <c r="Y50" s="292"/>
      <c r="Z50" s="292"/>
      <c r="AA50" s="292"/>
      <c r="AB50" s="269">
        <v>0</v>
      </c>
      <c r="AC50" s="269"/>
      <c r="AD50" s="529"/>
      <c r="AE50" s="269">
        <f t="shared" si="7"/>
        <v>472.4</v>
      </c>
      <c r="AF50" s="269"/>
      <c r="AG50" s="529"/>
      <c r="AH50" s="292">
        <f>'Exhibit G State'!AF50+'Exhibit G Federal'!AF26</f>
        <v>455.9</v>
      </c>
      <c r="AI50" s="1050"/>
      <c r="AJ50" s="269"/>
      <c r="AK50" s="269">
        <f t="shared" ref="AK50:AK55" si="8">ROUND(SUM(+AE50-AH50),1)</f>
        <v>16.5</v>
      </c>
      <c r="AL50" s="11"/>
      <c r="AM50" s="271">
        <f t="shared" ref="AM50:AM55" si="9">ROUND(IF(AH50=0,0,AK50/ABS(AH50)),3)</f>
        <v>3.5999999999999997E-2</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f>'Exhibit G State'!L51+'Exhibit G Federal'!L27</f>
        <v>4.8999999999999968</v>
      </c>
      <c r="N51" s="292">
        <f>'Exhibit G State'!N51+'Exhibit G Federal'!N27</f>
        <v>4.2000000000000011</v>
      </c>
      <c r="P51" s="292">
        <f>'Exhibit G State'!P51+'Exhibit G Federal'!P27</f>
        <v>5.8999999999999968</v>
      </c>
      <c r="R51" s="292">
        <f>'Exhibit G State'!R51+'Exhibit G Federal'!R27</f>
        <v>4.9999999999999982</v>
      </c>
      <c r="S51" s="292"/>
      <c r="T51" s="292"/>
      <c r="U51" s="292"/>
      <c r="V51" s="292"/>
      <c r="W51" s="292"/>
      <c r="X51" s="292"/>
      <c r="Y51" s="292"/>
      <c r="Z51" s="292"/>
      <c r="AA51" s="292"/>
      <c r="AB51" s="269">
        <v>0</v>
      </c>
      <c r="AC51" s="269"/>
      <c r="AD51" s="529"/>
      <c r="AE51" s="269">
        <f t="shared" si="7"/>
        <v>37.799999999999997</v>
      </c>
      <c r="AF51" s="269"/>
      <c r="AG51" s="529"/>
      <c r="AH51" s="292">
        <f>'Exhibit G State'!AF51+'Exhibit G Federal'!AF27</f>
        <v>35.4</v>
      </c>
      <c r="AI51" s="1050"/>
      <c r="AJ51" s="269"/>
      <c r="AK51" s="269">
        <f t="shared" si="8"/>
        <v>2.4</v>
      </c>
      <c r="AL51" s="11"/>
      <c r="AM51" s="271">
        <f t="shared" si="9"/>
        <v>6.8000000000000005E-2</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f>'Exhibit G State'!L52+'Exhibit G Federal'!L28</f>
        <v>0.90000000000000013</v>
      </c>
      <c r="N52" s="292">
        <f>'Exhibit G State'!N52+'Exhibit G Federal'!N28</f>
        <v>0</v>
      </c>
      <c r="P52" s="292">
        <f>'Exhibit G State'!P52+'Exhibit G Federal'!P28</f>
        <v>0.29999999999999982</v>
      </c>
      <c r="R52" s="292">
        <f>'Exhibit G State'!R52+'Exhibit G Federal'!R28</f>
        <v>0.70000000000000018</v>
      </c>
      <c r="S52" s="292"/>
      <c r="T52" s="292"/>
      <c r="U52" s="292"/>
      <c r="V52" s="292"/>
      <c r="W52" s="292"/>
      <c r="X52" s="292"/>
      <c r="Y52" s="292"/>
      <c r="Z52" s="292"/>
      <c r="AA52" s="292"/>
      <c r="AB52" s="269">
        <v>0</v>
      </c>
      <c r="AC52" s="269"/>
      <c r="AD52" s="529"/>
      <c r="AE52" s="269">
        <f>ROUND(SUM(D52:Z52),1)</f>
        <v>3.1</v>
      </c>
      <c r="AF52" s="269"/>
      <c r="AG52" s="529"/>
      <c r="AH52" s="292">
        <f>'Exhibit G State'!AF52+'Exhibit G Federal'!AF28</f>
        <v>3.4</v>
      </c>
      <c r="AI52" s="1050"/>
      <c r="AJ52" s="269"/>
      <c r="AK52" s="269">
        <f t="shared" si="8"/>
        <v>-0.3</v>
      </c>
      <c r="AL52" s="11"/>
      <c r="AM52" s="271">
        <f>ROUND(IF(AH52=0,1,AK52/ABS(AH52)),3)</f>
        <v>-8.7999999999999995E-2</v>
      </c>
      <c r="AN52" s="411"/>
      <c r="AO52" s="411"/>
      <c r="AP52" s="411"/>
      <c r="AQ52" s="411"/>
      <c r="AR52" s="411"/>
      <c r="AS52" s="411"/>
      <c r="AT52" s="411"/>
    </row>
    <row r="53" spans="1:46" ht="15" customHeight="1">
      <c r="A53" s="296"/>
      <c r="B53" s="355" t="s">
        <v>1421</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f>'Exhibit G State'!L53+'Exhibit G Federal'!L29</f>
        <v>14.799999999999997</v>
      </c>
      <c r="N53" s="292">
        <f>'Exhibit G State'!N53+'Exhibit G Federal'!N29</f>
        <v>55.4</v>
      </c>
      <c r="P53" s="292">
        <f>'Exhibit G State'!P53+'Exhibit G Federal'!P29</f>
        <v>14.600000000000023</v>
      </c>
      <c r="R53" s="292">
        <f>'Exhibit G State'!R53+'Exhibit G Federal'!R29</f>
        <v>23.299999999999976</v>
      </c>
      <c r="S53" s="292"/>
      <c r="T53" s="292"/>
      <c r="U53" s="292"/>
      <c r="V53" s="292"/>
      <c r="W53" s="292"/>
      <c r="X53" s="292"/>
      <c r="Y53" s="292"/>
      <c r="Z53" s="292"/>
      <c r="AA53" s="292"/>
      <c r="AB53" s="269">
        <v>0</v>
      </c>
      <c r="AC53" s="269"/>
      <c r="AD53" s="529"/>
      <c r="AE53" s="269">
        <f t="shared" si="7"/>
        <v>215.4</v>
      </c>
      <c r="AF53" s="269"/>
      <c r="AG53" s="529"/>
      <c r="AH53" s="292">
        <f>'Exhibit G State'!AF53+'Exhibit G Federal'!AF29</f>
        <v>181.1</v>
      </c>
      <c r="AI53" s="1050"/>
      <c r="AJ53" s="269"/>
      <c r="AK53" s="269">
        <f t="shared" si="8"/>
        <v>34.299999999999997</v>
      </c>
      <c r="AL53" s="11"/>
      <c r="AM53" s="271">
        <f t="shared" si="9"/>
        <v>0.189</v>
      </c>
      <c r="AN53" s="411"/>
      <c r="AO53" s="411"/>
      <c r="AP53" s="411"/>
      <c r="AQ53" s="411"/>
      <c r="AR53" s="411"/>
      <c r="AS53" s="411"/>
      <c r="AT53" s="411"/>
    </row>
    <row r="54" spans="1:46" ht="15" customHeight="1">
      <c r="A54" s="296"/>
      <c r="B54" s="355" t="s">
        <v>1422</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f>'Exhibit G State'!L54+'Exhibit G Federal'!L30</f>
        <v>78.400000000000034</v>
      </c>
      <c r="N54" s="292">
        <f>'Exhibit G State'!N54+'Exhibit G Federal'!N30</f>
        <v>168.1</v>
      </c>
      <c r="P54" s="292">
        <f>'Exhibit G State'!P54+'Exhibit G Federal'!P30</f>
        <v>90.099999999999937</v>
      </c>
      <c r="R54" s="292">
        <f>'Exhibit G State'!R54+'Exhibit G Federal'!R30</f>
        <v>90.000000000000028</v>
      </c>
      <c r="S54" s="292"/>
      <c r="T54" s="292"/>
      <c r="U54" s="292"/>
      <c r="V54" s="292"/>
      <c r="W54" s="292"/>
      <c r="X54" s="292"/>
      <c r="Y54" s="292"/>
      <c r="Z54" s="292"/>
      <c r="AA54" s="292"/>
      <c r="AB54" s="269">
        <v>0</v>
      </c>
      <c r="AC54" s="269"/>
      <c r="AD54" s="529"/>
      <c r="AE54" s="269">
        <f t="shared" si="7"/>
        <v>699</v>
      </c>
      <c r="AF54" s="269"/>
      <c r="AG54" s="529"/>
      <c r="AH54" s="292">
        <f>'Exhibit G State'!AF54+'Exhibit G Federal'!AF30</f>
        <v>645.1</v>
      </c>
      <c r="AI54" s="1050"/>
      <c r="AJ54" s="269"/>
      <c r="AK54" s="269">
        <f t="shared" si="8"/>
        <v>53.9</v>
      </c>
      <c r="AL54" s="11"/>
      <c r="AM54" s="271">
        <f t="shared" si="9"/>
        <v>8.4000000000000005E-2</v>
      </c>
      <c r="AN54" s="411"/>
      <c r="AO54" s="411"/>
      <c r="AP54" s="411"/>
      <c r="AQ54" s="411"/>
      <c r="AR54" s="411"/>
      <c r="AS54" s="411"/>
      <c r="AT54" s="411"/>
    </row>
    <row r="55" spans="1:46" ht="15" customHeight="1">
      <c r="A55" s="296"/>
      <c r="B55" s="355" t="s">
        <v>1423</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f>'Exhibit G State'!L55+'Exhibit G Federal'!L31</f>
        <v>20.300000000000008</v>
      </c>
      <c r="N55" s="292">
        <f>'Exhibit G State'!N55+'Exhibit G Federal'!N31</f>
        <v>6.7</v>
      </c>
      <c r="P55" s="292">
        <f>'Exhibit G State'!P55+'Exhibit G Federal'!P31</f>
        <v>9.699999999999978</v>
      </c>
      <c r="R55" s="292">
        <f>'Exhibit G State'!R55+'Exhibit G Federal'!R31</f>
        <v>23.600000000000023</v>
      </c>
      <c r="S55" s="292"/>
      <c r="T55" s="292"/>
      <c r="U55" s="292"/>
      <c r="V55" s="292"/>
      <c r="W55" s="292"/>
      <c r="X55" s="292"/>
      <c r="Y55" s="292"/>
      <c r="Z55" s="292"/>
      <c r="AA55" s="292"/>
      <c r="AB55" s="269">
        <v>0</v>
      </c>
      <c r="AC55" s="269"/>
      <c r="AD55" s="529"/>
      <c r="AE55" s="269">
        <f>ROUND(SUM(D55:Z55),1)</f>
        <v>142.4</v>
      </c>
      <c r="AF55" s="269"/>
      <c r="AG55" s="529"/>
      <c r="AH55" s="292">
        <f>'Exhibit G State'!AF55+'Exhibit G Federal'!AF31</f>
        <v>95</v>
      </c>
      <c r="AI55" s="1050"/>
      <c r="AJ55" s="269"/>
      <c r="AK55" s="269">
        <f t="shared" si="8"/>
        <v>47.4</v>
      </c>
      <c r="AL55" s="11"/>
      <c r="AM55" s="548">
        <f t="shared" si="9"/>
        <v>0.499</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50"/>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f>'Exhibit G State'!L57</f>
        <v>13.999999999999986</v>
      </c>
      <c r="N57" s="292">
        <f>'Exhibit G State'!N57</f>
        <v>15.300000000000011</v>
      </c>
      <c r="P57" s="292">
        <f>'Exhibit G State'!P57</f>
        <v>41.999999999999986</v>
      </c>
      <c r="R57" s="292">
        <f>'Exhibit G State'!R57</f>
        <v>13.199999999999974</v>
      </c>
      <c r="S57" s="292"/>
      <c r="T57" s="292"/>
      <c r="U57" s="292"/>
      <c r="V57" s="292"/>
      <c r="W57" s="292"/>
      <c r="X57" s="292"/>
      <c r="Y57" s="292"/>
      <c r="Z57" s="292"/>
      <c r="AA57" s="292"/>
      <c r="AB57" s="269">
        <v>0</v>
      </c>
      <c r="AC57" s="269"/>
      <c r="AD57" s="529"/>
      <c r="AE57" s="269">
        <f t="shared" si="7"/>
        <v>203.7</v>
      </c>
      <c r="AF57" s="269"/>
      <c r="AG57" s="529"/>
      <c r="AH57" s="292">
        <f>'Exhibit G State'!AF57</f>
        <v>193.5</v>
      </c>
      <c r="AI57" s="1050"/>
      <c r="AJ57" s="269"/>
      <c r="AK57" s="269">
        <f t="shared" ref="AK57:AK62" si="10">ROUND(SUM(+AE57-AH57),1)</f>
        <v>10.199999999999999</v>
      </c>
      <c r="AL57" s="11"/>
      <c r="AM57" s="548">
        <f>ROUND(IF(AH57=0,1,AK57/ABS(AH57)),3)</f>
        <v>5.2999999999999999E-2</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f>'Exhibit G State'!L58</f>
        <v>177.30000000000007</v>
      </c>
      <c r="N58" s="292">
        <f>'Exhibit G State'!N58</f>
        <v>217.80000000000007</v>
      </c>
      <c r="P58" s="292">
        <f>'Exhibit G State'!P58</f>
        <v>223.30000000000007</v>
      </c>
      <c r="R58" s="292">
        <f>'Exhibit G State'!R58</f>
        <v>182.99999999999989</v>
      </c>
      <c r="S58" s="292"/>
      <c r="T58" s="292"/>
      <c r="U58" s="292"/>
      <c r="V58" s="292"/>
      <c r="W58" s="292"/>
      <c r="X58" s="292"/>
      <c r="Y58" s="292"/>
      <c r="Z58" s="292"/>
      <c r="AA58" s="292"/>
      <c r="AB58" s="269">
        <v>0</v>
      </c>
      <c r="AC58" s="269"/>
      <c r="AD58" s="529"/>
      <c r="AE58" s="269">
        <f t="shared" si="7"/>
        <v>1588.7</v>
      </c>
      <c r="AF58" s="269"/>
      <c r="AG58" s="529"/>
      <c r="AH58" s="292">
        <f>'Exhibit G State'!AF58</f>
        <v>1584.5</v>
      </c>
      <c r="AI58" s="1050"/>
      <c r="AJ58" s="269"/>
      <c r="AK58" s="269">
        <f t="shared" si="10"/>
        <v>4.2</v>
      </c>
      <c r="AL58" s="11"/>
      <c r="AM58" s="271">
        <f>ROUND(IF(AH58=0,0,AK58/ABS(AH58)),3)</f>
        <v>3.0000000000000001E-3</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f>'Exhibit G State'!L59</f>
        <v>70.8</v>
      </c>
      <c r="N59" s="292">
        <f>'Exhibit G State'!N59</f>
        <v>113.20000000000003</v>
      </c>
      <c r="P59" s="292">
        <f>'Exhibit G State'!P59</f>
        <v>112.19999999999997</v>
      </c>
      <c r="R59" s="292">
        <f>'Exhibit G State'!R59</f>
        <v>135.2000000000001</v>
      </c>
      <c r="S59" s="292"/>
      <c r="T59" s="292"/>
      <c r="U59" s="292"/>
      <c r="V59" s="292"/>
      <c r="W59" s="292"/>
      <c r="X59" s="292"/>
      <c r="Y59" s="292"/>
      <c r="Z59" s="292"/>
      <c r="AA59" s="292"/>
      <c r="AB59" s="269">
        <v>0</v>
      </c>
      <c r="AC59" s="269"/>
      <c r="AD59" s="529"/>
      <c r="AE59" s="269">
        <f t="shared" si="7"/>
        <v>824.6</v>
      </c>
      <c r="AF59" s="269"/>
      <c r="AG59" s="529"/>
      <c r="AH59" s="292">
        <f>'Exhibit G State'!AF59</f>
        <v>695.4</v>
      </c>
      <c r="AI59" s="1050"/>
      <c r="AJ59" s="269"/>
      <c r="AK59" s="269">
        <f t="shared" si="10"/>
        <v>129.19999999999999</v>
      </c>
      <c r="AL59" s="11"/>
      <c r="AM59" s="271">
        <f>ROUND(IF(AH59=0,1,AK59/ABS(AH59)),3)</f>
        <v>0.186</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f>'Exhibit G State'!L60</f>
        <v>88.300000000000068</v>
      </c>
      <c r="N60" s="292">
        <f>'Exhibit G State'!N60</f>
        <v>88.199999999999932</v>
      </c>
      <c r="P60" s="292">
        <f>'Exhibit G State'!P60</f>
        <v>109.20000000000005</v>
      </c>
      <c r="R60" s="292">
        <f>'Exhibit G State'!R60</f>
        <v>83.699999999999932</v>
      </c>
      <c r="S60" s="292"/>
      <c r="T60" s="292"/>
      <c r="U60" s="292"/>
      <c r="V60" s="292"/>
      <c r="W60" s="292"/>
      <c r="X60" s="292"/>
      <c r="Y60" s="292"/>
      <c r="Z60" s="292"/>
      <c r="AA60" s="292"/>
      <c r="AB60" s="269">
        <v>0</v>
      </c>
      <c r="AC60" s="269"/>
      <c r="AD60" s="529"/>
      <c r="AE60" s="269">
        <f t="shared" si="7"/>
        <v>736.9</v>
      </c>
      <c r="AF60" s="269"/>
      <c r="AG60" s="529"/>
      <c r="AH60" s="292">
        <f>'Exhibit G State'!AF60</f>
        <v>722.3</v>
      </c>
      <c r="AI60" s="1050"/>
      <c r="AJ60" s="269"/>
      <c r="AK60" s="269">
        <f t="shared" si="10"/>
        <v>14.6</v>
      </c>
      <c r="AL60" s="11"/>
      <c r="AM60" s="548">
        <f>ROUND(IF(AH60=0,1,AK60/ABS(AH60)),3)</f>
        <v>0.02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f>'Exhibit G State'!L61+'Exhibit G Federal'!L32</f>
        <v>99.600000000000023</v>
      </c>
      <c r="N61" s="292">
        <f>'Exhibit G State'!N61+'Exhibit G Federal'!N32</f>
        <v>99</v>
      </c>
      <c r="P61" s="292">
        <f>'Exhibit G State'!P61+'Exhibit G Federal'!P32</f>
        <v>101.39999999999998</v>
      </c>
      <c r="R61" s="292">
        <f>'Exhibit G State'!R61+'Exhibit G Federal'!R32</f>
        <v>97.6</v>
      </c>
      <c r="S61" s="292"/>
      <c r="T61" s="292"/>
      <c r="U61" s="292"/>
      <c r="V61" s="292"/>
      <c r="W61" s="292"/>
      <c r="X61" s="292"/>
      <c r="Y61" s="292"/>
      <c r="Z61" s="292"/>
      <c r="AA61" s="292"/>
      <c r="AB61" s="269">
        <v>0</v>
      </c>
      <c r="AC61" s="269"/>
      <c r="AD61" s="529"/>
      <c r="AE61" s="269">
        <f>ROUND(SUM(D61:Z61),1)</f>
        <v>785.4</v>
      </c>
      <c r="AF61" s="269"/>
      <c r="AG61" s="529"/>
      <c r="AH61" s="292">
        <f>'Exhibit G State'!AF61+'Exhibit G Federal'!AF32</f>
        <v>1057.3</v>
      </c>
      <c r="AI61" s="1050"/>
      <c r="AJ61" s="269"/>
      <c r="AK61" s="269">
        <f t="shared" si="10"/>
        <v>-271.89999999999998</v>
      </c>
      <c r="AL61" s="11"/>
      <c r="AM61" s="548">
        <f>ROUND(IF(AH61=0,0,AK61/ABS(AH61)),3)</f>
        <v>-0.25700000000000001</v>
      </c>
      <c r="AN61" s="411"/>
      <c r="AO61" s="411"/>
      <c r="AP61" s="411"/>
      <c r="AQ61" s="411"/>
      <c r="AR61" s="411"/>
      <c r="AS61" s="411"/>
      <c r="AT61" s="411"/>
    </row>
    <row r="62" spans="1:46" ht="15" customHeight="1">
      <c r="A62" s="296"/>
      <c r="B62" s="355" t="s">
        <v>1424</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f>'Exhibit G State'!L62+'Exhibit G Federal'!L33</f>
        <v>0.59999999999999698</v>
      </c>
      <c r="N62" s="292">
        <f>'Exhibit G State'!N62+'Exhibit G Federal'!N33</f>
        <v>4.4999999999999991</v>
      </c>
      <c r="P62" s="292">
        <f>'Exhibit G State'!P62+'Exhibit G Federal'!P33</f>
        <v>3.4000000000000012</v>
      </c>
      <c r="R62" s="292">
        <f>'Exhibit G State'!R62+'Exhibit G Federal'!R33</f>
        <v>0.59999999999999698</v>
      </c>
      <c r="S62" s="292"/>
      <c r="T62" s="292"/>
      <c r="U62" s="292"/>
      <c r="V62" s="292"/>
      <c r="W62" s="292"/>
      <c r="X62" s="292"/>
      <c r="Y62" s="292"/>
      <c r="Z62" s="292"/>
      <c r="AA62" s="292"/>
      <c r="AB62" s="269">
        <v>0</v>
      </c>
      <c r="AC62" s="269"/>
      <c r="AD62" s="529"/>
      <c r="AE62" s="269">
        <f>ROUND(SUM(D62:Z62),1)</f>
        <v>25.4</v>
      </c>
      <c r="AF62" s="269"/>
      <c r="AG62" s="529"/>
      <c r="AH62" s="292">
        <f>'Exhibit G State'!AF62+'Exhibit G Federal'!AF33</f>
        <v>25.4</v>
      </c>
      <c r="AI62" s="1050"/>
      <c r="AJ62" s="269"/>
      <c r="AK62" s="269">
        <f t="shared" si="10"/>
        <v>0</v>
      </c>
      <c r="AL62" s="11"/>
      <c r="AM62" s="271">
        <f>ROUND(IF(AH62=0,0,AK62/ABS(AH62)),3)</f>
        <v>0</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50"/>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f>'Exhibit G State'!L64+'Exhibit G Federal'!L35</f>
        <v>0</v>
      </c>
      <c r="N64" s="292">
        <f>'Exhibit G State'!N64+'Exhibit G Federal'!N35</f>
        <v>0</v>
      </c>
      <c r="P64" s="292">
        <f>'Exhibit G State'!P64+'Exhibit G Federal'!P35</f>
        <v>0</v>
      </c>
      <c r="R64" s="292">
        <f>'Exhibit G State'!R64+'Exhibit G Federal'!R35</f>
        <v>0</v>
      </c>
      <c r="S64" s="292"/>
      <c r="T64" s="292"/>
      <c r="U64" s="292"/>
      <c r="V64" s="292"/>
      <c r="W64" s="292"/>
      <c r="X64" s="292"/>
      <c r="Y64" s="292"/>
      <c r="Z64" s="292"/>
      <c r="AA64" s="292"/>
      <c r="AB64" s="269">
        <v>0</v>
      </c>
      <c r="AC64" s="269"/>
      <c r="AD64" s="529"/>
      <c r="AE64" s="269">
        <f t="shared" si="7"/>
        <v>0</v>
      </c>
      <c r="AF64" s="269"/>
      <c r="AG64" s="529"/>
      <c r="AH64" s="292">
        <f>'Exhibit G State'!AF64+'Exhibit G Federal'!AF35</f>
        <v>0</v>
      </c>
      <c r="AI64" s="1050"/>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f>'Exhibit G State'!L65+'Exhibit G Federal'!L36</f>
        <v>0</v>
      </c>
      <c r="N65" s="292">
        <f>'Exhibit G State'!N65+'Exhibit G Federal'!N36</f>
        <v>7.2999999999999989</v>
      </c>
      <c r="P65" s="292">
        <f>'Exhibit G State'!P65+'Exhibit G Federal'!P36</f>
        <v>0</v>
      </c>
      <c r="R65" s="292">
        <f>'Exhibit G State'!R65+'Exhibit G Federal'!R36</f>
        <v>0</v>
      </c>
      <c r="S65" s="292"/>
      <c r="T65" s="292"/>
      <c r="U65" s="292"/>
      <c r="V65" s="292"/>
      <c r="W65" s="292"/>
      <c r="X65" s="292"/>
      <c r="Y65" s="292"/>
      <c r="Z65" s="292"/>
      <c r="AA65" s="292"/>
      <c r="AB65" s="269">
        <v>0</v>
      </c>
      <c r="AC65" s="269"/>
      <c r="AD65" s="529"/>
      <c r="AE65" s="269">
        <f t="shared" si="7"/>
        <v>20.399999999999999</v>
      </c>
      <c r="AF65" s="269"/>
      <c r="AG65" s="529"/>
      <c r="AH65" s="292">
        <f>'Exhibit G State'!AF65+'Exhibit G Federal'!AF36</f>
        <v>17.100000000000001</v>
      </c>
      <c r="AI65" s="1050"/>
      <c r="AJ65" s="269"/>
      <c r="AK65" s="269">
        <f t="shared" si="11"/>
        <v>3.3</v>
      </c>
      <c r="AL65" s="11"/>
      <c r="AM65" s="548">
        <f>ROUND(IF(AH65=0,1,AK65/ABS(AH65)),3)</f>
        <v>0.193</v>
      </c>
      <c r="AN65" s="411"/>
      <c r="AO65" s="411"/>
      <c r="AP65" s="411"/>
      <c r="AQ65" s="411"/>
      <c r="AR65" s="411"/>
      <c r="AS65" s="411"/>
      <c r="AT65" s="411"/>
    </row>
    <row r="66" spans="1:46" ht="15" customHeight="1">
      <c r="A66" s="296"/>
      <c r="B66" s="355" t="s">
        <v>1425</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f>'Exhibit G State'!L66+'Exhibit G Federal'!L37</f>
        <v>0</v>
      </c>
      <c r="N66" s="292">
        <f>'Exhibit G State'!N66+'Exhibit G Federal'!N37</f>
        <v>0</v>
      </c>
      <c r="P66" s="292">
        <f>'Exhibit G State'!P66+'Exhibit G Federal'!P37</f>
        <v>0</v>
      </c>
      <c r="R66" s="292">
        <f>'Exhibit G State'!R66+'Exhibit G Federal'!R37</f>
        <v>0</v>
      </c>
      <c r="S66" s="292"/>
      <c r="T66" s="292"/>
      <c r="U66" s="292"/>
      <c r="V66" s="292"/>
      <c r="W66" s="292"/>
      <c r="X66" s="292"/>
      <c r="Y66" s="292"/>
      <c r="Z66" s="292"/>
      <c r="AA66" s="292"/>
      <c r="AB66" s="269">
        <v>0</v>
      </c>
      <c r="AC66" s="269"/>
      <c r="AD66" s="529"/>
      <c r="AE66" s="269">
        <f t="shared" si="7"/>
        <v>7.2</v>
      </c>
      <c r="AF66" s="269"/>
      <c r="AG66" s="529"/>
      <c r="AH66" s="292">
        <f>'Exhibit G State'!AF66+'Exhibit G Federal'!AF37</f>
        <v>7.2</v>
      </c>
      <c r="AI66" s="1050"/>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f>'Exhibit G State'!L67+'Exhibit G Federal'!L38</f>
        <v>0.19999999999999751</v>
      </c>
      <c r="N67" s="292">
        <f>'Exhibit G State'!N67+'Exhibit G Federal'!N38</f>
        <v>13.500000000000004</v>
      </c>
      <c r="P67" s="292">
        <f>'Exhibit G State'!P67+'Exhibit G Federal'!P38</f>
        <v>9.1999999999999993</v>
      </c>
      <c r="R67" s="292">
        <f>'Exhibit G State'!R67+'Exhibit G Federal'!R38</f>
        <v>4.5000000000000009</v>
      </c>
      <c r="S67" s="292"/>
      <c r="T67" s="292"/>
      <c r="U67" s="292"/>
      <c r="V67" s="292"/>
      <c r="W67" s="292"/>
      <c r="X67" s="292"/>
      <c r="Y67" s="292"/>
      <c r="Z67" s="292"/>
      <c r="AA67" s="292"/>
      <c r="AB67" s="269">
        <v>0</v>
      </c>
      <c r="AC67" s="269"/>
      <c r="AD67" s="529"/>
      <c r="AE67" s="269">
        <f t="shared" si="7"/>
        <v>43.6</v>
      </c>
      <c r="AF67" s="269"/>
      <c r="AG67" s="529"/>
      <c r="AH67" s="292">
        <f>'Exhibit G State'!AF67+'Exhibit G Federal'!AF38</f>
        <v>37.699999999999996</v>
      </c>
      <c r="AI67" s="1050"/>
      <c r="AJ67" s="269"/>
      <c r="AK67" s="269">
        <f t="shared" si="11"/>
        <v>5.9</v>
      </c>
      <c r="AL67" s="11"/>
      <c r="AM67" s="548">
        <f t="shared" si="12"/>
        <v>0.156</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f>'Exhibit G State'!L68+'Exhibit G Federal'!L39</f>
        <v>0.90000000000000568</v>
      </c>
      <c r="N68" s="292">
        <f>'Exhibit G State'!N68+'Exhibit G Federal'!N39</f>
        <v>9.9000000000000057</v>
      </c>
      <c r="P68" s="292">
        <f>'Exhibit G State'!P68+'Exhibit G Federal'!P39</f>
        <v>1.0999999999999943</v>
      </c>
      <c r="R68" s="292">
        <f>'Exhibit G State'!R68+'Exhibit G Federal'!R39</f>
        <v>104.99999999999999</v>
      </c>
      <c r="S68" s="292"/>
      <c r="T68" s="292"/>
      <c r="U68" s="292"/>
      <c r="V68" s="292"/>
      <c r="W68" s="292"/>
      <c r="X68" s="292"/>
      <c r="Y68" s="292"/>
      <c r="Z68" s="292"/>
      <c r="AA68" s="292"/>
      <c r="AB68" s="269">
        <v>0</v>
      </c>
      <c r="AC68" s="269"/>
      <c r="AD68" s="529"/>
      <c r="AE68" s="269">
        <f t="shared" si="7"/>
        <v>206.5</v>
      </c>
      <c r="AF68" s="269"/>
      <c r="AG68" s="529"/>
      <c r="AH68" s="292">
        <f>'Exhibit G State'!AF68+'Exhibit G Federal'!AF39</f>
        <v>190.4</v>
      </c>
      <c r="AI68" s="1050"/>
      <c r="AJ68" s="269"/>
      <c r="AK68" s="269">
        <f t="shared" si="11"/>
        <v>16.100000000000001</v>
      </c>
      <c r="AL68" s="11"/>
      <c r="AM68" s="548">
        <f t="shared" si="12"/>
        <v>8.5000000000000006E-2</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50"/>
      <c r="AJ69" s="269"/>
      <c r="AK69" s="269"/>
      <c r="AL69" s="11"/>
      <c r="AM69" s="288"/>
      <c r="AN69" s="411"/>
      <c r="AO69" s="411"/>
      <c r="AP69" s="411"/>
      <c r="AQ69" s="411"/>
      <c r="AR69" s="411"/>
      <c r="AS69" s="411"/>
      <c r="AT69" s="411"/>
    </row>
    <row r="70" spans="1:46" ht="15" customHeight="1">
      <c r="A70" s="296"/>
      <c r="B70" s="355" t="s">
        <v>1426</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f>'Exhibit G State'!L70+'Exhibit G Federal'!L41</f>
        <v>27.099999999999991</v>
      </c>
      <c r="N70" s="292">
        <f>'Exhibit G State'!N70+'Exhibit G Federal'!N41</f>
        <v>9.100000000000005</v>
      </c>
      <c r="P70" s="292">
        <f>'Exhibit G State'!P70+'Exhibit G Federal'!P41</f>
        <v>9.2999999999999936</v>
      </c>
      <c r="R70" s="292">
        <f>'Exhibit G State'!R70+'Exhibit G Federal'!R41</f>
        <v>27.099999999999991</v>
      </c>
      <c r="S70" s="292"/>
      <c r="T70" s="292"/>
      <c r="U70" s="292"/>
      <c r="V70" s="292"/>
      <c r="W70" s="292"/>
      <c r="X70" s="292"/>
      <c r="Y70" s="292"/>
      <c r="Z70" s="292"/>
      <c r="AA70" s="292"/>
      <c r="AB70" s="269">
        <v>0</v>
      </c>
      <c r="AC70" s="269"/>
      <c r="AD70" s="529"/>
      <c r="AE70" s="269">
        <f t="shared" si="7"/>
        <v>125.6</v>
      </c>
      <c r="AF70" s="269"/>
      <c r="AG70" s="529"/>
      <c r="AH70" s="292">
        <f>'Exhibit G State'!AF70+'Exhibit G Federal'!AF41</f>
        <v>123.3</v>
      </c>
      <c r="AI70" s="1050"/>
      <c r="AJ70" s="269"/>
      <c r="AK70" s="269">
        <f t="shared" ref="AK70:AK80" si="13">ROUND(SUM(+AE70-AH70),1)</f>
        <v>2.2999999999999998</v>
      </c>
      <c r="AL70" s="11"/>
      <c r="AM70" s="548">
        <f>ROUND(IF(AH70=0,0,AK70/ABS(AH70)),3)</f>
        <v>1.9E-2</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f>'Exhibit G State'!L71+'Exhibit G Federal'!L42</f>
        <v>2.1999999999999993</v>
      </c>
      <c r="N71" s="292">
        <f>'Exhibit G State'!N71+'Exhibit G Federal'!N42</f>
        <v>7.5</v>
      </c>
      <c r="P71" s="292">
        <f>'Exhibit G State'!P71+'Exhibit G Federal'!P42</f>
        <v>0.10000000000000009</v>
      </c>
      <c r="R71" s="292">
        <f>'Exhibit G State'!R71+'Exhibit G Federal'!R42</f>
        <v>1.3000000000000014</v>
      </c>
      <c r="S71" s="292"/>
      <c r="T71" s="292"/>
      <c r="U71" s="292"/>
      <c r="V71" s="292"/>
      <c r="W71" s="292"/>
      <c r="X71" s="292"/>
      <c r="Y71" s="292"/>
      <c r="Z71" s="292"/>
      <c r="AA71" s="292"/>
      <c r="AB71" s="269">
        <v>0</v>
      </c>
      <c r="AC71" s="269"/>
      <c r="AD71" s="529"/>
      <c r="AE71" s="269">
        <f t="shared" si="7"/>
        <v>12.9</v>
      </c>
      <c r="AF71" s="269"/>
      <c r="AG71" s="529"/>
      <c r="AH71" s="292">
        <f>'Exhibit G State'!AF71+'Exhibit G Federal'!AF42</f>
        <v>1.6</v>
      </c>
      <c r="AI71" s="1050"/>
      <c r="AJ71" s="269"/>
      <c r="AK71" s="269">
        <f t="shared" si="13"/>
        <v>11.3</v>
      </c>
      <c r="AL71" s="11"/>
      <c r="AM71" s="548">
        <f>ROUND(IF(AH71=0,1,AK71/ABS(AH71)),3)</f>
        <v>7.0629999999999997</v>
      </c>
      <c r="AN71" s="411"/>
      <c r="AO71" s="411"/>
      <c r="AP71" s="411"/>
      <c r="AQ71" s="411"/>
      <c r="AR71" s="411"/>
      <c r="AS71" s="411"/>
      <c r="AT71" s="411"/>
    </row>
    <row r="72" spans="1:46" ht="15" customHeight="1">
      <c r="A72" s="296"/>
      <c r="B72" s="355" t="s">
        <v>1427</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f>'Exhibit G State'!L72+'Exhibit G Federal'!L43</f>
        <v>0.10000000000000142</v>
      </c>
      <c r="N72" s="292">
        <f>'Exhibit G State'!N72+'Exhibit G Federal'!N43</f>
        <v>0.39999999999999858</v>
      </c>
      <c r="P72" s="292">
        <f>'Exhibit G State'!P72+'Exhibit G Federal'!P43</f>
        <v>0.60000000000000142</v>
      </c>
      <c r="R72" s="292">
        <f>'Exhibit G State'!R72+'Exhibit G Federal'!R43</f>
        <v>0.19999999999999929</v>
      </c>
      <c r="S72" s="292"/>
      <c r="T72" s="292"/>
      <c r="U72" s="292"/>
      <c r="V72" s="292"/>
      <c r="W72" s="292"/>
      <c r="X72" s="292"/>
      <c r="Y72" s="292"/>
      <c r="Z72" s="292"/>
      <c r="AA72" s="292"/>
      <c r="AB72" s="269">
        <v>0</v>
      </c>
      <c r="AC72" s="269"/>
      <c r="AD72" s="529"/>
      <c r="AE72" s="269">
        <f t="shared" si="7"/>
        <v>9.8000000000000007</v>
      </c>
      <c r="AF72" s="269"/>
      <c r="AG72" s="529"/>
      <c r="AH72" s="292">
        <f>'Exhibit G State'!AF72+'Exhibit G Federal'!AF43</f>
        <v>14.3</v>
      </c>
      <c r="AI72" s="1050"/>
      <c r="AJ72" s="269"/>
      <c r="AK72" s="269">
        <f t="shared" si="13"/>
        <v>-4.5</v>
      </c>
      <c r="AL72" s="11"/>
      <c r="AM72" s="548">
        <f t="shared" ref="AM72:AM75" si="14">ROUND(IF(AH72=0,0,AK72/ABS(AH72)),3)</f>
        <v>-0.315</v>
      </c>
      <c r="AN72" s="411"/>
      <c r="AO72" s="411"/>
      <c r="AP72" s="411"/>
      <c r="AQ72" s="411"/>
      <c r="AR72" s="411"/>
      <c r="AS72" s="411"/>
      <c r="AT72" s="411"/>
    </row>
    <row r="73" spans="1:46" ht="15" customHeight="1">
      <c r="A73" s="296"/>
      <c r="B73" s="355" t="s">
        <v>1428</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f>'Exhibit G State'!L73+'Exhibit G Federal'!L44</f>
        <v>0.9</v>
      </c>
      <c r="N73" s="292">
        <f>'Exhibit G State'!N73+'Exhibit G Federal'!N44</f>
        <v>0.79999999999999971</v>
      </c>
      <c r="P73" s="292">
        <f>'Exhibit G State'!P73+'Exhibit G Federal'!P44</f>
        <v>0.70000000000000029</v>
      </c>
      <c r="R73" s="292">
        <f>'Exhibit G State'!R73+'Exhibit G Federal'!R44</f>
        <v>3.6999999999999997</v>
      </c>
      <c r="S73" s="292"/>
      <c r="T73" s="292"/>
      <c r="U73" s="292"/>
      <c r="V73" s="292"/>
      <c r="W73" s="292"/>
      <c r="X73" s="292"/>
      <c r="Y73" s="292"/>
      <c r="Z73" s="292"/>
      <c r="AA73" s="292"/>
      <c r="AB73" s="269">
        <v>0</v>
      </c>
      <c r="AC73" s="269"/>
      <c r="AD73" s="529"/>
      <c r="AE73" s="269">
        <f t="shared" si="7"/>
        <v>6.7</v>
      </c>
      <c r="AF73" s="269"/>
      <c r="AG73" s="529"/>
      <c r="AH73" s="292">
        <f>'Exhibit G State'!AF73+'Exhibit G Federal'!AF44</f>
        <v>0.1</v>
      </c>
      <c r="AI73" s="1050"/>
      <c r="AJ73" s="269"/>
      <c r="AK73" s="269">
        <f t="shared" si="13"/>
        <v>6.6</v>
      </c>
      <c r="AL73" s="11"/>
      <c r="AM73" s="548">
        <f>ROUND(IF(AH73=0,1,AK73/ABS(AH73)),3)</f>
        <v>66</v>
      </c>
      <c r="AN73" s="411"/>
      <c r="AO73" s="411"/>
      <c r="AP73" s="411"/>
      <c r="AQ73" s="411"/>
      <c r="AR73" s="411"/>
      <c r="AS73" s="411"/>
      <c r="AT73" s="411"/>
    </row>
    <row r="74" spans="1:46" ht="15" customHeight="1">
      <c r="A74" s="296"/>
      <c r="B74" s="355" t="s">
        <v>1429</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f>'Exhibit G State'!L74+'Exhibit G Federal'!L45</f>
        <v>260.80000000000007</v>
      </c>
      <c r="N74" s="292">
        <f>'Exhibit G State'!N74+'Exhibit G Federal'!N45</f>
        <v>293.5999999999998</v>
      </c>
      <c r="P74" s="292">
        <f>'Exhibit G State'!P74+'Exhibit G Federal'!P45</f>
        <v>284.30000000000007</v>
      </c>
      <c r="R74" s="292">
        <f>'Exhibit G State'!R74+'Exhibit G Federal'!R45</f>
        <v>270.89999999999952</v>
      </c>
      <c r="S74" s="292"/>
      <c r="T74" s="292"/>
      <c r="U74" s="292"/>
      <c r="V74" s="292"/>
      <c r="W74" s="292"/>
      <c r="X74" s="292"/>
      <c r="Y74" s="292"/>
      <c r="Z74" s="292"/>
      <c r="AA74" s="292"/>
      <c r="AB74" s="269">
        <v>0</v>
      </c>
      <c r="AC74" s="269"/>
      <c r="AD74" s="529"/>
      <c r="AE74" s="269">
        <f t="shared" si="7"/>
        <v>2309.1999999999998</v>
      </c>
      <c r="AF74" s="269"/>
      <c r="AG74" s="529"/>
      <c r="AH74" s="292">
        <f>'Exhibit G State'!AF74+'Exhibit G Federal'!AF45</f>
        <v>2127.6</v>
      </c>
      <c r="AI74" s="1050"/>
      <c r="AJ74" s="269"/>
      <c r="AK74" s="269">
        <f t="shared" si="13"/>
        <v>181.6</v>
      </c>
      <c r="AL74" s="11"/>
      <c r="AM74" s="548">
        <f>ROUND(IF(AH74=0,0,AK74/ABS(AH74)),3)</f>
        <v>8.5000000000000006E-2</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f>'Exhibit G State'!L75+'Exhibit G Federal'!L46</f>
        <v>9.4999999999999964</v>
      </c>
      <c r="N75" s="292">
        <f>'Exhibit G State'!N75+'Exhibit G Federal'!N46</f>
        <v>12.199999999999994</v>
      </c>
      <c r="P75" s="292">
        <f>'Exhibit G State'!P75+'Exhibit G Federal'!P46</f>
        <v>6.4000000000000092</v>
      </c>
      <c r="R75" s="292">
        <f>'Exhibit G State'!R75+'Exhibit G Federal'!R46</f>
        <v>19.299999999999994</v>
      </c>
      <c r="S75" s="292"/>
      <c r="T75" s="292"/>
      <c r="U75" s="292"/>
      <c r="V75" s="292"/>
      <c r="W75" s="292"/>
      <c r="X75" s="292"/>
      <c r="Y75" s="292"/>
      <c r="Z75" s="292"/>
      <c r="AA75" s="292"/>
      <c r="AB75" s="269">
        <v>0</v>
      </c>
      <c r="AC75" s="269"/>
      <c r="AD75" s="529"/>
      <c r="AE75" s="269">
        <f t="shared" si="7"/>
        <v>97.9</v>
      </c>
      <c r="AF75" s="269"/>
      <c r="AG75" s="529"/>
      <c r="AH75" s="292">
        <f>'Exhibit G State'!AF75+'Exhibit G Federal'!AF46</f>
        <v>97.300000000000011</v>
      </c>
      <c r="AI75" s="1050"/>
      <c r="AJ75" s="269"/>
      <c r="AK75" s="269">
        <f t="shared" si="13"/>
        <v>0.6</v>
      </c>
      <c r="AL75" s="11"/>
      <c r="AM75" s="271">
        <f t="shared" si="14"/>
        <v>6.0000000000000001E-3</v>
      </c>
      <c r="AN75" s="411"/>
      <c r="AO75" s="411"/>
      <c r="AP75" s="411"/>
      <c r="AQ75" s="411"/>
      <c r="AR75" s="411"/>
      <c r="AS75" s="411"/>
      <c r="AT75" s="411"/>
    </row>
    <row r="76" spans="1:46" ht="15" customHeight="1">
      <c r="A76" s="296"/>
      <c r="B76" s="355" t="s">
        <v>1430</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f>'Exhibit G State'!L76+'Exhibit G Federal'!L47</f>
        <v>58.5</v>
      </c>
      <c r="N76" s="292">
        <f>'Exhibit G State'!N76+'Exhibit G Federal'!N47</f>
        <v>0.99999999999999645</v>
      </c>
      <c r="P76" s="292">
        <f>'Exhibit G State'!P76+'Exhibit G Federal'!P47</f>
        <v>3.2999999999999972</v>
      </c>
      <c r="R76" s="292">
        <f>'Exhibit G State'!R76+'Exhibit G Federal'!R47</f>
        <v>0.99999999999999645</v>
      </c>
      <c r="S76" s="292"/>
      <c r="T76" s="292"/>
      <c r="U76" s="292"/>
      <c r="V76" s="292"/>
      <c r="W76" s="292"/>
      <c r="X76" s="292"/>
      <c r="Y76" s="292"/>
      <c r="Z76" s="292"/>
      <c r="AA76" s="292"/>
      <c r="AB76" s="269">
        <v>0</v>
      </c>
      <c r="AC76" s="269"/>
      <c r="AD76" s="529"/>
      <c r="AE76" s="269">
        <f t="shared" si="7"/>
        <v>84.1</v>
      </c>
      <c r="AF76" s="269"/>
      <c r="AG76" s="529"/>
      <c r="AH76" s="292">
        <f>'Exhibit G State'!AF76+'Exhibit G Federal'!AF47</f>
        <v>81.900000000000006</v>
      </c>
      <c r="AI76" s="1050"/>
      <c r="AJ76" s="269"/>
      <c r="AK76" s="269">
        <f t="shared" si="13"/>
        <v>2.2000000000000002</v>
      </c>
      <c r="AL76" s="11"/>
      <c r="AM76" s="548">
        <f>ROUND(IF(AH76=0,1,AK76/ABS(AH76)),3)</f>
        <v>2.7E-2</v>
      </c>
      <c r="AN76" s="411"/>
      <c r="AO76" s="411"/>
      <c r="AP76" s="411"/>
      <c r="AQ76" s="411"/>
      <c r="AR76" s="411"/>
      <c r="AS76" s="411"/>
      <c r="AT76" s="411"/>
    </row>
    <row r="77" spans="1:46" ht="15" customHeight="1">
      <c r="A77" s="296"/>
      <c r="B77" s="355" t="s">
        <v>1457</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f>'Exhibit G State'!L77+'Exhibit G Federal'!L48</f>
        <v>0.79999999999999982</v>
      </c>
      <c r="N77" s="292">
        <f>'Exhibit G State'!N77+'Exhibit G Federal'!N48</f>
        <v>-4.2</v>
      </c>
      <c r="P77" s="292">
        <f>'Exhibit G State'!P77+'Exhibit G Federal'!P48</f>
        <v>1.0999999999999996</v>
      </c>
      <c r="R77" s="292">
        <f>'Exhibit G State'!R77+'Exhibit G Federal'!R48</f>
        <v>0.29999999999999982</v>
      </c>
      <c r="S77" s="292"/>
      <c r="T77" s="292"/>
      <c r="U77" s="292"/>
      <c r="V77" s="292"/>
      <c r="W77" s="292"/>
      <c r="X77" s="292"/>
      <c r="Y77" s="292"/>
      <c r="Z77" s="292"/>
      <c r="AA77" s="292"/>
      <c r="AB77" s="269">
        <v>0</v>
      </c>
      <c r="AC77" s="269"/>
      <c r="AD77" s="529"/>
      <c r="AE77" s="269">
        <f t="shared" si="7"/>
        <v>2.9</v>
      </c>
      <c r="AF77" s="269"/>
      <c r="AG77" s="529"/>
      <c r="AH77" s="292">
        <f>'Exhibit G State'!AF77+'Exhibit G Federal'!AF48</f>
        <v>9.1</v>
      </c>
      <c r="AI77" s="1050"/>
      <c r="AJ77" s="269"/>
      <c r="AK77" s="269">
        <f t="shared" si="13"/>
        <v>-6.2</v>
      </c>
      <c r="AL77" s="11"/>
      <c r="AM77" s="271">
        <f>ROUND(IF(AH77=0,0,AK77/ABS(AH77)),3)</f>
        <v>-0.68100000000000005</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f>'Exhibit G State'!L78+'Exhibit G Federal'!L49</f>
        <v>48.900000000000006</v>
      </c>
      <c r="N78" s="292">
        <f>'Exhibit G State'!N78+'Exhibit G Federal'!N49</f>
        <v>49.6</v>
      </c>
      <c r="P78" s="292">
        <f>'Exhibit G State'!P78+'Exhibit G Federal'!P49</f>
        <v>33.700000000000038</v>
      </c>
      <c r="R78" s="292">
        <f>'Exhibit G State'!R78+'Exhibit G Federal'!R49</f>
        <v>190.99999999999997</v>
      </c>
      <c r="S78" s="292"/>
      <c r="T78" s="292"/>
      <c r="U78" s="292"/>
      <c r="V78" s="292"/>
      <c r="W78" s="292"/>
      <c r="X78" s="292"/>
      <c r="Y78" s="292"/>
      <c r="Z78" s="292"/>
      <c r="AA78" s="292"/>
      <c r="AB78" s="269">
        <v>0</v>
      </c>
      <c r="AC78" s="269"/>
      <c r="AD78" s="529"/>
      <c r="AE78" s="269">
        <f t="shared" si="7"/>
        <v>559.9</v>
      </c>
      <c r="AF78" s="269"/>
      <c r="AG78" s="529"/>
      <c r="AH78" s="292">
        <f>'Exhibit G State'!AF78+'Exhibit G Federal'!AF49</f>
        <v>359.90000000000003</v>
      </c>
      <c r="AI78" s="1050"/>
      <c r="AJ78" s="269"/>
      <c r="AK78" s="269">
        <f t="shared" si="13"/>
        <v>200</v>
      </c>
      <c r="AL78" s="11"/>
      <c r="AM78" s="548">
        <f>ROUND(IF(AH78=0,0,AK78/ABS(AH78)),3)</f>
        <v>0.55600000000000005</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f>'Exhibit G State'!L79+'Exhibit G Federal'!L50</f>
        <v>3.3</v>
      </c>
      <c r="N79" s="292">
        <f>'Exhibit G State'!N79+'Exhibit G Federal'!N50</f>
        <v>1.0000000000000002</v>
      </c>
      <c r="P79" s="292">
        <f>'Exhibit G State'!P79+'Exhibit G Federal'!P50</f>
        <v>2.1999999999999984</v>
      </c>
      <c r="R79" s="292">
        <f>'Exhibit G State'!R79+'Exhibit G Federal'!R50</f>
        <v>2.1000000000000005</v>
      </c>
      <c r="S79" s="292"/>
      <c r="T79" s="292"/>
      <c r="U79" s="292"/>
      <c r="V79" s="292"/>
      <c r="W79" s="292"/>
      <c r="X79" s="292"/>
      <c r="Y79" s="292"/>
      <c r="Z79" s="292"/>
      <c r="AA79" s="292"/>
      <c r="AB79" s="269">
        <v>0</v>
      </c>
      <c r="AC79" s="269"/>
      <c r="AD79" s="529"/>
      <c r="AE79" s="269">
        <f t="shared" si="7"/>
        <v>14.8</v>
      </c>
      <c r="AF79" s="269"/>
      <c r="AG79" s="529"/>
      <c r="AH79" s="292">
        <f>'Exhibit G State'!AF79+'Exhibit G Federal'!AF50</f>
        <v>10.9</v>
      </c>
      <c r="AI79" s="1050"/>
      <c r="AJ79" s="269"/>
      <c r="AK79" s="269">
        <f t="shared" si="13"/>
        <v>3.9</v>
      </c>
      <c r="AL79" s="11"/>
      <c r="AM79" s="271">
        <f>ROUND(IF(AH79=0,0,AK79/ABS(AH79)),3)</f>
        <v>0.35799999999999998</v>
      </c>
      <c r="AN79" s="411"/>
      <c r="AO79" s="411"/>
      <c r="AP79" s="411"/>
      <c r="AQ79" s="411"/>
      <c r="AR79" s="411"/>
      <c r="AS79" s="411"/>
      <c r="AT79" s="411"/>
    </row>
    <row r="80" spans="1:46" ht="15" customHeight="1">
      <c r="A80" s="296"/>
      <c r="B80" s="355" t="s">
        <v>1431</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f>'Exhibit G State'!L80+'Exhibit G Federal'!L51</f>
        <v>135.70000000000002</v>
      </c>
      <c r="N80" s="292">
        <f>'Exhibit G State'!N80+'Exhibit G Federal'!N51</f>
        <v>323.29999999999995</v>
      </c>
      <c r="P80" s="292">
        <f>'Exhibit G State'!P80+'Exhibit G Federal'!P51</f>
        <v>171.49999999999994</v>
      </c>
      <c r="R80" s="292">
        <f>'Exhibit G State'!R80+'Exhibit G Federal'!R51</f>
        <v>1.1000000000000796</v>
      </c>
      <c r="S80" s="292"/>
      <c r="T80" s="292"/>
      <c r="U80" s="292"/>
      <c r="V80" s="292"/>
      <c r="W80" s="292"/>
      <c r="X80" s="292"/>
      <c r="Y80" s="292"/>
      <c r="Z80" s="292"/>
      <c r="AA80" s="292"/>
      <c r="AB80" s="269">
        <v>0</v>
      </c>
      <c r="AC80" s="269"/>
      <c r="AD80" s="529"/>
      <c r="AE80" s="269">
        <f t="shared" si="7"/>
        <v>787</v>
      </c>
      <c r="AF80" s="269"/>
      <c r="AG80" s="529"/>
      <c r="AH80" s="292">
        <f>'Exhibit G State'!AF80+'Exhibit G Federal'!AF51</f>
        <v>753.6</v>
      </c>
      <c r="AI80" s="1050"/>
      <c r="AJ80" s="269"/>
      <c r="AK80" s="269">
        <f t="shared" si="13"/>
        <v>33.4</v>
      </c>
      <c r="AL80" s="11"/>
      <c r="AM80" s="271">
        <f>ROUND(IF(AH80=0,0,AK80/ABS(AH80)),3)</f>
        <v>4.3999999999999997E-2</v>
      </c>
      <c r="AN80" s="411"/>
      <c r="AO80" s="411"/>
      <c r="AP80" s="411"/>
      <c r="AQ80" s="411"/>
      <c r="AR80" s="411"/>
      <c r="AS80" s="411"/>
      <c r="AT80" s="411"/>
    </row>
    <row r="81" spans="1:46" s="60" customFormat="1" ht="15" customHeight="1">
      <c r="A81" s="3"/>
      <c r="B81" s="87" t="s">
        <v>509</v>
      </c>
      <c r="C81" s="3"/>
      <c r="D81" s="680">
        <f>ROUND(SUM(D42:D80),1)</f>
        <v>2007.8</v>
      </c>
      <c r="E81"/>
      <c r="F81" s="680">
        <f>ROUND(SUM(F42:F80),1)</f>
        <v>1836.3</v>
      </c>
      <c r="G81"/>
      <c r="H81" s="680">
        <f>ROUND(SUM(H42:H80),1)</f>
        <v>1829.2</v>
      </c>
      <c r="I81"/>
      <c r="J81" s="680">
        <f>ROUND(SUM(J42:J80),1)</f>
        <v>2011.5</v>
      </c>
      <c r="K81"/>
      <c r="L81" s="680">
        <f>ROUND(SUM(L42:L80),1)</f>
        <v>2564.1</v>
      </c>
      <c r="M81"/>
      <c r="N81" s="680">
        <f>ROUND(SUM(N42:N80),1)</f>
        <v>2379.4</v>
      </c>
      <c r="O81"/>
      <c r="P81" s="680">
        <f>ROUND(SUM(P42:P80),1)</f>
        <v>2664.2</v>
      </c>
      <c r="Q81"/>
      <c r="R81" s="680">
        <f>ROUND(SUM(R42:R80),1)</f>
        <v>3052.2</v>
      </c>
      <c r="S81"/>
      <c r="T81" s="680">
        <f>ROUND(SUM(T42:T80),1)</f>
        <v>0</v>
      </c>
      <c r="U81"/>
      <c r="V81" s="680">
        <f>ROUND(SUM(V42:V80),1)</f>
        <v>0</v>
      </c>
      <c r="W81"/>
      <c r="X81" s="680">
        <f>ROUND(SUM(X42:X80),1)</f>
        <v>0</v>
      </c>
      <c r="Y81"/>
      <c r="Z81" s="680">
        <f>ROUND(SUM(Z42:Z80),1)</f>
        <v>0</v>
      </c>
      <c r="AA81" s="13"/>
      <c r="AB81" s="680">
        <f>SUM(AB42:AB80)</f>
        <v>0</v>
      </c>
      <c r="AC81" s="13"/>
      <c r="AD81" s="14"/>
      <c r="AE81" s="680">
        <f>ROUND(SUM(AE42:AE80),1)</f>
        <v>18344.7</v>
      </c>
      <c r="AF81" s="13"/>
      <c r="AG81" s="14"/>
      <c r="AH81" s="680">
        <f>ROUND(SUM(AH42:AH80),1)</f>
        <v>15489</v>
      </c>
      <c r="AI81" s="78"/>
      <c r="AJ81" s="13"/>
      <c r="AK81" s="680">
        <f>ROUND(SUM(AK42:AK80),1)</f>
        <v>2855.7</v>
      </c>
      <c r="AL81" s="206"/>
      <c r="AM81" s="937">
        <f>ROUND(SUM(+AK81/AH81),3)</f>
        <v>0.184</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51"/>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1"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f>'Exhibit G State'!L83+'Exhibit G Federal'!L54</f>
        <v>8912.4999999999982</v>
      </c>
      <c r="N83" s="292">
        <f>'Exhibit G State'!N83+'Exhibit G Federal'!N54</f>
        <v>7067.2000000000044</v>
      </c>
      <c r="P83" s="292">
        <f>'Exhibit G State'!P83+'Exhibit G Federal'!P54</f>
        <v>9244.7000000000007</v>
      </c>
      <c r="R83" s="292">
        <f>'Exhibit G State'!R83+'Exhibit G Federal'!R54</f>
        <v>7678.9999999999945</v>
      </c>
      <c r="S83" s="292"/>
      <c r="T83" s="292"/>
      <c r="U83" s="292"/>
      <c r="V83" s="292"/>
      <c r="W83" s="292"/>
      <c r="X83" s="292"/>
      <c r="Z83" s="292"/>
      <c r="AA83" s="292"/>
      <c r="AB83" s="388">
        <v>0</v>
      </c>
      <c r="AC83" s="1251"/>
      <c r="AD83" s="269"/>
      <c r="AE83" s="269">
        <f t="shared" si="7"/>
        <v>66099.899999999994</v>
      </c>
      <c r="AF83" s="269"/>
      <c r="AG83" s="529"/>
      <c r="AH83" s="292">
        <f>'Exhibit G State'!AF83+'Exhibit G Federal'!AF54</f>
        <v>62939.199999999997</v>
      </c>
      <c r="AI83" s="525"/>
      <c r="AJ83" s="269"/>
      <c r="AK83" s="269">
        <f>ROUND(SUM(+AE83-AH83),1)</f>
        <v>3160.7</v>
      </c>
      <c r="AL83" s="11"/>
      <c r="AM83" s="271">
        <f>ROUND(IF(AH83=0,0,AK83/ABS(AH83)),3)</f>
        <v>0.05</v>
      </c>
      <c r="AN83" s="411"/>
      <c r="AO83" s="411"/>
      <c r="AP83" s="411"/>
      <c r="AQ83" s="411"/>
      <c r="AR83" s="411"/>
      <c r="AS83" s="411"/>
      <c r="AT83" s="411"/>
    </row>
    <row r="84" spans="1:46" ht="15" customHeight="1">
      <c r="A84" s="296"/>
      <c r="B84" s="296"/>
      <c r="C84" s="296"/>
      <c r="D84" s="622"/>
      <c r="F84" s="622"/>
      <c r="H84" s="622"/>
      <c r="J84" s="622"/>
      <c r="L84" s="622"/>
      <c r="N84" s="622"/>
      <c r="P84" s="622"/>
      <c r="R84" s="622"/>
      <c r="T84" s="622"/>
      <c r="V84" s="622"/>
      <c r="X84" s="622"/>
      <c r="Z84" s="622"/>
      <c r="AA84" s="269"/>
      <c r="AB84" s="269"/>
      <c r="AC84" s="1251"/>
      <c r="AD84" s="269"/>
      <c r="AE84" s="622"/>
      <c r="AF84" s="269"/>
      <c r="AG84" s="529"/>
      <c r="AH84" s="622"/>
      <c r="AI84" s="525"/>
      <c r="AJ84" s="269"/>
      <c r="AK84" s="1052"/>
      <c r="AL84" s="369"/>
      <c r="AM84" s="1053"/>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12147.4</v>
      </c>
      <c r="R85" s="13">
        <f>ROUND(SUM(R83+R81+R38),1)</f>
        <v>10972</v>
      </c>
      <c r="T85" s="13">
        <f>ROUND(SUM(T83+T81+T38),1)</f>
        <v>0</v>
      </c>
      <c r="V85" s="13">
        <f>ROUND(SUM(V83+V81+V38),1)</f>
        <v>0</v>
      </c>
      <c r="X85" s="13">
        <f>ROUND(SUM(X83+X81+X38),1)</f>
        <v>0</v>
      </c>
      <c r="Z85" s="13">
        <f>ROUND(SUM(Z83+Z81+Z38),1)</f>
        <v>0</v>
      </c>
      <c r="AA85" s="13"/>
      <c r="AB85" s="362">
        <f>ROUND(SUM(AB83+AB81+AB38),1)</f>
        <v>0</v>
      </c>
      <c r="AC85" s="1253"/>
      <c r="AD85" s="13"/>
      <c r="AE85" s="13">
        <f>ROUND(SUM(AE83+AE81+AE38),1)</f>
        <v>87413.9</v>
      </c>
      <c r="AF85" s="13"/>
      <c r="AG85" s="14"/>
      <c r="AH85" s="13">
        <f>ROUND(SUM(AH83+AH81+AH38),1)</f>
        <v>81535.600000000006</v>
      </c>
      <c r="AI85" s="78"/>
      <c r="AJ85" s="13"/>
      <c r="AK85" s="362">
        <f>ROUND(SUM(AK83+AK81+AK38),1)</f>
        <v>5878.3</v>
      </c>
      <c r="AL85" s="79"/>
      <c r="AM85" s="373">
        <f>ROUND(SUM(+AK85/AH85),3)</f>
        <v>7.1999999999999995E-2</v>
      </c>
      <c r="AN85" s="411"/>
      <c r="AO85" s="411"/>
      <c r="AP85" s="411"/>
      <c r="AQ85" s="411"/>
      <c r="AR85" s="411"/>
      <c r="AS85" s="411"/>
      <c r="AT85" s="411"/>
    </row>
    <row r="86" spans="1:46" ht="15" customHeight="1">
      <c r="A86" s="296"/>
      <c r="B86" s="296"/>
      <c r="C86" s="296"/>
      <c r="D86" s="622"/>
      <c r="F86" s="622"/>
      <c r="H86" s="622"/>
      <c r="J86" s="622"/>
      <c r="L86" s="622"/>
      <c r="N86" s="622"/>
      <c r="P86" s="622"/>
      <c r="R86" s="622"/>
      <c r="T86" s="622"/>
      <c r="V86" s="622"/>
      <c r="X86" s="622"/>
      <c r="Z86" s="622"/>
      <c r="AA86" s="269"/>
      <c r="AB86" s="269"/>
      <c r="AC86" s="269"/>
      <c r="AD86" s="529"/>
      <c r="AE86" s="622"/>
      <c r="AF86" s="269"/>
      <c r="AG86" s="529"/>
      <c r="AH86" s="622"/>
      <c r="AI86" s="525"/>
      <c r="AJ86" s="269"/>
      <c r="AK86" s="269"/>
      <c r="AL86" s="369"/>
      <c r="AM86" s="288"/>
      <c r="AN86" s="411"/>
      <c r="AO86" s="411"/>
      <c r="AP86" s="411"/>
      <c r="AQ86" s="411"/>
      <c r="AR86" s="411"/>
      <c r="AS86" s="411"/>
      <c r="AT86" s="411"/>
    </row>
    <row r="87" spans="1:46" ht="15" customHeight="1">
      <c r="A87" s="296"/>
      <c r="B87" s="1235" t="s">
        <v>122</v>
      </c>
      <c r="C87" s="296"/>
      <c r="D87" s="269"/>
      <c r="F87" s="269"/>
      <c r="H87" s="269"/>
      <c r="J87" s="269"/>
      <c r="L87" s="269"/>
      <c r="N87" s="269"/>
      <c r="P87" s="269"/>
      <c r="R87" s="269"/>
      <c r="T87" s="269"/>
      <c r="V87" s="269"/>
      <c r="X87" s="269"/>
      <c r="Z87" s="269"/>
      <c r="AA87" s="269"/>
      <c r="AB87" s="269"/>
      <c r="AC87" s="269"/>
      <c r="AD87" s="529"/>
      <c r="AE87" s="269"/>
      <c r="AF87" s="1251"/>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f>'Exhibit G State'!L89+'Exhibit G Federal'!L60</f>
        <v>145.49999999999986</v>
      </c>
      <c r="N89" s="292">
        <f>'Exhibit G State'!N89+'Exhibit G Federal'!N60</f>
        <v>4069.5</v>
      </c>
      <c r="P89" s="292">
        <f>'Exhibit G State'!P89+'Exhibit G Federal'!P60</f>
        <v>380.09999999999923</v>
      </c>
      <c r="R89" s="292">
        <f>'Exhibit G State'!R89+'Exhibit G Federal'!R60</f>
        <v>350.70000000000039</v>
      </c>
      <c r="S89" s="292"/>
      <c r="T89" s="292"/>
      <c r="U89" s="292"/>
      <c r="V89" s="292"/>
      <c r="W89" s="292"/>
      <c r="X89" s="292"/>
      <c r="Y89" s="292"/>
      <c r="Z89" s="292"/>
      <c r="AA89" s="292"/>
      <c r="AB89" s="269">
        <v>0</v>
      </c>
      <c r="AC89" s="269"/>
      <c r="AD89" s="529"/>
      <c r="AE89" s="269">
        <f>ROUND(SUM(D89:Z89),1)</f>
        <v>6963.7</v>
      </c>
      <c r="AF89" s="269"/>
      <c r="AG89" s="529"/>
      <c r="AH89" s="292">
        <f>'Exhibit G State'!AF89+'Exhibit G Federal'!AF60</f>
        <v>10535.1</v>
      </c>
      <c r="AI89" s="525"/>
      <c r="AJ89" s="269"/>
      <c r="AK89" s="269">
        <f>ROUND(SUM(+AE89-AH89),1)</f>
        <v>-3571.4</v>
      </c>
      <c r="AL89" s="11"/>
      <c r="AM89" s="271">
        <f>ROUND(IF(AH89=0,0,AK89/ABS(AH89)),3)</f>
        <v>-0.33900000000000002</v>
      </c>
      <c r="AN89" s="411"/>
      <c r="AO89" s="411"/>
      <c r="AP89" s="411"/>
      <c r="AQ89" s="411"/>
      <c r="AR89" s="411"/>
      <c r="AS89" s="411"/>
      <c r="AT89" s="1290"/>
    </row>
    <row r="90" spans="1:46" ht="15" customHeight="1">
      <c r="A90" s="296"/>
      <c r="B90" s="390" t="s">
        <v>1433</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f>'Exhibit G State'!L90+'Exhibit G Federal'!L61</f>
        <v>0.29999999999999954</v>
      </c>
      <c r="N90" s="292">
        <f>'Exhibit G State'!N90+'Exhibit G Federal'!N61</f>
        <v>0.20000000000000023</v>
      </c>
      <c r="P90" s="292">
        <f>'Exhibit G State'!P90+'Exhibit G Federal'!P61</f>
        <v>1.9999999999999998</v>
      </c>
      <c r="R90" s="292">
        <f>'Exhibit G State'!R90+'Exhibit G Federal'!R61</f>
        <v>3.4999999999999996</v>
      </c>
      <c r="S90" s="292"/>
      <c r="T90" s="292"/>
      <c r="U90" s="292"/>
      <c r="V90" s="292"/>
      <c r="W90" s="292"/>
      <c r="X90" s="292"/>
      <c r="Y90" s="292"/>
      <c r="Z90" s="292"/>
      <c r="AA90" s="292"/>
      <c r="AB90" s="269">
        <v>0</v>
      </c>
      <c r="AC90" s="269"/>
      <c r="AD90" s="529"/>
      <c r="AE90" s="269">
        <f>ROUND(SUM(D90:Z90),1)</f>
        <v>8.4</v>
      </c>
      <c r="AF90" s="269"/>
      <c r="AG90" s="529"/>
      <c r="AH90" s="292">
        <f>'Exhibit G State'!AF90+'Exhibit G Federal'!AF61</f>
        <v>7.5</v>
      </c>
      <c r="AI90" s="525"/>
      <c r="AJ90" s="269"/>
      <c r="AK90" s="269">
        <f>ROUND(SUM(+AE90-AH90),1)</f>
        <v>0.9</v>
      </c>
      <c r="AL90" s="11"/>
      <c r="AM90" s="548">
        <f>ROUND(IF(AH90=0,1,AK90/ABS(AH90)),3)</f>
        <v>0.12</v>
      </c>
      <c r="AN90" s="411"/>
      <c r="AO90" s="411"/>
      <c r="AP90" s="411"/>
      <c r="AQ90" s="411"/>
      <c r="AR90" s="411"/>
      <c r="AS90" s="1290"/>
      <c r="AT90" s="1290"/>
    </row>
    <row r="91" spans="1:46" ht="15" customHeight="1">
      <c r="A91" s="296"/>
      <c r="B91" s="390" t="s">
        <v>1432</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f>'Exhibit G State'!L91+'Exhibit G Federal'!L62</f>
        <v>24.599999999999991</v>
      </c>
      <c r="N91" s="292">
        <f>'Exhibit G State'!N91+'Exhibit G Federal'!N62</f>
        <v>35.600000000000023</v>
      </c>
      <c r="P91" s="292">
        <f>'Exhibit G State'!P91+'Exhibit G Federal'!P62</f>
        <v>15.09999999999998</v>
      </c>
      <c r="R91" s="292">
        <f>'Exhibit G State'!R91+'Exhibit G Federal'!R62</f>
        <v>11.799999999999986</v>
      </c>
      <c r="S91" s="292"/>
      <c r="T91" s="292"/>
      <c r="U91" s="292"/>
      <c r="V91" s="292"/>
      <c r="W91" s="292"/>
      <c r="X91" s="292"/>
      <c r="Y91" s="292"/>
      <c r="Z91" s="292"/>
      <c r="AA91" s="292"/>
      <c r="AB91" s="269">
        <v>0</v>
      </c>
      <c r="AC91" s="269"/>
      <c r="AD91" s="529"/>
      <c r="AE91" s="269">
        <f>ROUND(SUM(D91:Z91),1)</f>
        <v>158.6</v>
      </c>
      <c r="AF91" s="269"/>
      <c r="AG91" s="529"/>
      <c r="AH91" s="292">
        <f>'Exhibit G State'!AF91+'Exhibit G Federal'!AF62</f>
        <v>199.8</v>
      </c>
      <c r="AI91" s="525"/>
      <c r="AJ91" s="269"/>
      <c r="AK91" s="269">
        <f>ROUND(SUM(+AE91-AH91),1)</f>
        <v>-41.2</v>
      </c>
      <c r="AL91" s="11"/>
      <c r="AM91" s="548">
        <f>ROUND(IF(AH91=0,0,AK91/ABS(AH91)),3)</f>
        <v>-0.20599999999999999</v>
      </c>
      <c r="AN91" s="411"/>
      <c r="AO91" s="411"/>
      <c r="AP91" s="411"/>
      <c r="AQ91" s="411"/>
      <c r="AR91" s="411"/>
      <c r="AS91" s="1290"/>
      <c r="AT91" s="1290"/>
    </row>
    <row r="92" spans="1:46" ht="15" customHeight="1">
      <c r="A92" s="296"/>
      <c r="B92" s="390" t="s">
        <v>127</v>
      </c>
      <c r="C92" s="296"/>
      <c r="D92" s="269"/>
      <c r="E92" s="269"/>
      <c r="F92" s="269"/>
      <c r="G92" s="269"/>
      <c r="H92" s="269"/>
      <c r="J92" s="292"/>
      <c r="L92" s="269"/>
      <c r="N92" s="269"/>
      <c r="P92" s="269"/>
      <c r="R92" s="269"/>
      <c r="S92" s="269"/>
      <c r="T92" s="269"/>
      <c r="U92" s="269"/>
      <c r="V92" s="269"/>
      <c r="W92" s="269"/>
      <c r="X92" s="269"/>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3"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f>'Exhibit G State'!L93+'Exhibit G Federal'!L64</f>
        <v>5226.5999999999995</v>
      </c>
      <c r="N93" s="292">
        <f>'Exhibit G State'!N93+'Exhibit G Federal'!N64</f>
        <v>4402.3999999999987</v>
      </c>
      <c r="P93" s="292">
        <f>'Exhibit G State'!P93+'Exhibit G Federal'!P64</f>
        <v>6839.0999999999976</v>
      </c>
      <c r="R93" s="292">
        <f>'Exhibit G State'!R93+'Exhibit G Federal'!R64</f>
        <v>5834.0000000000055</v>
      </c>
      <c r="S93" s="292"/>
      <c r="T93" s="292"/>
      <c r="U93" s="292"/>
      <c r="V93" s="292"/>
      <c r="W93" s="292"/>
      <c r="X93" s="292"/>
      <c r="Y93" s="292"/>
      <c r="Z93" s="292"/>
      <c r="AA93" s="292"/>
      <c r="AB93" s="269">
        <v>0</v>
      </c>
      <c r="AC93" s="269"/>
      <c r="AD93" s="529"/>
      <c r="AE93" s="269">
        <f t="shared" ref="AE93:AE98" si="15">ROUND(SUM(D93:Z93),1)</f>
        <v>43051.5</v>
      </c>
      <c r="AF93" s="269"/>
      <c r="AG93" s="529"/>
      <c r="AH93" s="292">
        <f>'Exhibit G State'!AF93+'Exhibit G Federal'!AF64</f>
        <v>39021.199999999997</v>
      </c>
      <c r="AI93" s="525"/>
      <c r="AJ93" s="269"/>
      <c r="AK93" s="269">
        <f t="shared" ref="AK93:AK98" si="16">ROUND(SUM(+AE93-AH93),1)</f>
        <v>4030.3</v>
      </c>
      <c r="AL93" s="11"/>
      <c r="AM93" s="271">
        <f>ROUND(IF(AH93=0,0,AK93/ABS(AH93)),3)</f>
        <v>0.10299999999999999</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f>'Exhibit G State'!L94+'Exhibit G Federal'!L65</f>
        <v>1653.600000000001</v>
      </c>
      <c r="N94" s="292">
        <f>'Exhibit G State'!N94+'Exhibit G Federal'!N65</f>
        <v>1864.299999999999</v>
      </c>
      <c r="P94" s="292">
        <f>'Exhibit G State'!P94+'Exhibit G Federal'!P65</f>
        <v>1231.4999999999991</v>
      </c>
      <c r="R94" s="292">
        <f>'Exhibit G State'!R94+'Exhibit G Federal'!R65</f>
        <v>1444.400000000001</v>
      </c>
      <c r="S94" s="292"/>
      <c r="T94" s="292"/>
      <c r="U94" s="292"/>
      <c r="V94" s="292"/>
      <c r="W94" s="292"/>
      <c r="X94" s="292"/>
      <c r="Y94" s="292"/>
      <c r="Z94" s="292"/>
      <c r="AA94" s="292"/>
      <c r="AB94" s="269">
        <v>0</v>
      </c>
      <c r="AC94" s="269"/>
      <c r="AD94" s="529"/>
      <c r="AE94" s="269">
        <f t="shared" si="15"/>
        <v>12685.2</v>
      </c>
      <c r="AF94" s="269"/>
      <c r="AG94" s="529"/>
      <c r="AH94" s="292">
        <f>'Exhibit G State'!AF94+'Exhibit G Federal'!AF65</f>
        <v>11512.1</v>
      </c>
      <c r="AI94" s="525"/>
      <c r="AJ94" s="269"/>
      <c r="AK94" s="269">
        <f t="shared" si="16"/>
        <v>1173.0999999999999</v>
      </c>
      <c r="AL94" s="11"/>
      <c r="AM94" s="271">
        <f t="shared" ref="AM94:AM98" si="17">ROUND(IF(AH94=0,0,AK94/ABS(AH94)),3)</f>
        <v>0.10199999999999999</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f>'Exhibit G State'!L95+'Exhibit G Federal'!L66</f>
        <v>295.2</v>
      </c>
      <c r="N95" s="292">
        <f>'Exhibit G State'!N95+'Exhibit G Federal'!N66</f>
        <v>187.90000000000015</v>
      </c>
      <c r="P95" s="292">
        <f>'Exhibit G State'!P95+'Exhibit G Federal'!P66</f>
        <v>138.19999999999987</v>
      </c>
      <c r="R95" s="292">
        <f>'Exhibit G State'!R95+'Exhibit G Federal'!R66</f>
        <v>304.50000000000017</v>
      </c>
      <c r="S95" s="292"/>
      <c r="T95" s="292"/>
      <c r="U95" s="292"/>
      <c r="V95" s="292"/>
      <c r="W95" s="292"/>
      <c r="X95" s="292"/>
      <c r="Y95" s="292"/>
      <c r="Z95" s="292"/>
      <c r="AA95" s="292"/>
      <c r="AB95" s="269">
        <v>0</v>
      </c>
      <c r="AC95" s="269"/>
      <c r="AD95" s="529"/>
      <c r="AE95" s="269">
        <f t="shared" si="15"/>
        <v>2669.4</v>
      </c>
      <c r="AF95" s="269"/>
      <c r="AG95" s="529"/>
      <c r="AH95" s="292">
        <f>'Exhibit G State'!AF95+'Exhibit G Federal'!AF66</f>
        <v>1932.7</v>
      </c>
      <c r="AI95" s="525"/>
      <c r="AJ95" s="269"/>
      <c r="AK95" s="269">
        <f t="shared" si="16"/>
        <v>736.7</v>
      </c>
      <c r="AL95" s="11"/>
      <c r="AM95" s="548">
        <f t="shared" si="17"/>
        <v>0.38100000000000001</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f>'Exhibit G State'!L96+'Exhibit G Federal'!L67</f>
        <v>402.49999999999972</v>
      </c>
      <c r="N96" s="292">
        <f>'Exhibit G State'!N96+'Exhibit G Federal'!N67</f>
        <v>824.60000000000025</v>
      </c>
      <c r="P96" s="292">
        <f>'Exhibit G State'!P96+'Exhibit G Federal'!P67</f>
        <v>550.29999999999961</v>
      </c>
      <c r="R96" s="292">
        <f>'Exhibit G State'!R96+'Exhibit G Federal'!R67</f>
        <v>262.9000000000002</v>
      </c>
      <c r="S96" s="292"/>
      <c r="T96" s="292"/>
      <c r="U96" s="292"/>
      <c r="V96" s="292"/>
      <c r="W96" s="292"/>
      <c r="X96" s="292"/>
      <c r="Y96" s="292"/>
      <c r="Z96" s="292"/>
      <c r="AA96" s="292"/>
      <c r="AB96" s="269">
        <v>0</v>
      </c>
      <c r="AC96" s="269"/>
      <c r="AD96" s="529"/>
      <c r="AE96" s="269">
        <f t="shared" si="15"/>
        <v>4365.6000000000004</v>
      </c>
      <c r="AF96" s="269"/>
      <c r="AG96" s="529"/>
      <c r="AH96" s="292">
        <f>'Exhibit G State'!AF96+'Exhibit G Federal'!AF67</f>
        <v>4387.7999999999993</v>
      </c>
      <c r="AI96" s="525"/>
      <c r="AJ96" s="269"/>
      <c r="AK96" s="269">
        <f t="shared" si="16"/>
        <v>-22.2</v>
      </c>
      <c r="AL96" s="11"/>
      <c r="AM96" s="271">
        <f t="shared" si="17"/>
        <v>-5.0000000000000001E-3</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f>'Exhibit G State'!L97+'Exhibit G Federal'!L68</f>
        <v>6.8000000000000167</v>
      </c>
      <c r="N97" s="292">
        <f>'Exhibit G State'!N97+'Exhibit G Federal'!N68</f>
        <v>3.5999999999999943</v>
      </c>
      <c r="P97" s="292">
        <f>'Exhibit G State'!P97+'Exhibit G Federal'!P68</f>
        <v>1.9000000000000001</v>
      </c>
      <c r="R97" s="292">
        <f>'Exhibit G State'!R97+'Exhibit G Federal'!R68</f>
        <v>27.6</v>
      </c>
      <c r="S97" s="292"/>
      <c r="T97" s="292"/>
      <c r="U97" s="292"/>
      <c r="V97" s="292"/>
      <c r="W97" s="292"/>
      <c r="X97" s="292"/>
      <c r="Y97" s="292"/>
      <c r="Z97" s="292"/>
      <c r="AA97" s="292"/>
      <c r="AB97" s="269">
        <v>0</v>
      </c>
      <c r="AC97" s="269"/>
      <c r="AD97" s="529"/>
      <c r="AE97" s="269">
        <f t="shared" si="15"/>
        <v>223.1</v>
      </c>
      <c r="AF97" s="269"/>
      <c r="AG97" s="529"/>
      <c r="AH97" s="292">
        <f>'Exhibit G State'!AF97+'Exhibit G Federal'!AF68</f>
        <v>47.9</v>
      </c>
      <c r="AI97" s="525"/>
      <c r="AJ97" s="269"/>
      <c r="AK97" s="269">
        <f t="shared" si="16"/>
        <v>175.2</v>
      </c>
      <c r="AL97" s="11"/>
      <c r="AM97" s="548">
        <f>ROUND(IF(AH97=0,0,AK97/ABS(AH97)),3)</f>
        <v>3.6579999999999999</v>
      </c>
      <c r="AN97" s="411"/>
      <c r="AO97" s="411"/>
      <c r="AP97" s="411"/>
      <c r="AQ97" s="411"/>
      <c r="AR97" s="411"/>
      <c r="AS97" s="1290"/>
      <c r="AT97" s="1290"/>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f>'Exhibit G State'!L98+'Exhibit G Federal'!L69</f>
        <v>380.2999999999999</v>
      </c>
      <c r="N98" s="292">
        <f>'Exhibit G State'!N98+'Exhibit G Federal'!N69</f>
        <v>396.90000000000026</v>
      </c>
      <c r="P98" s="292">
        <f>'Exhibit G State'!P98+'Exhibit G Federal'!P69</f>
        <v>457.09999999999991</v>
      </c>
      <c r="R98" s="292">
        <f>'Exhibit G State'!R98+'Exhibit G Federal'!R69</f>
        <v>744.40000000000009</v>
      </c>
      <c r="S98" s="292"/>
      <c r="T98" s="292"/>
      <c r="U98" s="292"/>
      <c r="V98" s="292"/>
      <c r="W98" s="292"/>
      <c r="X98" s="292"/>
      <c r="Y98" s="292"/>
      <c r="Z98" s="292"/>
      <c r="AA98" s="292"/>
      <c r="AB98" s="269">
        <v>0</v>
      </c>
      <c r="AC98" s="269"/>
      <c r="AD98" s="529"/>
      <c r="AE98" s="269">
        <f t="shared" si="15"/>
        <v>3713.8</v>
      </c>
      <c r="AF98" s="269"/>
      <c r="AG98" s="529"/>
      <c r="AH98" s="292">
        <f>'Exhibit G State'!AF98+'Exhibit G Federal'!AF69</f>
        <v>3556</v>
      </c>
      <c r="AI98" s="525"/>
      <c r="AJ98" s="269"/>
      <c r="AK98" s="269">
        <f t="shared" si="16"/>
        <v>157.80000000000001</v>
      </c>
      <c r="AL98" s="11"/>
      <c r="AM98" s="539">
        <f t="shared" si="17"/>
        <v>4.3999999999999997E-2</v>
      </c>
      <c r="AN98" s="411"/>
      <c r="AO98" s="411"/>
      <c r="AP98" s="411"/>
      <c r="AQ98" s="411"/>
      <c r="AR98" s="411"/>
      <c r="AS98" s="411"/>
      <c r="AT98" s="411"/>
    </row>
    <row r="99" spans="1:50" ht="15" customHeight="1">
      <c r="A99" s="296"/>
      <c r="B99" s="3" t="s">
        <v>511</v>
      </c>
      <c r="C99" s="296"/>
      <c r="D99" s="680">
        <f>ROUND(SUM(D89:D98),1)</f>
        <v>8172.9</v>
      </c>
      <c r="F99" s="680">
        <f>ROUND(SUM(F89:F98),1)</f>
        <v>8111.9</v>
      </c>
      <c r="H99" s="680">
        <f>ROUND(SUM(H89:H98),1)</f>
        <v>10014.6</v>
      </c>
      <c r="J99" s="680">
        <f>ROUND(SUM(J89:J98),1)</f>
        <v>9020.4</v>
      </c>
      <c r="L99" s="680">
        <f>ROUND(SUM(L89:L98),1)</f>
        <v>8135.4</v>
      </c>
      <c r="N99" s="680">
        <f>ROUND(SUM(N89:N98),1)</f>
        <v>11785</v>
      </c>
      <c r="P99" s="680">
        <f>ROUND(SUM(P89:P98),1)</f>
        <v>9615.2999999999993</v>
      </c>
      <c r="R99" s="680">
        <f>ROUND(SUM(R89:R98),1)</f>
        <v>8983.7999999999993</v>
      </c>
      <c r="T99" s="680">
        <f>ROUND(SUM(T89:T98),1)</f>
        <v>0</v>
      </c>
      <c r="V99" s="680">
        <f>ROUND(SUM(V89:V98),1)</f>
        <v>0</v>
      </c>
      <c r="X99" s="680">
        <f>ROUND(SUM(X89:X98),1)</f>
        <v>0</v>
      </c>
      <c r="Z99" s="680">
        <f>ROUND(SUM(Z89:Z98),1)</f>
        <v>0</v>
      </c>
      <c r="AA99" s="13"/>
      <c r="AB99" s="680">
        <f>ROUND(SUM(AB89:AB98),1)</f>
        <v>0</v>
      </c>
      <c r="AC99" s="13"/>
      <c r="AD99" s="14"/>
      <c r="AE99" s="680">
        <f>ROUND(SUM(AE89:AE98),1)</f>
        <v>73839.3</v>
      </c>
      <c r="AF99" s="13"/>
      <c r="AG99" s="14"/>
      <c r="AH99" s="680">
        <f>ROUND(SUM(AH89:AH98),1)</f>
        <v>71200.100000000006</v>
      </c>
      <c r="AI99" s="78"/>
      <c r="AJ99" s="13"/>
      <c r="AK99" s="680">
        <f>ROUND(SUM(AK89:AK98),1)</f>
        <v>2639.2</v>
      </c>
      <c r="AL99" s="40"/>
      <c r="AM99" s="373">
        <f>ROUND(SUM(+AK99/AH99),3)</f>
        <v>3.6999999999999998E-2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f>'Exhibit G State'!L101+'Exhibit G Federal'!L72</f>
        <v>554.70000000000005</v>
      </c>
      <c r="N101" s="292">
        <f>'Exhibit G State'!N101+'Exhibit G Federal'!N72</f>
        <v>536.80000000000041</v>
      </c>
      <c r="P101" s="292">
        <f>'Exhibit G State'!P101+'Exhibit G Federal'!P72</f>
        <v>609.19999999999948</v>
      </c>
      <c r="R101" s="292">
        <f>'Exhibit G State'!R101+'Exhibit G Federal'!R72</f>
        <v>587.80000000000052</v>
      </c>
      <c r="S101" s="292"/>
      <c r="T101" s="292"/>
      <c r="U101" s="292"/>
      <c r="V101" s="292"/>
      <c r="W101" s="292"/>
      <c r="X101" s="292"/>
      <c r="Y101" s="292"/>
      <c r="Z101" s="292"/>
      <c r="AA101" s="292"/>
      <c r="AB101" s="269">
        <v>0</v>
      </c>
      <c r="AC101" s="269"/>
      <c r="AD101" s="529"/>
      <c r="AE101" s="269">
        <f>ROUND(SUM(D101:Z101),1)</f>
        <v>4870.8999999999996</v>
      </c>
      <c r="AF101" s="269"/>
      <c r="AG101" s="529"/>
      <c r="AH101" s="292">
        <f>'Exhibit G State'!AF101+'Exhibit G Federal'!AF72</f>
        <v>4511.8999999999996</v>
      </c>
      <c r="AI101" s="525"/>
      <c r="AJ101" s="269"/>
      <c r="AK101" s="269">
        <f>ROUND(SUM(+AE101-AH101),1)</f>
        <v>359</v>
      </c>
      <c r="AL101" s="11"/>
      <c r="AM101" s="271">
        <f>ROUND(IF(AH101=0,0,AK101/ABS(AH101)),3)</f>
        <v>0.08</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f>'Exhibit G State'!L102+'Exhibit G Federal'!L73</f>
        <v>480.6</v>
      </c>
      <c r="N102" s="292">
        <f>'Exhibit G State'!N102+'Exhibit G Federal'!N73</f>
        <v>651.9</v>
      </c>
      <c r="P102" s="292">
        <f>'Exhibit G State'!P102+'Exhibit G Federal'!P73</f>
        <v>517.80000000000018</v>
      </c>
      <c r="R102" s="292">
        <f>'Exhibit G State'!R102+'Exhibit G Federal'!R73</f>
        <v>441.79999999999995</v>
      </c>
      <c r="S102" s="292"/>
      <c r="T102" s="292"/>
      <c r="U102" s="292"/>
      <c r="V102" s="292"/>
      <c r="W102" s="292"/>
      <c r="X102" s="292"/>
      <c r="Y102" s="292"/>
      <c r="Z102" s="292"/>
      <c r="AA102" s="292"/>
      <c r="AB102" s="269">
        <v>0</v>
      </c>
      <c r="AC102" s="269"/>
      <c r="AD102" s="529"/>
      <c r="AE102" s="269">
        <f>ROUND(SUM(D102:Z102),1)</f>
        <v>3802</v>
      </c>
      <c r="AF102" s="269"/>
      <c r="AG102" s="529"/>
      <c r="AH102" s="292">
        <f>'Exhibit G State'!AF102+'Exhibit G Federal'!AF73</f>
        <v>4025.8</v>
      </c>
      <c r="AI102" s="525"/>
      <c r="AJ102" s="269"/>
      <c r="AK102" s="269">
        <f>ROUND(SUM(+AE102-AH102),1)</f>
        <v>-223.8</v>
      </c>
      <c r="AL102" s="11"/>
      <c r="AM102" s="271">
        <f>ROUND(IF(AH102=0,0,AK102/ABS(AH102)),3)</f>
        <v>-5.6000000000000001E-2</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f>'Exhibit G State'!L103+'Exhibit G Federal'!L74</f>
        <v>109.69999999999999</v>
      </c>
      <c r="N103" s="292">
        <f>'Exhibit G State'!N103+'Exhibit G Federal'!N74</f>
        <v>191.40000000000009</v>
      </c>
      <c r="P103" s="292">
        <f>'Exhibit G State'!P103+'Exhibit G Federal'!P74</f>
        <v>164.79999999999984</v>
      </c>
      <c r="R103" s="292">
        <f>'Exhibit G State'!R103+'Exhibit G Federal'!R74</f>
        <v>214.5</v>
      </c>
      <c r="S103" s="292"/>
      <c r="T103" s="292"/>
      <c r="U103" s="292"/>
      <c r="V103" s="292"/>
      <c r="W103" s="292"/>
      <c r="X103" s="292"/>
      <c r="Y103" s="292"/>
      <c r="Z103" s="292"/>
      <c r="AA103" s="292"/>
      <c r="AB103" s="269">
        <v>0</v>
      </c>
      <c r="AC103" s="269"/>
      <c r="AD103" s="529"/>
      <c r="AE103" s="269">
        <f>ROUND(SUM(D103:Z103),1)</f>
        <v>1207.3</v>
      </c>
      <c r="AF103" s="269"/>
      <c r="AG103" s="529"/>
      <c r="AH103" s="292">
        <f>'Exhibit G State'!AF103+'Exhibit G Federal'!AF74</f>
        <v>986.4</v>
      </c>
      <c r="AI103" s="525"/>
      <c r="AJ103" s="269"/>
      <c r="AK103" s="269">
        <f>ROUND(SUM(+AE103-AH103),1)</f>
        <v>220.9</v>
      </c>
      <c r="AL103" s="11"/>
      <c r="AM103" s="271">
        <f>ROUND(IF(AH103=0,0,AK103/ABS(AH103)),3)</f>
        <v>0.224</v>
      </c>
      <c r="AN103" s="411"/>
      <c r="AO103" s="411"/>
      <c r="AP103" s="411"/>
      <c r="AQ103" s="411"/>
      <c r="AR103" s="411"/>
      <c r="AS103" s="411"/>
      <c r="AT103" s="411"/>
    </row>
    <row r="104" spans="1:50" ht="15" customHeight="1">
      <c r="A104" s="296"/>
      <c r="B104" s="65" t="s">
        <v>1434</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1474</v>
      </c>
      <c r="C105" s="296"/>
      <c r="D105" s="292">
        <f>'Exhibit G Federal'!D76</f>
        <v>0</v>
      </c>
      <c r="E105" s="292"/>
      <c r="F105" s="292">
        <f>'Exhibit G Federal'!F76</f>
        <v>0</v>
      </c>
      <c r="G105" s="292"/>
      <c r="H105" s="292">
        <f>'Exhibit G Federal'!H76</f>
        <v>0</v>
      </c>
      <c r="J105" s="292">
        <f>'Exhibit G Federal'!J76</f>
        <v>0</v>
      </c>
      <c r="L105" s="292">
        <f>'Exhibit G Federal'!L76</f>
        <v>0</v>
      </c>
      <c r="N105" s="292">
        <f>'Exhibit G Federal'!N76</f>
        <v>0</v>
      </c>
      <c r="P105" s="292">
        <f>'Exhibit G Federal'!P76</f>
        <v>0</v>
      </c>
      <c r="R105" s="292">
        <f>'Exhibit G Federal'!R76</f>
        <v>0</v>
      </c>
      <c r="S105" s="292"/>
      <c r="T105" s="292"/>
      <c r="U105" s="292"/>
      <c r="V105" s="292"/>
      <c r="W105" s="292"/>
      <c r="X105" s="292"/>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f>'Exhibit G State'!L104+'Exhibit G Federal'!L77</f>
        <v>0</v>
      </c>
      <c r="N106" s="292">
        <f>'Exhibit G State'!N104+'Exhibit G Federal'!N77</f>
        <v>0</v>
      </c>
      <c r="P106" s="292">
        <f>'Exhibit G State'!P104+'Exhibit G Federal'!P77</f>
        <v>0</v>
      </c>
      <c r="R106" s="292">
        <f>'Exhibit G State'!R104+'Exhibit G Federal'!R77</f>
        <v>0</v>
      </c>
      <c r="S106" s="292"/>
      <c r="T106" s="292"/>
      <c r="U106" s="292"/>
      <c r="V106" s="292"/>
      <c r="W106" s="292"/>
      <c r="X106" s="292"/>
      <c r="Y106" s="292"/>
      <c r="Z106" s="292"/>
      <c r="AA106" s="292"/>
      <c r="AB106" s="388">
        <v>0</v>
      </c>
      <c r="AC106" s="1574"/>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2"/>
      <c r="F107" s="622"/>
      <c r="H107" s="622"/>
      <c r="J107" s="622"/>
      <c r="L107" s="622"/>
      <c r="N107" s="622"/>
      <c r="P107" s="622"/>
      <c r="R107" s="622"/>
      <c r="T107" s="622"/>
      <c r="V107" s="622"/>
      <c r="X107" s="622"/>
      <c r="Z107" s="622"/>
      <c r="AA107" s="269"/>
      <c r="AB107" s="269"/>
      <c r="AC107" s="1574"/>
      <c r="AD107" s="529"/>
      <c r="AE107" s="622"/>
      <c r="AF107" s="269"/>
      <c r="AG107" s="529"/>
      <c r="AH107" s="622"/>
      <c r="AI107" s="525"/>
      <c r="AJ107" s="269"/>
      <c r="AK107" s="1052"/>
      <c r="AL107" s="369"/>
      <c r="AM107" s="1053"/>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10907.1</v>
      </c>
      <c r="R108" s="13">
        <f>ROUND(SUM(R99:R106),1)</f>
        <v>10227.9</v>
      </c>
      <c r="T108" s="13">
        <f>ROUND(SUM(T99:T106),1)</f>
        <v>0</v>
      </c>
      <c r="V108" s="13">
        <f>ROUND(SUM(V99:V106),1)</f>
        <v>0</v>
      </c>
      <c r="X108" s="13">
        <f>ROUND(SUM(X99:X106),1)</f>
        <v>0</v>
      </c>
      <c r="Z108" s="13">
        <f>ROUND(SUM(Z99:Z106),1)</f>
        <v>0</v>
      </c>
      <c r="AA108" s="13"/>
      <c r="AB108" s="362">
        <v>0</v>
      </c>
      <c r="AC108" s="1575"/>
      <c r="AD108" s="14"/>
      <c r="AE108" s="13">
        <f>ROUND(SUM(AE99:AE106),1)</f>
        <v>83719.5</v>
      </c>
      <c r="AF108" s="13"/>
      <c r="AG108" s="14"/>
      <c r="AH108" s="13">
        <f>ROUND(SUM(AH99:AH106),1)</f>
        <v>80724.2</v>
      </c>
      <c r="AI108" s="78"/>
      <c r="AJ108" s="13"/>
      <c r="AK108" s="362">
        <f>ROUND(SUM(AK99:AK106),1)</f>
        <v>2995.3</v>
      </c>
      <c r="AL108" s="60"/>
      <c r="AM108" s="373">
        <f>ROUND(SUM(+AK108/AH108),3)</f>
        <v>3.6999999999999998E-2</v>
      </c>
      <c r="AN108" s="411"/>
      <c r="AO108" s="411"/>
      <c r="AP108" s="411"/>
      <c r="AQ108" s="411"/>
      <c r="AR108" s="411"/>
      <c r="AS108" s="411"/>
      <c r="AT108" s="411"/>
    </row>
    <row r="109" spans="1:50" ht="15" customHeight="1">
      <c r="A109" s="296"/>
      <c r="B109" s="296"/>
      <c r="C109" s="296"/>
      <c r="D109" s="622"/>
      <c r="F109" s="622"/>
      <c r="H109" s="622"/>
      <c r="J109" s="622"/>
      <c r="L109" s="622"/>
      <c r="N109" s="622"/>
      <c r="P109" s="622"/>
      <c r="R109" s="622"/>
      <c r="T109" s="622"/>
      <c r="V109" s="622"/>
      <c r="X109" s="622"/>
      <c r="Z109" s="622"/>
      <c r="AA109" s="269"/>
      <c r="AB109" s="269"/>
      <c r="AC109" s="1574"/>
      <c r="AD109" s="529"/>
      <c r="AE109" s="622"/>
      <c r="AF109" s="269"/>
      <c r="AG109" s="529"/>
      <c r="AH109" s="622"/>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74"/>
      <c r="AD110" s="529"/>
      <c r="AE110" s="269" t="s">
        <v>517</v>
      </c>
      <c r="AF110" s="896"/>
      <c r="AG110" s="897"/>
      <c r="AH110" s="269"/>
      <c r="AI110" s="902"/>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1240.3</v>
      </c>
      <c r="R111" s="13">
        <f>ROUND(SUM(R85-R108),1)</f>
        <v>744.1</v>
      </c>
      <c r="T111" s="13">
        <f>ROUND(SUM(T85-T108),1)</f>
        <v>0</v>
      </c>
      <c r="V111" s="13">
        <f>ROUND(SUM(V85-V108),1)</f>
        <v>0</v>
      </c>
      <c r="X111" s="13">
        <f>ROUND(SUM(X85-X108),1)</f>
        <v>0</v>
      </c>
      <c r="Z111" s="13">
        <f>ROUND(SUM(Z85-Z108),1)</f>
        <v>0</v>
      </c>
      <c r="AA111" s="13"/>
      <c r="AB111" s="362">
        <v>0</v>
      </c>
      <c r="AC111" s="1575"/>
      <c r="AD111" s="14"/>
      <c r="AE111" s="13">
        <f>ROUND(SUM(AE85-AE108),1)</f>
        <v>3694.4</v>
      </c>
      <c r="AF111" s="13"/>
      <c r="AG111" s="14"/>
      <c r="AH111" s="13">
        <f>ROUND(SUM(AH85-AH108),1)</f>
        <v>811.4</v>
      </c>
      <c r="AI111" s="78"/>
      <c r="AJ111" s="13"/>
      <c r="AK111" s="362">
        <f>ROUND(SUM(AK85-AK108),1)</f>
        <v>2883</v>
      </c>
      <c r="AL111" s="60"/>
      <c r="AM111" s="618">
        <f>ROUND(SUM(+AK111/ABS(AH111)),3)</f>
        <v>3.5529999999999999</v>
      </c>
      <c r="AN111" s="411"/>
      <c r="AO111" s="411"/>
      <c r="AP111" s="411"/>
      <c r="AQ111" s="411"/>
      <c r="AR111" s="411"/>
      <c r="AS111" s="411"/>
      <c r="AT111" s="411"/>
    </row>
    <row r="112" spans="1:50" ht="15" customHeight="1">
      <c r="A112" s="296"/>
      <c r="B112" s="296"/>
      <c r="C112" s="296"/>
      <c r="D112" s="622"/>
      <c r="F112" s="622"/>
      <c r="H112" s="622"/>
      <c r="J112" s="622"/>
      <c r="L112" s="622"/>
      <c r="N112" s="622"/>
      <c r="P112" s="622"/>
      <c r="R112" s="622"/>
      <c r="T112" s="622"/>
      <c r="V112" s="622"/>
      <c r="X112" s="622"/>
      <c r="Z112" s="622"/>
      <c r="AA112" s="269"/>
      <c r="AB112" s="269"/>
      <c r="AC112" s="1574"/>
      <c r="AD112" s="529"/>
      <c r="AE112" s="622"/>
      <c r="AF112" s="269"/>
      <c r="AG112" s="529"/>
      <c r="AH112" s="622"/>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74"/>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5" customFormat="1" ht="15" customHeight="1">
      <c r="A114" s="377"/>
      <c r="B114" s="1220" t="s">
        <v>518</v>
      </c>
      <c r="C114" s="1220"/>
      <c r="D114" s="1228">
        <f>+'Exhibit G State'!D112+'Exhibit G Federal'!D85</f>
        <v>379.4</v>
      </c>
      <c r="E114" s="1228"/>
      <c r="F114" s="1228">
        <f>'Exhibit G State'!F112+'Exhibit G Federal'!F85</f>
        <v>469.80000000000007</v>
      </c>
      <c r="G114" s="1228"/>
      <c r="H114" s="1228">
        <f>'Exhibit G State'!H112+'Exhibit G Federal'!H85</f>
        <v>650.00000000000011</v>
      </c>
      <c r="I114" s="1138"/>
      <c r="J114" s="1228">
        <f>'Exhibit G State'!J112+'Exhibit G Federal'!J85</f>
        <v>458.89999999999964</v>
      </c>
      <c r="K114" s="1137"/>
      <c r="L114" s="1228">
        <f>'Exhibit G State'!L112+'Exhibit G Federal'!L85</f>
        <v>167.80000000000041</v>
      </c>
      <c r="M114" s="1137"/>
      <c r="N114" s="1228">
        <f>'Exhibit G State'!N112+'Exhibit G Federal'!N85</f>
        <v>546.69999999999959</v>
      </c>
      <c r="O114" s="1137"/>
      <c r="P114" s="1228">
        <f>'Exhibit G State'!P112+'Exhibit G Federal'!P85</f>
        <v>137.9000000000002</v>
      </c>
      <c r="Q114" s="1137"/>
      <c r="R114" s="292">
        <f>'Exhibit G State'!R112+'Exhibit G Federal'!R85</f>
        <v>422.69999999999959</v>
      </c>
      <c r="S114" s="1138"/>
      <c r="T114" s="292"/>
      <c r="U114" s="1139"/>
      <c r="V114" s="292"/>
      <c r="W114" s="1138"/>
      <c r="X114" s="292"/>
      <c r="Y114" s="1138"/>
      <c r="Z114" s="292"/>
      <c r="AA114" s="1140"/>
      <c r="AB114" s="1211">
        <v>-512.4</v>
      </c>
      <c r="AC114" s="1830"/>
      <c r="AD114" s="1141"/>
      <c r="AE114" s="1212">
        <f>ROUND(SUM(D114:AB114),1)</f>
        <v>2720.8</v>
      </c>
      <c r="AF114" s="617"/>
      <c r="AG114" s="1141"/>
      <c r="AH114" s="1214">
        <f>'Exhibit G State'!AF112+'Exhibit G Federal'!AF85-444.6</f>
        <v>2635.8</v>
      </c>
      <c r="AI114" s="1143"/>
      <c r="AJ114" s="617"/>
      <c r="AK114" s="896">
        <f>ROUND(SUM(+AE114-AH114),1)</f>
        <v>85</v>
      </c>
      <c r="AL114" s="1144"/>
      <c r="AM114" s="271">
        <f>ROUND(IF(AH114=0,0,AK114/ABS(AH114)),3)</f>
        <v>3.2000000000000001E-2</v>
      </c>
      <c r="AN114" s="1529"/>
      <c r="AO114" s="411"/>
      <c r="AP114" s="411"/>
      <c r="AQ114" s="411"/>
      <c r="AR114" s="411"/>
      <c r="AS114" s="411"/>
      <c r="AT114" s="411"/>
    </row>
    <row r="115" spans="1:50" ht="15" customHeight="1">
      <c r="A115" s="296"/>
      <c r="B115" s="296" t="s">
        <v>519</v>
      </c>
      <c r="C115" s="296"/>
      <c r="D115" s="1054">
        <f>+'Exhibit G State'!D113+'Exhibit G Federal'!D86</f>
        <v>-202.5</v>
      </c>
      <c r="E115" s="1054"/>
      <c r="F115" s="1054">
        <f>'Exhibit G State'!F113+'Exhibit G Federal'!F86</f>
        <v>-257.39999999999998</v>
      </c>
      <c r="G115" s="1054"/>
      <c r="H115" s="1054">
        <f>'Exhibit G State'!H113+'Exhibit G Federal'!H86</f>
        <v>-284.20000000000005</v>
      </c>
      <c r="J115" s="1228">
        <f>'Exhibit G State'!J113+'Exhibit G Federal'!J86</f>
        <v>-544.6</v>
      </c>
      <c r="L115" s="1054">
        <f>'Exhibit G State'!L113+'Exhibit G Federal'!L86</f>
        <v>-845.1999999999997</v>
      </c>
      <c r="N115" s="1054">
        <f>'Exhibit G State'!N113+'Exhibit G Federal'!N86</f>
        <v>-287.50000000000006</v>
      </c>
      <c r="P115" s="1054">
        <f>'Exhibit G State'!P113+'Exhibit G Federal'!P86</f>
        <v>-217.80000000000007</v>
      </c>
      <c r="R115" s="292">
        <f>'Exhibit G State'!R113+'Exhibit G Federal'!R86</f>
        <v>-48.600000000000044</v>
      </c>
      <c r="S115" s="1054"/>
      <c r="T115" s="292"/>
      <c r="U115" s="1055"/>
      <c r="V115" s="292"/>
      <c r="W115" s="1054"/>
      <c r="X115" s="292"/>
      <c r="Y115" s="1054"/>
      <c r="Z115" s="292"/>
      <c r="AA115" s="293"/>
      <c r="AB115" s="1001">
        <v>512.4</v>
      </c>
      <c r="AC115" s="1831"/>
      <c r="AD115" s="529"/>
      <c r="AE115" s="269">
        <f>ROUND(SUM(D115:AB115),1)</f>
        <v>-2175.4</v>
      </c>
      <c r="AF115" s="269"/>
      <c r="AG115" s="529"/>
      <c r="AH115" s="292">
        <f>'Exhibit G State'!AF113+'Exhibit G Federal'!AF86+444.6</f>
        <v>-1238.5999999999999</v>
      </c>
      <c r="AI115" s="525"/>
      <c r="AJ115" s="269"/>
      <c r="AK115" s="269">
        <f>ROUND(SUM(+AE115-AH115)*-1,1)</f>
        <v>936.8</v>
      </c>
      <c r="AL115" s="11"/>
      <c r="AM115" s="271">
        <f>ROUND(IF(AH115=0,0,AK115/ABS(AH115)),3)</f>
        <v>0.75600000000000001</v>
      </c>
      <c r="AN115" s="1529"/>
      <c r="AO115" s="411"/>
      <c r="AP115" s="411"/>
      <c r="AQ115" s="411"/>
      <c r="AR115" s="411"/>
      <c r="AS115" s="411"/>
      <c r="AT115" s="411"/>
      <c r="AU115" s="369"/>
      <c r="AV115" s="369"/>
      <c r="AW115" s="369"/>
      <c r="AX115" s="369"/>
    </row>
    <row r="116" spans="1:50" ht="15" customHeight="1">
      <c r="A116" s="296"/>
      <c r="B116" s="296"/>
      <c r="C116" s="296"/>
      <c r="D116" s="622"/>
      <c r="F116" s="622"/>
      <c r="H116" s="622"/>
      <c r="J116" s="622"/>
      <c r="L116" s="622"/>
      <c r="N116" s="622"/>
      <c r="P116" s="622"/>
      <c r="R116" s="622"/>
      <c r="T116" s="622"/>
      <c r="V116" s="622"/>
      <c r="X116" s="622"/>
      <c r="Z116" s="622"/>
      <c r="AA116" s="269"/>
      <c r="AB116" s="269"/>
      <c r="AC116" s="1574"/>
      <c r="AD116" s="529"/>
      <c r="AE116" s="622"/>
      <c r="AF116" s="269"/>
      <c r="AG116" s="529"/>
      <c r="AH116" s="622"/>
      <c r="AI116" s="525"/>
      <c r="AJ116" s="269"/>
      <c r="AK116" s="1052"/>
      <c r="AL116" s="369"/>
      <c r="AM116" s="1053"/>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-677.4</v>
      </c>
      <c r="N117" s="13">
        <f>ROUND(SUM(N114:N115),1)</f>
        <v>259.2</v>
      </c>
      <c r="P117" s="13">
        <f>ROUND(SUM(P114:P115),1)</f>
        <v>-79.900000000000006</v>
      </c>
      <c r="R117" s="13">
        <f>ROUND(SUM(R114:R115),1)</f>
        <v>374.1</v>
      </c>
      <c r="T117" s="13">
        <f>ROUND(SUM(T114:T115),1)</f>
        <v>0</v>
      </c>
      <c r="V117" s="13">
        <f>ROUND(SUM(V114:V115),1)</f>
        <v>0</v>
      </c>
      <c r="X117" s="13">
        <f>ROUND(SUM(X114:X115),1)</f>
        <v>0</v>
      </c>
      <c r="Z117" s="13">
        <f>ROUND(SUM(Z114:Z115),1)</f>
        <v>0</v>
      </c>
      <c r="AA117" s="13"/>
      <c r="AB117" s="362">
        <f>ROUND(SUM(AB114:AB115),1)</f>
        <v>0</v>
      </c>
      <c r="AC117" s="1575"/>
      <c r="AD117" s="14"/>
      <c r="AE117" s="13">
        <f>ROUND(SUM(AE114:AE115),1)</f>
        <v>545.4</v>
      </c>
      <c r="AF117" s="13"/>
      <c r="AG117" s="14"/>
      <c r="AH117" s="13">
        <f>ROUND(SUM(AH114:AH115),1)</f>
        <v>1397.2</v>
      </c>
      <c r="AI117" s="78"/>
      <c r="AJ117" s="13"/>
      <c r="AK117" s="362">
        <f>ROUND(SUM(AE117-AH117),1)</f>
        <v>-851.8</v>
      </c>
      <c r="AL117" s="40"/>
      <c r="AM117" s="373">
        <f>ROUND(SUM(+AK117/AH117),3)</f>
        <v>-0.61</v>
      </c>
      <c r="AN117" s="411"/>
      <c r="AO117" s="411"/>
      <c r="AP117" s="411"/>
      <c r="AQ117" s="411"/>
      <c r="AR117" s="411"/>
      <c r="AS117" s="411"/>
      <c r="AT117" s="411"/>
      <c r="AU117" s="369"/>
      <c r="AV117" s="369"/>
      <c r="AW117" s="369"/>
      <c r="AX117" s="369"/>
    </row>
    <row r="118" spans="1:50" ht="15" customHeight="1">
      <c r="A118" s="296"/>
      <c r="B118" s="296"/>
      <c r="C118" s="296"/>
      <c r="D118" s="622"/>
      <c r="F118" s="622"/>
      <c r="H118" s="622"/>
      <c r="J118" s="622"/>
      <c r="L118" s="622"/>
      <c r="N118" s="622"/>
      <c r="P118" s="622"/>
      <c r="R118" s="622"/>
      <c r="T118" s="622"/>
      <c r="V118" s="622"/>
      <c r="X118" s="622"/>
      <c r="Z118" s="622"/>
      <c r="AA118" s="269"/>
      <c r="AB118" s="269"/>
      <c r="AC118" s="1574"/>
      <c r="AD118" s="529"/>
      <c r="AE118" s="622"/>
      <c r="AF118" s="269"/>
      <c r="AG118" s="529"/>
      <c r="AH118" s="622"/>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74"/>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1461</v>
      </c>
      <c r="C120" s="296"/>
      <c r="D120" s="269"/>
      <c r="F120" s="269"/>
      <c r="H120" s="269"/>
      <c r="J120" s="269"/>
      <c r="L120" s="269"/>
      <c r="N120" s="269"/>
      <c r="P120" s="269"/>
      <c r="R120" s="269"/>
      <c r="T120" s="269"/>
      <c r="V120" s="269"/>
      <c r="X120" s="269"/>
      <c r="Z120" s="269"/>
      <c r="AA120" s="269"/>
      <c r="AB120" s="269"/>
      <c r="AC120" s="1574"/>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1160.4000000000001</v>
      </c>
      <c r="R121" s="13">
        <f>ROUND(SUM(R111+R117),1)</f>
        <v>1118.2</v>
      </c>
      <c r="T121" s="13">
        <f>ROUND(SUM(T111+T117),1)</f>
        <v>0</v>
      </c>
      <c r="V121" s="13">
        <f>ROUND(SUM(V111+V117),1)</f>
        <v>0</v>
      </c>
      <c r="X121" s="13">
        <f>ROUND(SUM(X111+X117),1)</f>
        <v>0</v>
      </c>
      <c r="Z121" s="13">
        <f>ROUND(SUM(Z111+Z117),1)</f>
        <v>0</v>
      </c>
      <c r="AA121" s="13"/>
      <c r="AB121" s="362">
        <f>ROUND(SUM(AB111+AB117),1)</f>
        <v>0</v>
      </c>
      <c r="AC121" s="1575"/>
      <c r="AD121" s="14"/>
      <c r="AE121" s="13">
        <f>ROUND(SUM(AE111+AE117),1)</f>
        <v>4239.8</v>
      </c>
      <c r="AF121" s="13"/>
      <c r="AG121" s="14"/>
      <c r="AH121" s="13">
        <f>ROUND(SUM(AH111+AH117),1)</f>
        <v>2208.6</v>
      </c>
      <c r="AI121" s="78"/>
      <c r="AJ121" s="13"/>
      <c r="AK121" s="362">
        <f>ROUND(SUM(AE121-AH121),1)</f>
        <v>2031.2</v>
      </c>
      <c r="AL121" s="60"/>
      <c r="AM121" s="618">
        <f>ROUND(SUM(AK121/ABS(AH121)),3)</f>
        <v>0.92</v>
      </c>
      <c r="AN121" s="411"/>
      <c r="AO121" s="411"/>
      <c r="AP121" s="411"/>
      <c r="AQ121" s="411"/>
      <c r="AR121" s="411"/>
      <c r="AS121" s="411"/>
      <c r="AT121" s="411"/>
      <c r="AU121" s="369"/>
      <c r="AV121" s="369"/>
      <c r="AW121" s="369"/>
      <c r="AX121" s="369"/>
    </row>
    <row r="122" spans="1:50" ht="15" customHeight="1">
      <c r="A122" s="296"/>
      <c r="B122" s="296"/>
      <c r="C122" s="296"/>
      <c r="D122" s="1004"/>
      <c r="F122" s="1004"/>
      <c r="H122" s="1004"/>
      <c r="J122" s="1004"/>
      <c r="L122" s="1004"/>
      <c r="N122" s="1004"/>
      <c r="P122" s="1004"/>
      <c r="R122" s="1004"/>
      <c r="T122" s="1004"/>
      <c r="V122" s="1004"/>
      <c r="X122" s="1004"/>
      <c r="Z122" s="1004"/>
      <c r="AA122" s="369"/>
      <c r="AB122" s="369"/>
      <c r="AC122" s="1576"/>
      <c r="AD122" s="1048"/>
      <c r="AE122" s="1004"/>
      <c r="AF122" s="369"/>
      <c r="AG122" s="1048"/>
      <c r="AH122" s="1004"/>
      <c r="AI122" s="1049"/>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21240.799999999999</v>
      </c>
      <c r="R123" s="20">
        <f>ROUND(SUM(R13+R121),1)</f>
        <v>22359</v>
      </c>
      <c r="T123" s="20">
        <f>ROUND(SUM(T13+T121),1)</f>
        <v>0</v>
      </c>
      <c r="V123" s="20">
        <f>ROUND(SUM(V13+V121),1)</f>
        <v>0</v>
      </c>
      <c r="X123" s="20">
        <f>ROUND(SUM(X13+X121),1)</f>
        <v>0</v>
      </c>
      <c r="Z123" s="20">
        <f>ROUND(SUM(Z13+Z121),1)</f>
        <v>0</v>
      </c>
      <c r="AA123" s="20"/>
      <c r="AB123" s="1573">
        <f>ROUND(SUM(AB13+AB121),1)</f>
        <v>0</v>
      </c>
      <c r="AC123" s="1577"/>
      <c r="AD123" s="21"/>
      <c r="AE123" s="20">
        <f>ROUND(SUM(AE13+AE121),1)</f>
        <v>22359</v>
      </c>
      <c r="AF123" s="20"/>
      <c r="AG123" s="21"/>
      <c r="AH123" s="73">
        <f>ROUND(SUM(AH13+AH121),1)</f>
        <v>23003.4</v>
      </c>
      <c r="AI123" s="76"/>
      <c r="AJ123" s="20"/>
      <c r="AK123" s="73">
        <f>ROUND(SUM(AE123-AH123),1)</f>
        <v>-644.4</v>
      </c>
      <c r="AL123" s="45"/>
      <c r="AM123" s="80">
        <f>ROUND(SUM(+AK123/AH123),3)</f>
        <v>-2.8000000000000001E-2</v>
      </c>
      <c r="AN123" s="411"/>
      <c r="AO123" s="411"/>
      <c r="AP123" s="411"/>
      <c r="AQ123" s="411"/>
      <c r="AR123" s="411"/>
      <c r="AS123" s="411"/>
      <c r="AT123" s="411"/>
      <c r="AU123" s="411"/>
      <c r="AV123" s="411"/>
      <c r="AW123" s="411"/>
      <c r="AX123" s="411"/>
    </row>
    <row r="124" spans="1:50" ht="15" customHeight="1" thickTop="1">
      <c r="A124" s="296"/>
      <c r="B124" s="296"/>
      <c r="C124" s="296"/>
      <c r="D124" s="1056"/>
      <c r="F124" s="1056"/>
      <c r="H124" s="1056"/>
      <c r="J124" s="1056"/>
      <c r="L124" s="1056"/>
      <c r="N124" s="1056"/>
      <c r="P124" s="1056"/>
      <c r="R124" s="1056"/>
      <c r="T124" s="1056"/>
      <c r="V124" s="1056"/>
      <c r="X124" s="1056"/>
      <c r="Z124" s="1056"/>
      <c r="AA124" s="411"/>
      <c r="AB124" s="411"/>
      <c r="AC124" s="411"/>
      <c r="AD124" s="411"/>
      <c r="AE124" s="1056"/>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21 AM25 AM34 AM65 AM71 AM73 AM9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5" workbookViewId="0"/>
  </sheetViews>
  <sheetFormatPr defaultColWidth="8.88671875" defaultRowHeight="11.25"/>
  <cols>
    <col min="1" max="1" width="35.109375" style="1370" customWidth="1"/>
    <col min="2" max="2" width="9.109375" style="1370" customWidth="1"/>
    <col min="3" max="3" width="5.5546875" style="1370" customWidth="1"/>
    <col min="4" max="4" width="12.88671875" style="1370" bestFit="1" customWidth="1"/>
    <col min="5" max="5" width="1.88671875" style="1370" customWidth="1"/>
    <col min="6" max="6" width="13.44140625" style="1370" customWidth="1"/>
    <col min="7" max="7" width="2.109375" style="1370" customWidth="1"/>
    <col min="8" max="8" width="12.88671875" style="1370" bestFit="1" customWidth="1"/>
    <col min="9" max="9" width="1.88671875" style="1370" customWidth="1"/>
    <col min="10" max="10" width="13.88671875" style="1370" customWidth="1"/>
    <col min="11" max="11" width="1.88671875" style="1370" customWidth="1"/>
    <col min="12" max="12" width="11.88671875" style="1370" customWidth="1"/>
    <col min="13" max="13" width="2" style="1370" customWidth="1"/>
    <col min="14" max="14" width="13.88671875" style="1370" customWidth="1"/>
    <col min="15" max="15" width="1.88671875" style="1370" customWidth="1"/>
    <col min="16" max="16" width="13" style="1370" customWidth="1"/>
    <col min="17" max="17" width="1.88671875" style="1370" customWidth="1"/>
    <col min="18" max="18" width="13.109375" style="1370" customWidth="1"/>
    <col min="19" max="21" width="1.109375" style="1370" customWidth="1"/>
    <col min="22" max="22" width="12.88671875" style="1370" bestFit="1" customWidth="1"/>
    <col min="23" max="23" width="1.88671875" style="1370" customWidth="1"/>
    <col min="24" max="24" width="13.88671875" style="1370" customWidth="1"/>
    <col min="25" max="27" width="1.109375" style="1370" customWidth="1"/>
    <col min="28" max="28" width="12.109375" style="1370" customWidth="1"/>
    <col min="29" max="29" width="1.88671875" style="1370" customWidth="1"/>
    <col min="30" max="30" width="13.88671875" style="1370" customWidth="1"/>
    <col min="31" max="32" width="1" style="1370" customWidth="1"/>
    <col min="33" max="33" width="13.109375" style="1370" bestFit="1" customWidth="1"/>
    <col min="34" max="34" width="1.88671875" style="1370" customWidth="1"/>
    <col min="35" max="35" width="12.88671875" style="1371" customWidth="1"/>
    <col min="36" max="36" width="19.109375" style="2016" customWidth="1"/>
    <col min="37" max="16384" width="8.88671875" style="1372"/>
  </cols>
  <sheetData>
    <row r="1" spans="1:38" ht="15">
      <c r="A1" s="1369" t="s">
        <v>97</v>
      </c>
    </row>
    <row r="2" spans="1:38" ht="15">
      <c r="A2" s="1369"/>
    </row>
    <row r="3" spans="1:38" ht="20.25">
      <c r="A3" s="1373" t="s">
        <v>98</v>
      </c>
      <c r="B3" s="1374"/>
      <c r="C3" s="1374"/>
      <c r="D3" s="1374"/>
      <c r="E3" s="1374"/>
      <c r="F3" s="1374"/>
      <c r="G3" s="1374"/>
      <c r="H3" s="1374"/>
      <c r="I3" s="1374"/>
      <c r="J3" s="1374"/>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375" t="s">
        <v>99</v>
      </c>
      <c r="AJ3" s="2017"/>
    </row>
    <row r="4" spans="1:38" ht="20.25" customHeight="1">
      <c r="A4" s="2077" t="s">
        <v>100</v>
      </c>
      <c r="B4" s="1210"/>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2017"/>
    </row>
    <row r="5" spans="1:38" ht="20.25">
      <c r="A5" s="2077" t="s">
        <v>101</v>
      </c>
      <c r="B5" s="2078"/>
      <c r="C5" s="2078"/>
      <c r="D5" s="2078"/>
      <c r="E5" s="2078"/>
      <c r="F5" s="2078"/>
      <c r="G5" s="2078"/>
      <c r="H5" s="2078"/>
      <c r="I5" s="2078"/>
      <c r="J5" s="2078"/>
      <c r="K5" s="2078"/>
      <c r="L5" s="2078"/>
      <c r="M5" s="2078"/>
      <c r="N5" s="2078"/>
      <c r="O5" s="2078"/>
      <c r="P5" s="2078"/>
      <c r="Q5" s="2078"/>
      <c r="R5" s="2078"/>
      <c r="S5" s="2078"/>
      <c r="T5" s="2078"/>
      <c r="U5" s="2078"/>
      <c r="V5" s="2078"/>
      <c r="W5" s="2078"/>
      <c r="X5" s="2078"/>
      <c r="Y5" s="2078"/>
      <c r="Z5" s="2078"/>
      <c r="AA5" s="2078"/>
      <c r="AB5" s="2078"/>
      <c r="AC5" s="2078"/>
      <c r="AD5" s="2078"/>
      <c r="AE5" s="1210"/>
      <c r="AF5" s="1210"/>
      <c r="AG5" s="1210"/>
      <c r="AH5" s="1210"/>
      <c r="AI5" s="1210"/>
      <c r="AJ5" s="2017"/>
    </row>
    <row r="6" spans="1:38" ht="21" customHeight="1">
      <c r="A6" s="2077" t="s">
        <v>102</v>
      </c>
      <c r="B6" s="1210"/>
      <c r="C6" s="1210"/>
      <c r="D6" s="1210"/>
      <c r="E6" s="1210"/>
      <c r="F6" s="1210"/>
      <c r="G6" s="1210"/>
      <c r="H6" s="1210"/>
      <c r="I6" s="1210"/>
      <c r="J6" s="1210"/>
      <c r="K6" s="1210"/>
      <c r="L6" s="1210"/>
      <c r="M6" s="1210"/>
      <c r="N6" s="1210"/>
      <c r="O6" s="1210"/>
      <c r="P6" s="1210"/>
      <c r="Q6" s="1210"/>
      <c r="R6" s="1210"/>
      <c r="S6" s="1210"/>
      <c r="T6" s="1210"/>
      <c r="U6" s="1210"/>
      <c r="V6" s="1210"/>
      <c r="W6" s="1210"/>
      <c r="X6" s="1210"/>
      <c r="Y6" s="1210"/>
      <c r="Z6" s="1210"/>
      <c r="AA6" s="1210"/>
      <c r="AB6" s="1210"/>
      <c r="AC6" s="1210"/>
      <c r="AD6" s="1210"/>
      <c r="AE6" s="1210"/>
      <c r="AF6" s="1210"/>
      <c r="AG6" s="1210"/>
      <c r="AH6" s="1210"/>
      <c r="AI6" s="1210"/>
      <c r="AJ6" s="2017"/>
    </row>
    <row r="7" spans="1:38" ht="15.75">
      <c r="A7" s="1376"/>
      <c r="B7" s="1376"/>
      <c r="C7" s="1376"/>
      <c r="D7" s="1376"/>
      <c r="E7" s="1376"/>
      <c r="F7" s="1376"/>
      <c r="G7" s="1376"/>
      <c r="H7" s="1377"/>
      <c r="I7" s="1377"/>
      <c r="J7" s="1377"/>
      <c r="K7" s="1377"/>
      <c r="L7" s="1377"/>
      <c r="M7" s="1376"/>
      <c r="N7" s="1377"/>
      <c r="O7" s="1377"/>
      <c r="P7" s="1377"/>
      <c r="Q7" s="1377"/>
      <c r="R7" s="1377"/>
      <c r="S7" s="1376"/>
      <c r="T7" s="1376"/>
      <c r="U7" s="1376"/>
      <c r="V7" s="1376"/>
      <c r="W7" s="1376"/>
      <c r="X7" s="1376"/>
      <c r="Y7" s="1376"/>
      <c r="Z7" s="1376"/>
      <c r="AA7" s="1376"/>
      <c r="AB7" s="1376"/>
      <c r="AC7" s="1376"/>
      <c r="AD7" s="1378"/>
      <c r="AE7" s="1378"/>
      <c r="AF7" s="1378"/>
      <c r="AG7" s="1378"/>
      <c r="AJ7" s="2017"/>
      <c r="AK7" s="289"/>
      <c r="AL7" s="289"/>
    </row>
    <row r="8" spans="1:38" ht="16.350000000000001" customHeight="1">
      <c r="A8" s="1377"/>
      <c r="B8" s="1376"/>
      <c r="C8" s="1376"/>
      <c r="D8" s="1377"/>
      <c r="E8" s="1376"/>
      <c r="F8" s="1376"/>
      <c r="G8" s="1376"/>
      <c r="H8" s="1377"/>
      <c r="I8" s="1377"/>
      <c r="J8" s="1377"/>
      <c r="K8" s="1377"/>
      <c r="L8" s="1377"/>
      <c r="M8" s="1376"/>
      <c r="N8" s="1377"/>
      <c r="O8" s="1377"/>
      <c r="P8" s="1377"/>
      <c r="Q8" s="1377"/>
      <c r="R8" s="1377"/>
      <c r="S8" s="1376"/>
      <c r="T8" s="1376"/>
      <c r="U8" s="1376"/>
      <c r="V8" s="1376"/>
      <c r="W8" s="1376"/>
      <c r="X8" s="1376" t="s">
        <v>103</v>
      </c>
      <c r="Y8" s="1376"/>
      <c r="Z8" s="1376"/>
      <c r="AA8" s="1376"/>
      <c r="AB8" s="1376"/>
      <c r="AC8" s="1376"/>
      <c r="AD8" s="1379"/>
      <c r="AE8" s="1379"/>
      <c r="AF8" s="1380"/>
      <c r="AG8" s="1380"/>
      <c r="AI8" s="1369"/>
      <c r="AJ8" s="2017"/>
      <c r="AK8" s="289"/>
      <c r="AL8" s="289"/>
    </row>
    <row r="9" spans="1:38" ht="16.350000000000001" customHeight="1">
      <c r="A9" s="1376"/>
      <c r="B9" s="1376"/>
      <c r="C9" s="1376"/>
      <c r="D9" s="1376"/>
      <c r="E9" s="1376"/>
      <c r="F9" s="1376"/>
      <c r="G9" s="1376"/>
      <c r="H9" s="1377"/>
      <c r="I9" s="1377"/>
      <c r="J9" s="1377"/>
      <c r="K9" s="1377"/>
      <c r="L9" s="1377"/>
      <c r="M9" s="1376"/>
      <c r="N9" s="1377"/>
      <c r="O9" s="1377"/>
      <c r="P9" s="1377"/>
      <c r="Q9" s="1377"/>
      <c r="R9" s="1377"/>
      <c r="S9" s="1376"/>
      <c r="T9" s="1376"/>
      <c r="U9" s="1376"/>
      <c r="V9" s="1376"/>
      <c r="W9" s="1376"/>
      <c r="X9" s="1376"/>
      <c r="Y9" s="1376"/>
      <c r="Z9" s="1376"/>
      <c r="AA9" s="1376"/>
      <c r="AB9" s="1376"/>
      <c r="AC9" s="1376"/>
      <c r="AD9" s="1381"/>
      <c r="AE9" s="1381"/>
      <c r="AF9" s="1381"/>
      <c r="AG9" s="1381"/>
      <c r="AI9" s="1369"/>
      <c r="AJ9" s="2017"/>
      <c r="AK9" s="289"/>
      <c r="AL9" s="289"/>
    </row>
    <row r="10" spans="1:38" ht="16.350000000000001" customHeight="1">
      <c r="A10" s="1382"/>
      <c r="B10" s="1382"/>
      <c r="C10" s="1382"/>
      <c r="D10" s="1383" t="s">
        <v>104</v>
      </c>
      <c r="E10" s="1383"/>
      <c r="F10" s="1383"/>
      <c r="G10" s="1381"/>
      <c r="H10" s="1383" t="s">
        <v>105</v>
      </c>
      <c r="I10" s="1383"/>
      <c r="J10" s="1383"/>
      <c r="K10" s="1381"/>
      <c r="L10" s="1383" t="s">
        <v>106</v>
      </c>
      <c r="M10" s="1383"/>
      <c r="N10" s="1383"/>
      <c r="O10" s="1381"/>
      <c r="P10" s="1383" t="s">
        <v>107</v>
      </c>
      <c r="Q10" s="1383"/>
      <c r="R10" s="1383"/>
      <c r="S10" s="1381"/>
      <c r="T10" s="1381"/>
      <c r="U10" s="1381"/>
      <c r="V10" s="2086" t="s">
        <v>108</v>
      </c>
      <c r="W10" s="2087"/>
      <c r="X10" s="2087"/>
      <c r="Y10" s="2087"/>
      <c r="Z10" s="2087"/>
      <c r="AA10" s="2087"/>
      <c r="AB10" s="2087"/>
      <c r="AC10" s="2087"/>
      <c r="AD10" s="2087"/>
      <c r="AE10" s="2087"/>
      <c r="AF10" s="2087"/>
      <c r="AG10" s="2087"/>
      <c r="AH10" s="2087"/>
      <c r="AI10" s="2087"/>
      <c r="AJ10" s="2017"/>
      <c r="AK10" s="289"/>
      <c r="AL10" s="289"/>
    </row>
    <row r="11" spans="1:38" ht="16.350000000000001" customHeight="1">
      <c r="A11" s="1382"/>
      <c r="B11" s="1382"/>
      <c r="C11" s="1382"/>
      <c r="D11" s="1380" t="s">
        <v>109</v>
      </c>
      <c r="E11" s="1380"/>
      <c r="F11" s="1384" t="s">
        <v>1563</v>
      </c>
      <c r="G11" s="1380"/>
      <c r="H11" s="1380" t="s">
        <v>109</v>
      </c>
      <c r="I11" s="1380"/>
      <c r="J11" s="1380" t="str">
        <f>F11</f>
        <v>8 MOS. ENDED</v>
      </c>
      <c r="K11" s="1380"/>
      <c r="L11" s="1380" t="s">
        <v>109</v>
      </c>
      <c r="M11" s="1380"/>
      <c r="N11" s="1380" t="str">
        <f>F11</f>
        <v>8 MOS. ENDED</v>
      </c>
      <c r="O11" s="1380"/>
      <c r="P11" s="1380" t="s">
        <v>109</v>
      </c>
      <c r="Q11" s="1380"/>
      <c r="R11" s="1380" t="str">
        <f>J11</f>
        <v>8 MOS. ENDED</v>
      </c>
      <c r="S11" s="1380"/>
      <c r="T11" s="1380"/>
      <c r="U11" s="1385"/>
      <c r="V11" s="1380" t="s">
        <v>109</v>
      </c>
      <c r="W11" s="1380"/>
      <c r="X11" s="1380" t="str">
        <f>F11</f>
        <v>8 MOS. ENDED</v>
      </c>
      <c r="Y11" s="1380"/>
      <c r="Z11" s="1380"/>
      <c r="AA11" s="1380"/>
      <c r="AB11" s="1380" t="s">
        <v>109</v>
      </c>
      <c r="AC11" s="1380"/>
      <c r="AD11" s="1380" t="str">
        <f>F11</f>
        <v>8 MOS. ENDED</v>
      </c>
      <c r="AE11" s="1380"/>
      <c r="AF11" s="1380"/>
      <c r="AG11" s="1380" t="s">
        <v>110</v>
      </c>
      <c r="AH11" s="1369"/>
      <c r="AI11" s="1380" t="s">
        <v>111</v>
      </c>
      <c r="AJ11" s="2017"/>
      <c r="AK11" s="289"/>
      <c r="AL11" s="289"/>
    </row>
    <row r="12" spans="1:38" ht="16.350000000000001" customHeight="1">
      <c r="A12" s="1382"/>
      <c r="B12" s="1382"/>
      <c r="C12" s="1382"/>
      <c r="D12" s="1857" t="s">
        <v>1559</v>
      </c>
      <c r="E12" s="1380"/>
      <c r="F12" s="1860" t="s">
        <v>1560</v>
      </c>
      <c r="G12" s="1380"/>
      <c r="H12" s="1387" t="str">
        <f>D12</f>
        <v>NOV. 2025</v>
      </c>
      <c r="I12" s="1380"/>
      <c r="J12" s="1387" t="str">
        <f>F12</f>
        <v>NOV. 30, 2025</v>
      </c>
      <c r="K12" s="1380"/>
      <c r="L12" s="1387" t="str">
        <f>D12</f>
        <v>NOV. 2025</v>
      </c>
      <c r="M12" s="1380"/>
      <c r="N12" s="1387" t="str">
        <f>F12</f>
        <v>NOV. 30, 2025</v>
      </c>
      <c r="O12" s="1380"/>
      <c r="P12" s="1387" t="str">
        <f>D12</f>
        <v>NOV. 2025</v>
      </c>
      <c r="Q12" s="1380"/>
      <c r="R12" s="1387" t="str">
        <f>J12</f>
        <v>NOV. 30, 2025</v>
      </c>
      <c r="S12" s="1380"/>
      <c r="T12" s="1380"/>
      <c r="U12" s="1385"/>
      <c r="V12" s="1387" t="str">
        <f>D12</f>
        <v>NOV. 2025</v>
      </c>
      <c r="W12" s="1380"/>
      <c r="X12" s="1387" t="str">
        <f>F12</f>
        <v>NOV. 30, 2025</v>
      </c>
      <c r="Y12" s="1380"/>
      <c r="Z12" s="1380"/>
      <c r="AA12" s="1380"/>
      <c r="AB12" s="1386" t="str">
        <f>_xlfn.CONCAT(_xlfn.TEXTBEFORE(D12," ")," ",RIGHT(D12,4)-1)</f>
        <v>NOV. 2024</v>
      </c>
      <c r="AC12" s="1380"/>
      <c r="AD12" s="2013" t="str">
        <f>UPPER(TEXT(DATE(YEAR(_xlfn.TEXTAFTER('Exh D Governmental  '!A6," ",4))-1,MONTH(_xlfn.TEXTAFTER('Exh D Governmental  '!A6," ",4)),DAY(_xlfn.TEXTAFTER('Exh D Governmental  '!A6," ",4))),"MMM. dd, yyyy"))</f>
        <v>NOV. 30, 2024</v>
      </c>
      <c r="AE12" s="1384"/>
      <c r="AF12" s="1384"/>
      <c r="AG12" s="1387" t="s">
        <v>112</v>
      </c>
      <c r="AH12" s="1369"/>
      <c r="AI12" s="1386" t="s">
        <v>113</v>
      </c>
      <c r="AJ12" s="2017"/>
      <c r="AK12" s="289"/>
      <c r="AL12" s="289"/>
    </row>
    <row r="13" spans="1:38" ht="16.350000000000001" customHeight="1">
      <c r="A13" s="1381" t="s">
        <v>114</v>
      </c>
      <c r="B13" s="1382"/>
      <c r="C13" s="1382"/>
      <c r="D13" s="1382" t="s">
        <v>103</v>
      </c>
      <c r="E13" s="1382"/>
      <c r="F13" s="1382"/>
      <c r="G13" s="1382"/>
      <c r="H13" s="1382" t="s">
        <v>103</v>
      </c>
      <c r="I13" s="1382"/>
      <c r="J13" s="1382"/>
      <c r="K13" s="1382"/>
      <c r="L13" s="1382" t="s">
        <v>103</v>
      </c>
      <c r="M13" s="1382"/>
      <c r="N13" s="1382"/>
      <c r="O13" s="1382"/>
      <c r="P13" s="1382" t="s">
        <v>103</v>
      </c>
      <c r="Q13" s="1382"/>
      <c r="R13" s="1382"/>
      <c r="S13" s="1388"/>
      <c r="T13" s="1388"/>
      <c r="U13" s="1382"/>
      <c r="V13" s="1382"/>
      <c r="W13" s="1382"/>
      <c r="X13" s="1382"/>
      <c r="Y13" s="1388"/>
      <c r="Z13" s="1389"/>
      <c r="AA13" s="1382"/>
      <c r="AB13" s="1382"/>
      <c r="AC13" s="1382"/>
      <c r="AD13" s="1382"/>
      <c r="AE13" s="1382"/>
      <c r="AF13" s="1390"/>
      <c r="AG13" s="1382"/>
      <c r="AI13" s="1369"/>
      <c r="AJ13" s="2017"/>
      <c r="AK13" s="289"/>
      <c r="AL13" s="289"/>
    </row>
    <row r="14" spans="1:38" ht="18" customHeight="1">
      <c r="A14" s="1382" t="s">
        <v>115</v>
      </c>
      <c r="B14" s="1391" t="s">
        <v>103</v>
      </c>
      <c r="C14" s="1382"/>
      <c r="D14" s="1392">
        <f>'Exhibit F'!R27</f>
        <v>1348.1</v>
      </c>
      <c r="E14" s="1393" t="s">
        <v>103</v>
      </c>
      <c r="F14" s="1392">
        <f>'Exhibit F'!AC27</f>
        <v>19115.599999999999</v>
      </c>
      <c r="G14" s="1393"/>
      <c r="H14" s="1392">
        <f>'Exhibit G'!R17</f>
        <v>0</v>
      </c>
      <c r="I14" s="2029"/>
      <c r="J14" s="1392">
        <f>'Exhibit G'!AE17</f>
        <v>0</v>
      </c>
      <c r="K14" s="1393"/>
      <c r="L14" s="2030">
        <f>'Exhibit H'!P17</f>
        <v>1348</v>
      </c>
      <c r="M14" s="1392"/>
      <c r="N14" s="1392">
        <f>'Exhibit H'!AA17</f>
        <v>19115.599999999999</v>
      </c>
      <c r="O14" s="1392"/>
      <c r="P14" s="2031">
        <v>0</v>
      </c>
      <c r="Q14" s="1392"/>
      <c r="R14" s="2031">
        <v>0</v>
      </c>
      <c r="S14" s="2032"/>
      <c r="T14" s="2032"/>
      <c r="U14" s="1392"/>
      <c r="V14" s="1392">
        <f>ROUND(SUM(D14)+SUM(H14)+SUM(L14)+SUM(P14),1)</f>
        <v>2696.1</v>
      </c>
      <c r="W14" s="1392" t="s">
        <v>103</v>
      </c>
      <c r="X14" s="1392">
        <f>ROUND(SUM(F14)+SUM(J14)+SUM(N14)+SUM(R14),1)</f>
        <v>38231.199999999997</v>
      </c>
      <c r="Y14" s="1394"/>
      <c r="Z14" s="1395"/>
      <c r="AA14" s="1393"/>
      <c r="AB14" s="1992">
        <v>3660.6</v>
      </c>
      <c r="AC14" s="1393"/>
      <c r="AD14" s="1393">
        <f>'Exhibit F'!AF27+'Exhibit G'!AH17+'Exhibit H'!AD17</f>
        <v>35329.199999999997</v>
      </c>
      <c r="AE14" s="1393"/>
      <c r="AF14" s="1396"/>
      <c r="AG14" s="1393">
        <f t="shared" ref="AG14:AG19" si="0">ROUND(SUM(X14-AD14),1)</f>
        <v>2902</v>
      </c>
      <c r="AH14" s="1397"/>
      <c r="AI14" s="1210">
        <f t="shared" ref="AI14:AI19" si="1">ROUND(SUM((+X14-AD14)/ABS(AD14)),3)</f>
        <v>8.2000000000000003E-2</v>
      </c>
      <c r="AJ14" s="2018"/>
      <c r="AK14" s="289"/>
      <c r="AL14" s="289"/>
    </row>
    <row r="15" spans="1:38" ht="18" customHeight="1">
      <c r="A15" s="1382" t="s">
        <v>116</v>
      </c>
      <c r="B15" s="1398" t="s">
        <v>103</v>
      </c>
      <c r="C15" s="1382"/>
      <c r="D15" s="1361">
        <f>'Exhibit F'!R38</f>
        <v>853.4</v>
      </c>
      <c r="E15" s="1361"/>
      <c r="F15" s="1361">
        <f>'Exhibit F'!AC38</f>
        <v>7044.3</v>
      </c>
      <c r="G15" s="1361"/>
      <c r="H15" s="1361">
        <f>'Exhibit G'!R29</f>
        <v>168.3</v>
      </c>
      <c r="I15" s="1361"/>
      <c r="J15" s="1361">
        <f>'Exhibit G'!AE29</f>
        <v>1546.8</v>
      </c>
      <c r="K15" s="1361"/>
      <c r="L15" s="1211">
        <f>'Exhibit H'!P21</f>
        <v>813.1</v>
      </c>
      <c r="M15" s="1361"/>
      <c r="N15" s="1361">
        <f>'Exhibit H'!AA21</f>
        <v>6671.7</v>
      </c>
      <c r="O15" s="1361"/>
      <c r="P15" s="1211">
        <f>'Exhibit I'!S21</f>
        <v>39.299999999999997</v>
      </c>
      <c r="Q15" s="1361"/>
      <c r="R15" s="1211">
        <f>'Exhibit I'!AF21</f>
        <v>406.9</v>
      </c>
      <c r="S15" s="1399"/>
      <c r="T15" s="1399"/>
      <c r="U15" s="1361"/>
      <c r="V15" s="1361">
        <f>ROUND(SUM(D15)+SUM(H15)+SUM(L15)+SUM(P15),1)</f>
        <v>1874.1</v>
      </c>
      <c r="W15" s="1361" t="s">
        <v>103</v>
      </c>
      <c r="X15" s="1361">
        <f t="shared" ref="X15:X19" si="2">ROUND(SUM(F15)+SUM(J15)+SUM(N15)+SUM(R15),1)</f>
        <v>15669.7</v>
      </c>
      <c r="Y15" s="1399"/>
      <c r="Z15" s="1400"/>
      <c r="AA15" s="1361"/>
      <c r="AB15" s="1212">
        <v>1746.8</v>
      </c>
      <c r="AC15" s="1361"/>
      <c r="AD15" s="1327">
        <f>'Exhibit F'!AF38+'Exhibit G'!AH29+'Exhibit H'!AD21+'Exhibit I'!AI21</f>
        <v>14804.2</v>
      </c>
      <c r="AE15" s="1361"/>
      <c r="AF15" s="1401"/>
      <c r="AG15" s="1361">
        <f t="shared" si="0"/>
        <v>865.5</v>
      </c>
      <c r="AI15" s="1210">
        <f t="shared" si="1"/>
        <v>5.8000000000000003E-2</v>
      </c>
      <c r="AJ15" s="2018"/>
      <c r="AK15" s="289"/>
      <c r="AL15" s="289"/>
    </row>
    <row r="16" spans="1:38" ht="18" customHeight="1">
      <c r="A16" s="1382" t="s">
        <v>117</v>
      </c>
      <c r="B16" s="1402"/>
      <c r="C16" s="1382"/>
      <c r="D16" s="1361">
        <f>'Exhibit F'!R46</f>
        <v>-3.7</v>
      </c>
      <c r="E16" s="1361"/>
      <c r="F16" s="1361">
        <f>'Exhibit F'!AC46</f>
        <v>7634.4</v>
      </c>
      <c r="G16" s="1361"/>
      <c r="H16" s="1361">
        <f>'Exhibit G'!R36</f>
        <v>72.5</v>
      </c>
      <c r="I16" s="1361"/>
      <c r="J16" s="1361">
        <f>'Exhibit G'!AE36</f>
        <v>1422.5</v>
      </c>
      <c r="K16" s="1361"/>
      <c r="L16" s="1211">
        <f>'Exhibit H'!P24</f>
        <v>-11.3</v>
      </c>
      <c r="M16" s="1361"/>
      <c r="N16" s="1211">
        <f>'Exhibit H'!AA24</f>
        <v>3084.7</v>
      </c>
      <c r="O16" s="1361"/>
      <c r="P16" s="1211">
        <f>'Exhibit I'!S26</f>
        <v>44.4</v>
      </c>
      <c r="Q16" s="1361"/>
      <c r="R16" s="1211">
        <f>'Exhibit I'!AF26</f>
        <v>394</v>
      </c>
      <c r="S16" s="1399"/>
      <c r="T16" s="1399"/>
      <c r="U16" s="1361"/>
      <c r="V16" s="1361">
        <f t="shared" ref="V16:V17" si="3">ROUND(SUM(D16)+SUM(H16)+SUM(L16)+SUM(P16),1)</f>
        <v>101.9</v>
      </c>
      <c r="W16" s="1361" t="s">
        <v>103</v>
      </c>
      <c r="X16" s="1361">
        <f t="shared" si="2"/>
        <v>12535.6</v>
      </c>
      <c r="Y16" s="1399"/>
      <c r="Z16" s="1400"/>
      <c r="AA16" s="1361"/>
      <c r="AB16" s="1212">
        <v>200.9</v>
      </c>
      <c r="AC16" s="1361"/>
      <c r="AD16" s="1382">
        <f>'Exhibit F'!AF46+'Exhibit G'!AH36+'Exhibit I'!AI26+'Exhibit H'!AD23</f>
        <v>12502.7</v>
      </c>
      <c r="AE16" s="1361"/>
      <c r="AF16" s="1401"/>
      <c r="AG16" s="1361">
        <f t="shared" si="0"/>
        <v>32.9</v>
      </c>
      <c r="AI16" s="1210">
        <f t="shared" si="1"/>
        <v>3.0000000000000001E-3</v>
      </c>
      <c r="AJ16" s="2018"/>
      <c r="AK16" s="289"/>
      <c r="AL16" s="289"/>
    </row>
    <row r="17" spans="1:38" ht="18" customHeight="1">
      <c r="A17" s="1382" t="s">
        <v>118</v>
      </c>
      <c r="B17" s="1398" t="s">
        <v>103</v>
      </c>
      <c r="C17" s="1382"/>
      <c r="D17" s="1361">
        <f>'Exhibit F'!R54</f>
        <v>133.6</v>
      </c>
      <c r="E17" s="1361"/>
      <c r="F17" s="1361">
        <f>'Exhibit F'!AC54</f>
        <v>1097.2</v>
      </c>
      <c r="G17" s="1361"/>
      <c r="H17" s="1361">
        <v>0</v>
      </c>
      <c r="I17" s="1361"/>
      <c r="J17" s="1361">
        <v>0</v>
      </c>
      <c r="K17" s="1361"/>
      <c r="L17" s="1211">
        <f>'Exhibit H'!P28</f>
        <v>95</v>
      </c>
      <c r="M17" s="1361"/>
      <c r="N17" s="1361">
        <f>'Exhibit H'!AA28</f>
        <v>806</v>
      </c>
      <c r="O17" s="1361"/>
      <c r="P17" s="1211">
        <f>'Exhibit I'!S29</f>
        <v>25.7</v>
      </c>
      <c r="Q17" s="1361"/>
      <c r="R17" s="1211">
        <f>'Exhibit I'!AF29</f>
        <v>154.4</v>
      </c>
      <c r="S17" s="1399"/>
      <c r="T17" s="1399"/>
      <c r="U17" s="1361"/>
      <c r="V17" s="1361">
        <f t="shared" si="3"/>
        <v>254.3</v>
      </c>
      <c r="W17" s="1361" t="s">
        <v>103</v>
      </c>
      <c r="X17" s="1361">
        <f t="shared" si="2"/>
        <v>2057.6</v>
      </c>
      <c r="Y17" s="1399"/>
      <c r="Z17" s="1400"/>
      <c r="AA17" s="1361"/>
      <c r="AB17" s="1212">
        <v>215.6</v>
      </c>
      <c r="AC17" s="1361"/>
      <c r="AD17" s="1361">
        <f>'Exhibit F'!AF54+'Exhibit H'!AD28+'Exhibit I'!AI29</f>
        <v>1761.9</v>
      </c>
      <c r="AE17" s="1361"/>
      <c r="AF17" s="1401"/>
      <c r="AG17" s="1361">
        <f t="shared" si="0"/>
        <v>295.7</v>
      </c>
      <c r="AI17" s="1210">
        <f t="shared" si="1"/>
        <v>0.16800000000000001</v>
      </c>
      <c r="AJ17" s="2018"/>
      <c r="AK17" s="289"/>
      <c r="AL17" s="289"/>
    </row>
    <row r="18" spans="1:38" ht="18" customHeight="1">
      <c r="A18" s="1382" t="s">
        <v>119</v>
      </c>
      <c r="B18" s="1398" t="s">
        <v>103</v>
      </c>
      <c r="C18" s="1382"/>
      <c r="D18" s="1361">
        <f>'Exhibit F'!R97</f>
        <v>396</v>
      </c>
      <c r="E18" s="1361"/>
      <c r="F18" s="1361">
        <f>'Exhibit F'!AC97</f>
        <v>3128.8</v>
      </c>
      <c r="G18" s="1361"/>
      <c r="H18" s="1361">
        <f>'Exhibit G'!R81</f>
        <v>3052.2</v>
      </c>
      <c r="I18" s="1361"/>
      <c r="J18" s="1361">
        <f>'Exhibit G'!AE81</f>
        <v>18344.7</v>
      </c>
      <c r="K18" s="1361"/>
      <c r="L18" s="1211">
        <f>'Exhibit H'!P51</f>
        <v>50.6</v>
      </c>
      <c r="M18" s="1361"/>
      <c r="N18" s="1211">
        <f>'Exhibit H'!AA51</f>
        <v>429</v>
      </c>
      <c r="O18" s="1361"/>
      <c r="P18" s="1211">
        <f>'Exhibit I'!S60</f>
        <v>94.8</v>
      </c>
      <c r="Q18" s="1361"/>
      <c r="R18" s="1361">
        <f>'Exhibit I'!AF60</f>
        <v>2518.8000000000002</v>
      </c>
      <c r="S18" s="1399"/>
      <c r="T18" s="1399"/>
      <c r="U18" s="1361"/>
      <c r="V18" s="1361">
        <f>ROUND(SUM(D18)+SUM(H18)+SUM(L18)+SUM(P18),1)</f>
        <v>3593.6</v>
      </c>
      <c r="W18" s="1361" t="s">
        <v>103</v>
      </c>
      <c r="X18" s="1361">
        <f>ROUND(SUM(F18)+SUM(J18)+SUM(N18)+SUM(R18),1)</f>
        <v>24421.3</v>
      </c>
      <c r="Y18" s="1399"/>
      <c r="Z18" s="1400"/>
      <c r="AA18" s="1361"/>
      <c r="AB18" s="1212">
        <v>2315.8000000000002</v>
      </c>
      <c r="AC18" s="1361"/>
      <c r="AD18" s="1361">
        <f>'Exhibit F'!AF97+'Exhibit G'!AH81+'Exhibit H'!AD51+'Exhibit I'!AI60</f>
        <v>22246.7</v>
      </c>
      <c r="AE18" s="1361"/>
      <c r="AF18" s="1401"/>
      <c r="AG18" s="1361">
        <f t="shared" si="0"/>
        <v>2174.6</v>
      </c>
      <c r="AI18" s="1210">
        <f t="shared" si="1"/>
        <v>9.8000000000000004E-2</v>
      </c>
      <c r="AJ18" s="2018"/>
      <c r="AK18" s="289"/>
      <c r="AL18" s="289"/>
    </row>
    <row r="19" spans="1:38" ht="18" customHeight="1">
      <c r="A19" s="1382" t="s">
        <v>120</v>
      </c>
      <c r="B19" s="1391" t="s">
        <v>103</v>
      </c>
      <c r="C19" s="1382"/>
      <c r="D19" s="1361">
        <f>'Exhibit F'!R99</f>
        <v>0.70000000000000007</v>
      </c>
      <c r="E19" s="1361"/>
      <c r="F19" s="1361">
        <f>'Exhibit F'!AC99</f>
        <v>1.1000000000000001</v>
      </c>
      <c r="G19" s="1361"/>
      <c r="H19" s="1361">
        <f>'Exhibit G'!R83</f>
        <v>7678.9999999999945</v>
      </c>
      <c r="I19" s="1361"/>
      <c r="J19" s="1361">
        <f>'Exhibit G'!AE83</f>
        <v>66099.899999999994</v>
      </c>
      <c r="K19" s="1361"/>
      <c r="L19" s="1211">
        <f>'Exhibit H'!P53</f>
        <v>0</v>
      </c>
      <c r="M19" s="1361"/>
      <c r="N19" s="1361">
        <f>'Exhibit H'!AA53</f>
        <v>56.9</v>
      </c>
      <c r="O19" s="1361"/>
      <c r="P19" s="1211">
        <f>'Exhibit I'!S62</f>
        <v>211.5999999999998</v>
      </c>
      <c r="Q19" s="1361"/>
      <c r="R19" s="1361">
        <f>'Exhibit I'!AF62</f>
        <v>1721.1</v>
      </c>
      <c r="S19" s="1399"/>
      <c r="T19" s="1399"/>
      <c r="U19" s="1361"/>
      <c r="V19" s="1361">
        <f>ROUND(SUM(D19)+SUM(H19)+SUM(L19)+SUM(P19),1)</f>
        <v>7891.3</v>
      </c>
      <c r="W19" s="1361" t="s">
        <v>103</v>
      </c>
      <c r="X19" s="1361">
        <f t="shared" si="2"/>
        <v>67879</v>
      </c>
      <c r="Y19" s="1399"/>
      <c r="Z19" s="1400"/>
      <c r="AA19" s="1361"/>
      <c r="AB19" s="1212">
        <v>8324.7999999999993</v>
      </c>
      <c r="AC19" s="1361"/>
      <c r="AD19" s="1361">
        <f>'Exhibit F'!AF99+'Exhibit G'!AH83+'Exhibit H'!AD53+'Exhibit I'!AI62</f>
        <v>64903.999999999993</v>
      </c>
      <c r="AE19" s="1361"/>
      <c r="AF19" s="1401"/>
      <c r="AG19" s="1361">
        <f t="shared" si="0"/>
        <v>2975</v>
      </c>
      <c r="AI19" s="1210">
        <f t="shared" si="1"/>
        <v>4.5999999999999999E-2</v>
      </c>
      <c r="AJ19" s="2018"/>
      <c r="AK19" s="289"/>
      <c r="AL19" s="289"/>
    </row>
    <row r="20" spans="1:38" ht="18" customHeight="1">
      <c r="A20" s="1381" t="s">
        <v>121</v>
      </c>
      <c r="B20" s="1382"/>
      <c r="C20" s="1382"/>
      <c r="D20" s="1403">
        <f>ROUND(SUM(D14:D19),1)</f>
        <v>2728.1</v>
      </c>
      <c r="E20" s="1404"/>
      <c r="F20" s="1403">
        <f>ROUND(SUM(F14:F19),1)</f>
        <v>38021.4</v>
      </c>
      <c r="G20" s="1405"/>
      <c r="H20" s="1406">
        <f>ROUND(SUM(H14:H19),1)</f>
        <v>10972</v>
      </c>
      <c r="I20" s="1405"/>
      <c r="J20" s="1406">
        <f>ROUND(SUM(J14:J19),1)</f>
        <v>87413.9</v>
      </c>
      <c r="K20" s="1405"/>
      <c r="L20" s="1403">
        <f>ROUND(SUM(L14:L19),1)</f>
        <v>2295.4</v>
      </c>
      <c r="M20" s="1405"/>
      <c r="N20" s="1406">
        <f>ROUND(SUM(N14:N19),1)</f>
        <v>30163.9</v>
      </c>
      <c r="O20" s="1405"/>
      <c r="P20" s="1406">
        <f>ROUND(SUM(P14:P19),1)</f>
        <v>415.8</v>
      </c>
      <c r="Q20" s="1405"/>
      <c r="R20" s="1406">
        <f>ROUND(SUM(R14:R19),1)</f>
        <v>5195.2</v>
      </c>
      <c r="S20" s="1407"/>
      <c r="T20" s="1407"/>
      <c r="U20" s="1405"/>
      <c r="V20" s="1406">
        <f>ROUND(SUM(V14:V19),1)</f>
        <v>16411.3</v>
      </c>
      <c r="W20" s="1405"/>
      <c r="X20" s="1406">
        <f>ROUND(SUM(X14:X19),1)</f>
        <v>160794.4</v>
      </c>
      <c r="Y20" s="1407"/>
      <c r="Z20" s="1408"/>
      <c r="AA20" s="1405"/>
      <c r="AB20" s="1406">
        <f>ROUND(SUM(AB14:AB19),1)</f>
        <v>16464.5</v>
      </c>
      <c r="AC20" s="1405"/>
      <c r="AD20" s="1406">
        <f>ROUND(SUM(AD14:AD19),1)</f>
        <v>151548.70000000001</v>
      </c>
      <c r="AE20" s="1405"/>
      <c r="AF20" s="1409"/>
      <c r="AG20" s="1406">
        <f>ROUND(SUM(AG14:AG19),1)</f>
        <v>9245.7000000000007</v>
      </c>
      <c r="AH20" s="1410"/>
      <c r="AI20" s="1411">
        <f>(+X20-AD20)/ABS(AD20)</f>
        <v>6.1008111583932968E-2</v>
      </c>
      <c r="AJ20" s="2019"/>
      <c r="AK20" s="289"/>
      <c r="AL20" s="289"/>
    </row>
    <row r="21" spans="1:38" ht="16.350000000000001" customHeight="1">
      <c r="A21" s="1381"/>
      <c r="B21" s="1382"/>
      <c r="C21" s="1382"/>
      <c r="D21" s="1361"/>
      <c r="E21" s="1361"/>
      <c r="F21" s="1361"/>
      <c r="G21" s="1361"/>
      <c r="H21" s="1361"/>
      <c r="I21" s="1361"/>
      <c r="J21" s="1361"/>
      <c r="K21" s="1361"/>
      <c r="L21" s="1361"/>
      <c r="M21" s="1361"/>
      <c r="N21" s="1361"/>
      <c r="O21" s="1361"/>
      <c r="P21" s="1361"/>
      <c r="Q21" s="1361"/>
      <c r="R21" s="1361" t="s">
        <v>103</v>
      </c>
      <c r="S21" s="1399"/>
      <c r="T21" s="1399"/>
      <c r="U21" s="1361"/>
      <c r="V21" s="1361"/>
      <c r="W21" s="1361"/>
      <c r="X21" s="1361" t="s">
        <v>103</v>
      </c>
      <c r="Y21" s="1399"/>
      <c r="Z21" s="1400"/>
      <c r="AA21" s="1361"/>
      <c r="AB21" s="1361"/>
      <c r="AC21" s="1361"/>
      <c r="AD21" s="1361"/>
      <c r="AE21" s="1361"/>
      <c r="AF21" s="1401"/>
      <c r="AG21" s="1361"/>
      <c r="AI21" s="1369"/>
      <c r="AJ21" s="2018"/>
      <c r="AK21" s="289"/>
      <c r="AL21" s="289"/>
    </row>
    <row r="22" spans="1:38" ht="16.350000000000001" customHeight="1">
      <c r="A22" s="1381" t="s">
        <v>122</v>
      </c>
      <c r="B22" s="1382"/>
      <c r="C22" s="1382"/>
      <c r="D22" s="1361"/>
      <c r="E22" s="1361"/>
      <c r="F22" s="1361"/>
      <c r="G22" s="1361"/>
      <c r="H22" s="1361"/>
      <c r="I22" s="1361"/>
      <c r="J22" s="1361"/>
      <c r="K22" s="1361"/>
      <c r="L22" s="1361"/>
      <c r="M22" s="1361"/>
      <c r="N22" s="1361"/>
      <c r="O22" s="1361"/>
      <c r="P22" s="1361"/>
      <c r="Q22" s="1361"/>
      <c r="R22" s="1361" t="s">
        <v>103</v>
      </c>
      <c r="S22" s="1399"/>
      <c r="T22" s="1399"/>
      <c r="U22" s="1361"/>
      <c r="V22" s="1361"/>
      <c r="W22" s="1361"/>
      <c r="X22" s="1361" t="s">
        <v>103</v>
      </c>
      <c r="Y22" s="1399"/>
      <c r="Z22" s="1400"/>
      <c r="AA22" s="1361"/>
      <c r="AB22" s="1361"/>
      <c r="AC22" s="1361"/>
      <c r="AD22" s="1361"/>
      <c r="AE22" s="1361"/>
      <c r="AF22" s="1401"/>
      <c r="AG22" s="1361"/>
      <c r="AI22" s="1369"/>
      <c r="AJ22" s="2018"/>
      <c r="AK22" s="289"/>
      <c r="AL22" s="289"/>
    </row>
    <row r="23" spans="1:38" ht="16.350000000000001" customHeight="1">
      <c r="A23" s="1382" t="s">
        <v>123</v>
      </c>
      <c r="B23" s="1391" t="s">
        <v>103</v>
      </c>
      <c r="C23" s="1382"/>
      <c r="D23" s="1412" t="s">
        <v>103</v>
      </c>
      <c r="E23" s="1361"/>
      <c r="F23" s="1412" t="s">
        <v>103</v>
      </c>
      <c r="G23" s="1361"/>
      <c r="H23" s="1413"/>
      <c r="I23" s="1361"/>
      <c r="J23" s="1413"/>
      <c r="K23" s="1361"/>
      <c r="L23" s="1413"/>
      <c r="M23" s="1361"/>
      <c r="N23" s="1413"/>
      <c r="O23" s="1361"/>
      <c r="P23" s="1413"/>
      <c r="Q23" s="1361"/>
      <c r="R23" s="1413"/>
      <c r="S23" s="1399"/>
      <c r="T23" s="1399"/>
      <c r="U23" s="1361"/>
      <c r="V23" s="1413"/>
      <c r="W23" s="1361"/>
      <c r="X23" s="1413"/>
      <c r="Y23" s="1399"/>
      <c r="Z23" s="1400"/>
      <c r="AA23" s="1361"/>
      <c r="AB23" s="1413"/>
      <c r="AC23" s="1361"/>
      <c r="AD23" s="1413"/>
      <c r="AE23" s="1361"/>
      <c r="AF23" s="1401"/>
      <c r="AG23" s="1413"/>
      <c r="AI23" s="1414"/>
      <c r="AJ23" s="2018"/>
      <c r="AK23" s="289"/>
      <c r="AL23" s="289"/>
    </row>
    <row r="24" spans="1:38" ht="18" customHeight="1">
      <c r="A24" s="1415" t="s">
        <v>124</v>
      </c>
      <c r="B24" s="1382"/>
      <c r="C24" s="1382"/>
      <c r="D24" s="1416">
        <f>'Exhibit F'!R105</f>
        <v>2035.3000000000029</v>
      </c>
      <c r="E24" s="1361"/>
      <c r="F24" s="1361">
        <f>'Exhibit F'!AC105</f>
        <v>18524.5</v>
      </c>
      <c r="G24" s="1361"/>
      <c r="H24" s="1211">
        <f>'Exhibit G'!R89</f>
        <v>350.70000000000039</v>
      </c>
      <c r="I24" s="1361"/>
      <c r="J24" s="1361">
        <f>'Exhibit G'!AE89</f>
        <v>6963.7</v>
      </c>
      <c r="K24" s="1361"/>
      <c r="L24" s="1413">
        <v>0</v>
      </c>
      <c r="M24" s="1361"/>
      <c r="N24" s="1413">
        <v>0</v>
      </c>
      <c r="O24" s="1361"/>
      <c r="P24" s="1211">
        <f>'Exhibit I'!S68</f>
        <v>1.0000000000000071</v>
      </c>
      <c r="Q24" s="1211"/>
      <c r="R24" s="1361">
        <f>'Exhibit I'!AF68</f>
        <v>109.7</v>
      </c>
      <c r="S24" s="1399"/>
      <c r="T24" s="1399"/>
      <c r="U24" s="1361"/>
      <c r="V24" s="1361">
        <f>ROUND(SUM(D24)+SUM(H24)+SUM(L24)+SUM(P24),1)</f>
        <v>2387</v>
      </c>
      <c r="W24" s="1361" t="s">
        <v>103</v>
      </c>
      <c r="X24" s="1361">
        <f>ROUND(SUM(F24)+SUM(J24)+SUM(N24)+SUM(R24),1)</f>
        <v>25597.9</v>
      </c>
      <c r="Y24" s="1399"/>
      <c r="Z24" s="1400"/>
      <c r="AA24" s="1361"/>
      <c r="AB24" s="1212">
        <v>2823.9</v>
      </c>
      <c r="AC24" s="1361"/>
      <c r="AD24" s="1361">
        <f>'Exhibit F'!AF105+'Exhibit G'!AH89+'Exhibit I'!AI68</f>
        <v>28461.200000000004</v>
      </c>
      <c r="AE24" s="1211"/>
      <c r="AF24" s="1417"/>
      <c r="AG24" s="1361">
        <f>ROUND(SUM(X24-AD24),1)</f>
        <v>-2863.3</v>
      </c>
      <c r="AI24" s="1210">
        <f>ROUND(SUM((+X24-AD24)/ABS(AD24)),3)</f>
        <v>-0.10100000000000001</v>
      </c>
      <c r="AJ24" s="2018"/>
      <c r="AK24" s="289"/>
      <c r="AL24" s="289"/>
    </row>
    <row r="25" spans="1:38" ht="18" customHeight="1">
      <c r="A25" s="1415" t="s">
        <v>125</v>
      </c>
      <c r="B25" s="1418"/>
      <c r="C25" s="1382"/>
      <c r="D25" s="1416">
        <f>'Exhibit F'!R106</f>
        <v>9.9999999999999867E-2</v>
      </c>
      <c r="E25" s="1361"/>
      <c r="F25" s="1361">
        <f>'Exhibit F'!AC106</f>
        <v>3.2</v>
      </c>
      <c r="G25" s="1361"/>
      <c r="H25" s="1211">
        <f>'Exhibit G'!R90</f>
        <v>3.4999999999999996</v>
      </c>
      <c r="I25" s="1361"/>
      <c r="J25" s="1361">
        <f>'Exhibit G'!AE90</f>
        <v>8.4</v>
      </c>
      <c r="K25" s="1361"/>
      <c r="L25" s="1413">
        <v>0</v>
      </c>
      <c r="M25" s="1361"/>
      <c r="N25" s="1413">
        <v>0</v>
      </c>
      <c r="O25" s="1361"/>
      <c r="P25" s="1211">
        <f>'Exhibit I'!S69</f>
        <v>37.599999999999994</v>
      </c>
      <c r="Q25" s="1211"/>
      <c r="R25" s="1361">
        <f>'Exhibit I'!AF69</f>
        <v>156.1</v>
      </c>
      <c r="S25" s="1399"/>
      <c r="T25" s="1399"/>
      <c r="U25" s="1361"/>
      <c r="V25" s="1361">
        <f t="shared" ref="V25:V32" si="4">ROUND(SUM(D25)+SUM(H25)+SUM(L25)+SUM(P25),1)</f>
        <v>41.2</v>
      </c>
      <c r="W25" s="1361" t="s">
        <v>103</v>
      </c>
      <c r="X25" s="1361">
        <f t="shared" ref="X25:X32" si="5">ROUND(SUM(F25)+SUM(J25)+SUM(N25)+SUM(R25),1)</f>
        <v>167.7</v>
      </c>
      <c r="Y25" s="1399"/>
      <c r="Z25" s="1400"/>
      <c r="AA25" s="1361"/>
      <c r="AB25" s="1212">
        <v>259.2</v>
      </c>
      <c r="AC25" s="1211"/>
      <c r="AD25" s="1361">
        <f>'Exhibit F'!AF106+'Exhibit G'!AH90+'Exhibit I'!AI69</f>
        <v>562.5</v>
      </c>
      <c r="AE25" s="1361"/>
      <c r="AF25" s="1401"/>
      <c r="AG25" s="1361">
        <f t="shared" ref="AG25:AG33" si="6">ROUND(SUM(X25-AD25),1)</f>
        <v>-394.8</v>
      </c>
      <c r="AI25" s="1419">
        <f t="shared" ref="AI25:AI32" si="7">ROUND(SUM((+X25-AD25)/ABS(AD25)),3)</f>
        <v>-0.70199999999999996</v>
      </c>
      <c r="AJ25" s="2018"/>
      <c r="AK25" s="289"/>
      <c r="AL25" s="289"/>
    </row>
    <row r="26" spans="1:38" ht="18" customHeight="1">
      <c r="A26" s="1415" t="s">
        <v>126</v>
      </c>
      <c r="B26" s="1420"/>
      <c r="C26" s="1382"/>
      <c r="D26" s="1416">
        <f>'Exhibit F'!R107</f>
        <v>19.80000000000009</v>
      </c>
      <c r="E26" s="1361"/>
      <c r="F26" s="1361">
        <f>'Exhibit F'!AC107</f>
        <v>876.6</v>
      </c>
      <c r="G26" s="1361"/>
      <c r="H26" s="1211">
        <f>'Exhibit G'!R91</f>
        <v>11.799999999999986</v>
      </c>
      <c r="I26" s="1361"/>
      <c r="J26" s="1361">
        <f>'Exhibit G'!AE91</f>
        <v>158.6</v>
      </c>
      <c r="K26" s="1361"/>
      <c r="L26" s="1413">
        <v>0</v>
      </c>
      <c r="M26" s="1361"/>
      <c r="N26" s="1413">
        <v>0</v>
      </c>
      <c r="O26" s="1361"/>
      <c r="P26" s="1211">
        <f>'Exhibit I'!S70</f>
        <v>40.89999999999997</v>
      </c>
      <c r="Q26" s="1211"/>
      <c r="R26" s="1361">
        <f>'Exhibit I'!AF70</f>
        <v>367.5</v>
      </c>
      <c r="S26" s="1399"/>
      <c r="T26" s="1399"/>
      <c r="U26" s="1361"/>
      <c r="V26" s="1361">
        <f t="shared" si="4"/>
        <v>72.5</v>
      </c>
      <c r="W26" s="1361" t="s">
        <v>103</v>
      </c>
      <c r="X26" s="1361">
        <f t="shared" si="5"/>
        <v>1402.7</v>
      </c>
      <c r="Y26" s="1399"/>
      <c r="Z26" s="1400"/>
      <c r="AA26" s="1361"/>
      <c r="AB26" s="1212">
        <v>65.7</v>
      </c>
      <c r="AC26" s="1361"/>
      <c r="AD26" s="1361">
        <f>'Exhibit F'!AF107+'Exhibit G'!AH91+'Exhibit I'!AI70</f>
        <v>1338.3</v>
      </c>
      <c r="AE26" s="1361"/>
      <c r="AF26" s="1401"/>
      <c r="AG26" s="1361">
        <f t="shared" si="6"/>
        <v>64.400000000000006</v>
      </c>
      <c r="AI26" s="1210">
        <f t="shared" si="7"/>
        <v>4.8000000000000001E-2</v>
      </c>
      <c r="AJ26" s="2018"/>
      <c r="AK26" s="289"/>
      <c r="AL26" s="289"/>
    </row>
    <row r="27" spans="1:38" ht="18" customHeight="1">
      <c r="A27" s="1415" t="s">
        <v>127</v>
      </c>
      <c r="B27" s="1391"/>
      <c r="C27" s="1382"/>
      <c r="D27" s="1361"/>
      <c r="E27" s="1361"/>
      <c r="F27" s="1361"/>
      <c r="G27" s="1361"/>
      <c r="H27" s="1211"/>
      <c r="I27" s="1361"/>
      <c r="J27" s="1361" t="s">
        <v>103</v>
      </c>
      <c r="K27" s="1361"/>
      <c r="L27" s="1412" t="s">
        <v>103</v>
      </c>
      <c r="M27" s="1361"/>
      <c r="N27" s="1412" t="s">
        <v>103</v>
      </c>
      <c r="O27" s="1361"/>
      <c r="P27" s="1211"/>
      <c r="Q27" s="1211"/>
      <c r="R27" s="1361"/>
      <c r="S27" s="1399"/>
      <c r="T27" s="1399"/>
      <c r="U27" s="1361"/>
      <c r="V27" s="1361" t="s">
        <v>103</v>
      </c>
      <c r="W27" s="1361"/>
      <c r="X27" s="1361" t="s">
        <v>103</v>
      </c>
      <c r="Y27" s="1399"/>
      <c r="Z27" s="1400"/>
      <c r="AA27" s="1361"/>
      <c r="AB27" s="1361"/>
      <c r="AC27" s="1361"/>
      <c r="AD27" s="1361"/>
      <c r="AE27" s="1361"/>
      <c r="AF27" s="1401"/>
      <c r="AG27" s="1361"/>
      <c r="AI27" s="1210" t="s">
        <v>103</v>
      </c>
      <c r="AJ27" s="2018"/>
      <c r="AK27" s="289"/>
      <c r="AL27" s="289"/>
    </row>
    <row r="28" spans="1:38" ht="18" customHeight="1">
      <c r="A28" s="1421" t="s">
        <v>128</v>
      </c>
      <c r="B28" s="1398"/>
      <c r="C28" s="1382"/>
      <c r="D28" s="1416">
        <f>'Exhibit F'!R109</f>
        <v>3019.1999999999994</v>
      </c>
      <c r="E28" s="1361"/>
      <c r="F28" s="1361">
        <f>'Exhibit F'!AC109</f>
        <v>23999.7</v>
      </c>
      <c r="G28" s="1361"/>
      <c r="H28" s="1211">
        <f>'Exhibit G'!R93</f>
        <v>5834.0000000000055</v>
      </c>
      <c r="I28" s="1361"/>
      <c r="J28" s="1361">
        <f>'Exhibit G'!AE93</f>
        <v>43051.5</v>
      </c>
      <c r="K28" s="1361"/>
      <c r="L28" s="1413">
        <v>0</v>
      </c>
      <c r="M28" s="1361"/>
      <c r="N28" s="1413">
        <v>0</v>
      </c>
      <c r="O28" s="1361"/>
      <c r="P28" s="1211">
        <f>'Exhibit I'!S72</f>
        <v>0</v>
      </c>
      <c r="Q28" s="1211"/>
      <c r="R28" s="1413">
        <f>'Exhibit I'!AF72</f>
        <v>0</v>
      </c>
      <c r="S28" s="1399"/>
      <c r="T28" s="1399"/>
      <c r="U28" s="1361"/>
      <c r="V28" s="1361">
        <f t="shared" si="4"/>
        <v>8853.2000000000007</v>
      </c>
      <c r="W28" s="1361" t="s">
        <v>103</v>
      </c>
      <c r="X28" s="1361">
        <f t="shared" si="5"/>
        <v>67051.199999999997</v>
      </c>
      <c r="Y28" s="1399"/>
      <c r="Z28" s="1400"/>
      <c r="AA28" s="1361"/>
      <c r="AB28" s="1212">
        <v>7085.7</v>
      </c>
      <c r="AC28" s="1361"/>
      <c r="AD28" s="1361">
        <f>'Exhibit F'!AF109+'Exhibit G'!AH93+'Exhibit I'!AI72</f>
        <v>59829.1</v>
      </c>
      <c r="AE28" s="1361"/>
      <c r="AF28" s="1401"/>
      <c r="AG28" s="1361">
        <f t="shared" si="6"/>
        <v>7222.1</v>
      </c>
      <c r="AI28" s="1210">
        <f t="shared" si="7"/>
        <v>0.121</v>
      </c>
      <c r="AJ28" s="2018"/>
      <c r="AK28" s="1422"/>
      <c r="AL28" s="289"/>
    </row>
    <row r="29" spans="1:38" ht="18" customHeight="1">
      <c r="A29" s="1415" t="s">
        <v>129</v>
      </c>
      <c r="B29" s="1398"/>
      <c r="C29" s="1382"/>
      <c r="D29" s="1416">
        <f>'Exhibit F'!R110</f>
        <v>249.40000000000029</v>
      </c>
      <c r="E29" s="1361"/>
      <c r="F29" s="1361">
        <f>'Exhibit F'!AC110</f>
        <v>2372.3000000000002</v>
      </c>
      <c r="G29" s="1361"/>
      <c r="H29" s="1211">
        <f>'Exhibit G'!R94</f>
        <v>1444.400000000001</v>
      </c>
      <c r="I29" s="1361"/>
      <c r="J29" s="1361">
        <f>'Exhibit G'!AE94</f>
        <v>12685.2</v>
      </c>
      <c r="K29" s="1361"/>
      <c r="L29" s="1413">
        <v>0</v>
      </c>
      <c r="M29" s="1361"/>
      <c r="N29" s="1413">
        <v>0</v>
      </c>
      <c r="O29" s="1361"/>
      <c r="P29" s="1211">
        <f>'Exhibit I'!S73</f>
        <v>71.799999999999955</v>
      </c>
      <c r="Q29" s="1211"/>
      <c r="R29" s="1361">
        <f>'Exhibit I'!AF73</f>
        <v>447.1</v>
      </c>
      <c r="S29" s="1399"/>
      <c r="T29" s="1399"/>
      <c r="U29" s="1361"/>
      <c r="V29" s="1361">
        <f t="shared" si="4"/>
        <v>1765.6</v>
      </c>
      <c r="W29" s="1361" t="s">
        <v>103</v>
      </c>
      <c r="X29" s="1361">
        <f t="shared" si="5"/>
        <v>15504.6</v>
      </c>
      <c r="Y29" s="1399"/>
      <c r="Z29" s="1400"/>
      <c r="AA29" s="1361"/>
      <c r="AB29" s="1212">
        <v>1802.6</v>
      </c>
      <c r="AC29" s="1361"/>
      <c r="AD29" s="1361">
        <f>'Exhibit F'!AF110+'Exhibit G'!AH94+'Exhibit I'!AI73</f>
        <v>13675.2</v>
      </c>
      <c r="AE29" s="1361"/>
      <c r="AF29" s="1401"/>
      <c r="AG29" s="1361">
        <f t="shared" si="6"/>
        <v>1829.4</v>
      </c>
      <c r="AI29" s="1210">
        <f t="shared" si="7"/>
        <v>0.13400000000000001</v>
      </c>
      <c r="AJ29" s="2018"/>
      <c r="AK29" s="289"/>
      <c r="AL29" s="289"/>
    </row>
    <row r="30" spans="1:38" ht="18" customHeight="1">
      <c r="A30" s="1415" t="s">
        <v>130</v>
      </c>
      <c r="B30" s="1391"/>
      <c r="C30" s="1382"/>
      <c r="D30" s="1416">
        <f>'Exhibit F'!R111</f>
        <v>62.90000000000002</v>
      </c>
      <c r="E30" s="1361"/>
      <c r="F30" s="1361">
        <f>'Exhibit F'!AC111</f>
        <v>362.8</v>
      </c>
      <c r="G30" s="1361"/>
      <c r="H30" s="1211">
        <f>'Exhibit G'!R95</f>
        <v>304.50000000000017</v>
      </c>
      <c r="I30" s="1361"/>
      <c r="J30" s="1361">
        <f>'Exhibit G'!AE95</f>
        <v>2669.4</v>
      </c>
      <c r="K30" s="1361"/>
      <c r="L30" s="1413">
        <v>0</v>
      </c>
      <c r="M30" s="1361"/>
      <c r="N30" s="1413">
        <v>0</v>
      </c>
      <c r="O30" s="1361"/>
      <c r="P30" s="1211">
        <f>'Exhibit I'!S74</f>
        <v>0.6000000000000032</v>
      </c>
      <c r="Q30" s="1211"/>
      <c r="R30" s="1413">
        <f>'Exhibit I'!AF74</f>
        <v>19.100000000000001</v>
      </c>
      <c r="S30" s="1399"/>
      <c r="T30" s="1399"/>
      <c r="U30" s="1361"/>
      <c r="V30" s="1361">
        <f t="shared" si="4"/>
        <v>368</v>
      </c>
      <c r="W30" s="1361" t="s">
        <v>103</v>
      </c>
      <c r="X30" s="1361">
        <f t="shared" si="5"/>
        <v>3051.3</v>
      </c>
      <c r="Y30" s="1399"/>
      <c r="Z30" s="1400"/>
      <c r="AA30" s="1361"/>
      <c r="AB30" s="1212">
        <v>425.90000000000003</v>
      </c>
      <c r="AC30" s="1361"/>
      <c r="AD30" s="1361">
        <f>'Exhibit F'!AF111+'Exhibit G'!AH95+'Exhibit I'!AI74</f>
        <v>2268.7999999999997</v>
      </c>
      <c r="AE30" s="1361"/>
      <c r="AF30" s="1401"/>
      <c r="AG30" s="1361">
        <f t="shared" si="6"/>
        <v>782.5</v>
      </c>
      <c r="AI30" s="1419">
        <f t="shared" si="7"/>
        <v>0.34499999999999997</v>
      </c>
      <c r="AJ30" s="2018"/>
      <c r="AK30" s="289"/>
      <c r="AL30" s="289"/>
    </row>
    <row r="31" spans="1:38" ht="18" customHeight="1">
      <c r="A31" s="1415" t="s">
        <v>131</v>
      </c>
      <c r="B31" s="1382"/>
      <c r="C31" s="1382"/>
      <c r="D31" s="1416">
        <f>'Exhibit F'!R112</f>
        <v>1143.0999999999999</v>
      </c>
      <c r="E31" s="1361"/>
      <c r="F31" s="1361">
        <f>'Exhibit F'!AC112</f>
        <v>3434.2</v>
      </c>
      <c r="G31" s="1361"/>
      <c r="H31" s="1211">
        <f>'Exhibit G'!R96</f>
        <v>262.9000000000002</v>
      </c>
      <c r="I31" s="1361"/>
      <c r="J31" s="1361">
        <f>'Exhibit G'!AE96</f>
        <v>4365.6000000000004</v>
      </c>
      <c r="K31" s="1361"/>
      <c r="L31" s="1413">
        <v>0</v>
      </c>
      <c r="M31" s="1361"/>
      <c r="N31" s="1413">
        <v>0</v>
      </c>
      <c r="O31" s="1361"/>
      <c r="P31" s="1211">
        <f>'Exhibit I'!S75</f>
        <v>262.49999999999989</v>
      </c>
      <c r="Q31" s="1211"/>
      <c r="R31" s="1361">
        <f>'Exhibit I'!AF75</f>
        <v>1273.2</v>
      </c>
      <c r="S31" s="1399"/>
      <c r="T31" s="1399"/>
      <c r="U31" s="1361"/>
      <c r="V31" s="1361">
        <f t="shared" si="4"/>
        <v>1668.5</v>
      </c>
      <c r="W31" s="1361" t="s">
        <v>103</v>
      </c>
      <c r="X31" s="1361">
        <f t="shared" si="5"/>
        <v>9073</v>
      </c>
      <c r="Y31" s="1399"/>
      <c r="Z31" s="1400"/>
      <c r="AA31" s="1361"/>
      <c r="AB31" s="1212">
        <v>792.7</v>
      </c>
      <c r="AC31" s="1361"/>
      <c r="AD31" s="1361">
        <f>'Exhibit F'!AF112+'Exhibit G'!AH96+'Exhibit I'!AI75</f>
        <v>8599.2999999999993</v>
      </c>
      <c r="AE31" s="1361"/>
      <c r="AF31" s="1401"/>
      <c r="AG31" s="1361">
        <f t="shared" si="6"/>
        <v>473.7</v>
      </c>
      <c r="AI31" s="1210">
        <f t="shared" si="7"/>
        <v>5.5E-2</v>
      </c>
      <c r="AJ31" s="2018"/>
      <c r="AK31" s="289"/>
      <c r="AL31" s="289"/>
    </row>
    <row r="32" spans="1:38" ht="18" customHeight="1">
      <c r="A32" s="1415" t="s">
        <v>132</v>
      </c>
      <c r="B32" s="1391"/>
      <c r="C32" s="1382"/>
      <c r="D32" s="1416">
        <f>'Exhibit F'!R113</f>
        <v>16.899999999999935</v>
      </c>
      <c r="E32" s="1361"/>
      <c r="F32" s="1361">
        <f>'Exhibit F'!AC113</f>
        <v>173.7</v>
      </c>
      <c r="G32" s="1361"/>
      <c r="H32" s="1211">
        <f>'Exhibit G'!R97</f>
        <v>27.6</v>
      </c>
      <c r="I32" s="1361"/>
      <c r="J32" s="1361">
        <f>'Exhibit G'!AE97</f>
        <v>223.1</v>
      </c>
      <c r="K32" s="1361"/>
      <c r="L32" s="1413">
        <v>0</v>
      </c>
      <c r="M32" s="1361" t="s">
        <v>103</v>
      </c>
      <c r="N32" s="1413">
        <v>0</v>
      </c>
      <c r="O32" s="1361"/>
      <c r="P32" s="1211">
        <f>'Exhibit I'!S76</f>
        <v>16.899999999999974</v>
      </c>
      <c r="Q32" s="1211"/>
      <c r="R32" s="1361">
        <f>'Exhibit I'!AF76</f>
        <v>999.2</v>
      </c>
      <c r="S32" s="1399"/>
      <c r="T32" s="1399"/>
      <c r="U32" s="1361"/>
      <c r="V32" s="1361">
        <f t="shared" si="4"/>
        <v>61.4</v>
      </c>
      <c r="W32" s="1361" t="s">
        <v>103</v>
      </c>
      <c r="X32" s="1361">
        <f t="shared" si="5"/>
        <v>1396</v>
      </c>
      <c r="Y32" s="1399"/>
      <c r="Z32" s="1400"/>
      <c r="AA32" s="1361"/>
      <c r="AB32" s="1212">
        <v>78</v>
      </c>
      <c r="AC32" s="1361"/>
      <c r="AD32" s="1361">
        <f>'Exhibit F'!AF113+'Exhibit G'!AH97+'Exhibit I'!AI76</f>
        <v>1345.8</v>
      </c>
      <c r="AE32" s="1361"/>
      <c r="AF32" s="1401"/>
      <c r="AG32" s="1361">
        <f t="shared" si="6"/>
        <v>50.2</v>
      </c>
      <c r="AI32" s="1210">
        <f t="shared" si="7"/>
        <v>3.6999999999999998E-2</v>
      </c>
      <c r="AJ32" s="2018"/>
      <c r="AK32" s="289"/>
      <c r="AL32" s="289"/>
    </row>
    <row r="33" spans="1:38" ht="18" customHeight="1">
      <c r="A33" s="1415" t="s">
        <v>133</v>
      </c>
      <c r="B33" s="1382"/>
      <c r="C33" s="1382"/>
      <c r="D33" s="1416">
        <f>'Exhibit F'!R114</f>
        <v>58.800000000000011</v>
      </c>
      <c r="E33" s="1361"/>
      <c r="F33" s="1361">
        <f>'Exhibit F'!AC114</f>
        <v>200.5</v>
      </c>
      <c r="G33" s="1361"/>
      <c r="H33" s="1211">
        <f>'Exhibit G'!R98</f>
        <v>744.40000000000009</v>
      </c>
      <c r="I33" s="1361"/>
      <c r="J33" s="1361">
        <f>'Exhibit G'!AE98</f>
        <v>3713.8</v>
      </c>
      <c r="K33" s="1361"/>
      <c r="L33" s="1413">
        <v>0</v>
      </c>
      <c r="M33" s="1361"/>
      <c r="N33" s="1413">
        <v>0</v>
      </c>
      <c r="O33" s="1361"/>
      <c r="P33" s="1211">
        <f>'Exhibit I'!S77</f>
        <v>382.4</v>
      </c>
      <c r="Q33" s="1211"/>
      <c r="R33" s="1361">
        <f>'Exhibit I'!AF77</f>
        <v>896.7</v>
      </c>
      <c r="S33" s="1399"/>
      <c r="T33" s="1399"/>
      <c r="U33" s="1361"/>
      <c r="V33" s="1361">
        <f>ROUND(SUM(D33)+SUM(H33)+SUM(L33)+SUM(P33),1)</f>
        <v>1185.5999999999999</v>
      </c>
      <c r="W33" s="1361" t="s">
        <v>103</v>
      </c>
      <c r="X33" s="1361">
        <f>ROUND(SUM(F33)+SUM(J33)+SUM(N33)+SUM(R33),1)</f>
        <v>4811</v>
      </c>
      <c r="Y33" s="1399"/>
      <c r="Z33" s="1400"/>
      <c r="AA33" s="1361"/>
      <c r="AB33" s="1212">
        <v>792</v>
      </c>
      <c r="AC33" s="1361"/>
      <c r="AD33" s="1361">
        <f>'Exhibit F'!AF114+'Exhibit G'!AH98+'Exhibit I'!AI77</f>
        <v>4542.5</v>
      </c>
      <c r="AE33" s="1361"/>
      <c r="AF33" s="1401"/>
      <c r="AG33" s="1361">
        <f t="shared" si="6"/>
        <v>268.5</v>
      </c>
      <c r="AI33" s="1210">
        <f>ROUND(SUM((+X33-AD33)/ABS(AD33)),3)</f>
        <v>5.8999999999999997E-2</v>
      </c>
      <c r="AJ33" s="2018"/>
      <c r="AK33" s="289"/>
      <c r="AL33" s="289"/>
    </row>
    <row r="34" spans="1:38" ht="18" customHeight="1">
      <c r="A34" s="1381" t="s">
        <v>134</v>
      </c>
      <c r="B34" s="1382"/>
      <c r="C34" s="1382"/>
      <c r="D34" s="1406">
        <f>ROUND(SUM(D24:D33),1)</f>
        <v>6605.5</v>
      </c>
      <c r="E34" s="1405"/>
      <c r="F34" s="1406">
        <f>ROUND(SUM(F24:F33),1)</f>
        <v>49947.5</v>
      </c>
      <c r="G34" s="1405"/>
      <c r="H34" s="1406">
        <f>ROUND(SUM(H24:H33),1)</f>
        <v>8983.7999999999993</v>
      </c>
      <c r="I34" s="1405"/>
      <c r="J34" s="1406">
        <f>ROUND(SUM(J24:J33),1)</f>
        <v>73839.3</v>
      </c>
      <c r="K34" s="1405"/>
      <c r="L34" s="1406">
        <f>ROUND(SUM(L24:L33),1)</f>
        <v>0</v>
      </c>
      <c r="M34" s="1405"/>
      <c r="N34" s="2033">
        <f>ROUND(SUM(N24:N33),1)</f>
        <v>0</v>
      </c>
      <c r="O34" s="1405"/>
      <c r="P34" s="1403">
        <f>ROUND(SUM(P24:P33),1)</f>
        <v>813.7</v>
      </c>
      <c r="Q34" s="1405"/>
      <c r="R34" s="1403">
        <f>ROUND(SUM(R24:R33),1)</f>
        <v>4268.6000000000004</v>
      </c>
      <c r="S34" s="1407"/>
      <c r="T34" s="1407"/>
      <c r="U34" s="1405"/>
      <c r="V34" s="1406">
        <f>ROUND(SUM(V24:V33),1)</f>
        <v>16403</v>
      </c>
      <c r="W34" s="1405"/>
      <c r="X34" s="1406">
        <f>ROUND(SUM(X24:X33),1)</f>
        <v>128055.4</v>
      </c>
      <c r="Y34" s="1407"/>
      <c r="Z34" s="1408"/>
      <c r="AA34" s="1405"/>
      <c r="AB34" s="1406">
        <f>ROUND(SUM(AB23:AB33),1)</f>
        <v>14125.7</v>
      </c>
      <c r="AC34" s="1405"/>
      <c r="AD34" s="1406">
        <f>ROUND(SUM(AD23:AD33),1)</f>
        <v>120622.7</v>
      </c>
      <c r="AE34" s="1405"/>
      <c r="AF34" s="1409"/>
      <c r="AG34" s="1406">
        <f>ROUND(SUM(AG24:AG33),1)</f>
        <v>7432.7</v>
      </c>
      <c r="AH34" s="1410"/>
      <c r="AI34" s="1411">
        <f>ROUND(SUM((+X34-AD34)/ABS(AD34)),3)</f>
        <v>6.2E-2</v>
      </c>
      <c r="AJ34" s="2020"/>
      <c r="AK34" s="289"/>
      <c r="AL34" s="289"/>
    </row>
    <row r="35" spans="1:38" ht="18" customHeight="1">
      <c r="A35" s="1382" t="s">
        <v>135</v>
      </c>
      <c r="B35" s="1420"/>
      <c r="C35" s="1382"/>
      <c r="D35" s="1361"/>
      <c r="E35" s="1361"/>
      <c r="F35" s="1361"/>
      <c r="G35" s="1361"/>
      <c r="H35" s="1361"/>
      <c r="I35" s="1361"/>
      <c r="J35" s="1361"/>
      <c r="K35" s="1361"/>
      <c r="L35" s="1361"/>
      <c r="M35" s="1361"/>
      <c r="N35" s="1361"/>
      <c r="O35" s="1361"/>
      <c r="P35" s="1361"/>
      <c r="Q35" s="1361"/>
      <c r="R35" s="1361"/>
      <c r="S35" s="1399"/>
      <c r="T35" s="1399"/>
      <c r="U35" s="1361"/>
      <c r="V35" s="1361"/>
      <c r="W35" s="1361"/>
      <c r="X35" s="1361" t="s">
        <v>103</v>
      </c>
      <c r="Y35" s="1399"/>
      <c r="Z35" s="1400"/>
      <c r="AA35" s="1361"/>
      <c r="AB35" s="1361"/>
      <c r="AC35" s="1361"/>
      <c r="AD35" s="1361"/>
      <c r="AE35" s="1361"/>
      <c r="AF35" s="1401"/>
      <c r="AG35" s="1361"/>
      <c r="AI35" s="1369"/>
      <c r="AJ35" s="2018"/>
      <c r="AK35" s="289"/>
      <c r="AL35" s="289"/>
    </row>
    <row r="36" spans="1:38" ht="18" customHeight="1">
      <c r="A36" s="1382" t="s">
        <v>136</v>
      </c>
      <c r="B36" s="1418"/>
      <c r="C36" s="1382"/>
      <c r="D36" s="1361">
        <f>'Exhibit F'!R117</f>
        <v>930.80000000000018</v>
      </c>
      <c r="E36" s="1361"/>
      <c r="F36" s="1361">
        <f>'Exhibit F'!AC117</f>
        <v>7973.5</v>
      </c>
      <c r="G36" s="1361"/>
      <c r="H36" s="1211">
        <f>'Exhibit G'!R101</f>
        <v>587.80000000000052</v>
      </c>
      <c r="I36" s="1361"/>
      <c r="J36" s="1361">
        <f>'Exhibit G'!AE101</f>
        <v>4870.8999999999996</v>
      </c>
      <c r="K36" s="1361"/>
      <c r="L36" s="1412">
        <v>0</v>
      </c>
      <c r="M36" s="1361"/>
      <c r="N36" s="1412">
        <v>0</v>
      </c>
      <c r="O36" s="1361"/>
      <c r="P36" s="1412">
        <f>'Exhibit I'!S80</f>
        <v>0</v>
      </c>
      <c r="Q36" s="1361"/>
      <c r="R36" s="1412">
        <f>'Exhibit I'!AF80</f>
        <v>0</v>
      </c>
      <c r="S36" s="1399"/>
      <c r="T36" s="1399"/>
      <c r="U36" s="1361"/>
      <c r="V36" s="1361">
        <f>ROUND(SUM(D36)+SUM(H36)+SUM(L36)+SUM(P36),1)</f>
        <v>1518.6</v>
      </c>
      <c r="W36" s="1361" t="s">
        <v>103</v>
      </c>
      <c r="X36" s="1361">
        <f>ROUND(SUM(F36)+SUM(J36)+SUM(N36)+SUM(R36),1)</f>
        <v>12844.4</v>
      </c>
      <c r="Y36" s="1399"/>
      <c r="Z36" s="1400"/>
      <c r="AA36" s="1361"/>
      <c r="AB36" s="1212">
        <v>1363.3</v>
      </c>
      <c r="AC36" s="1361"/>
      <c r="AD36" s="1361">
        <f>'Exhibit F'!AF117+'Exhibit G'!AH101+'Exhibit I'!AI80</f>
        <v>11788.099999999999</v>
      </c>
      <c r="AE36" s="1361"/>
      <c r="AF36" s="1401"/>
      <c r="AG36" s="1361">
        <f>ROUND(SUM(X36-AD36),1)</f>
        <v>1056.3</v>
      </c>
      <c r="AI36" s="1210">
        <f>ROUND(SUM((+X36-AD36)/ABS(AD36)),3)</f>
        <v>0.09</v>
      </c>
      <c r="AJ36" s="2018"/>
      <c r="AK36" s="289"/>
      <c r="AL36" s="289"/>
    </row>
    <row r="37" spans="1:38" ht="18" customHeight="1">
      <c r="A37" s="1382" t="s">
        <v>137</v>
      </c>
      <c r="B37" s="1420"/>
      <c r="C37" s="1382"/>
      <c r="D37" s="1361">
        <f>'Exhibit F'!R118</f>
        <v>286.50000000000011</v>
      </c>
      <c r="E37" s="1361"/>
      <c r="F37" s="1361">
        <f>'Exhibit F'!AC118</f>
        <v>2168.3000000000002</v>
      </c>
      <c r="G37" s="1361"/>
      <c r="H37" s="1211">
        <f>'Exhibit G'!R102</f>
        <v>441.79999999999995</v>
      </c>
      <c r="I37" s="1361"/>
      <c r="J37" s="1361">
        <f>'Exhibit G'!AE102</f>
        <v>3802</v>
      </c>
      <c r="K37" s="1361"/>
      <c r="L37" s="1211">
        <f>'Exhibit H'!P59</f>
        <v>0.9000000000000018</v>
      </c>
      <c r="M37" s="1361"/>
      <c r="N37" s="1361">
        <f>'Exhibit H'!AA59</f>
        <v>25.3</v>
      </c>
      <c r="O37" s="1361" t="s">
        <v>103</v>
      </c>
      <c r="P37" s="1412">
        <f>'Exhibit I'!S81</f>
        <v>0</v>
      </c>
      <c r="Q37" s="1361"/>
      <c r="R37" s="1412">
        <f>'Exhibit I'!AF81</f>
        <v>0</v>
      </c>
      <c r="S37" s="1399"/>
      <c r="T37" s="1399"/>
      <c r="U37" s="1361"/>
      <c r="V37" s="1361">
        <f>ROUND(SUM(D37)+SUM(H37)+SUM(L37)+SUM(P37),1)</f>
        <v>729.2</v>
      </c>
      <c r="W37" s="1361" t="s">
        <v>103</v>
      </c>
      <c r="X37" s="1361">
        <f>ROUND(SUM(F37)+SUM(J37)+SUM(N37)+SUM(R37),1)</f>
        <v>5995.6</v>
      </c>
      <c r="Y37" s="1399"/>
      <c r="Z37" s="1400"/>
      <c r="AA37" s="1361"/>
      <c r="AB37" s="1212">
        <v>661.1</v>
      </c>
      <c r="AC37" s="1361"/>
      <c r="AD37" s="1361">
        <f>'Exhibit F'!AF118+'Exhibit G'!AH102+'Exhibit I'!AI81+'Exhibit H'!AD59</f>
        <v>5650.3000000000011</v>
      </c>
      <c r="AE37" s="1361"/>
      <c r="AF37" s="1401"/>
      <c r="AG37" s="1361">
        <f>ROUND(SUM(X37-AD37),1)</f>
        <v>345.3</v>
      </c>
      <c r="AI37" s="1210">
        <f>ROUND(SUM((+X37-AD37)/ABS(AD37)),3)</f>
        <v>6.0999999999999999E-2</v>
      </c>
      <c r="AJ37" s="2018"/>
      <c r="AK37" s="289"/>
      <c r="AL37" s="289"/>
    </row>
    <row r="38" spans="1:38" ht="18" customHeight="1">
      <c r="A38" s="1382" t="s">
        <v>138</v>
      </c>
      <c r="B38" s="1391"/>
      <c r="C38" s="1382"/>
      <c r="D38" s="1361">
        <f>'Exhibit F'!R119</f>
        <v>562.79999999999984</v>
      </c>
      <c r="E38" s="1361"/>
      <c r="F38" s="1361">
        <f>'Exhibit F'!AC119</f>
        <v>5081.7</v>
      </c>
      <c r="G38" s="2034"/>
      <c r="H38" s="1211">
        <f>'Exhibit G'!R103</f>
        <v>214.5</v>
      </c>
      <c r="I38" s="1361"/>
      <c r="J38" s="1361">
        <f>'Exhibit G'!AE103</f>
        <v>1207.3</v>
      </c>
      <c r="K38" s="1361"/>
      <c r="L38" s="1412">
        <v>0</v>
      </c>
      <c r="M38" s="1361"/>
      <c r="N38" s="1412">
        <v>0</v>
      </c>
      <c r="O38" s="1361"/>
      <c r="P38" s="1412">
        <f>'Exhibit I'!S82</f>
        <v>0</v>
      </c>
      <c r="Q38" s="1361"/>
      <c r="R38" s="1412">
        <f>'Exhibit I'!AF82</f>
        <v>0</v>
      </c>
      <c r="S38" s="1399"/>
      <c r="T38" s="1399"/>
      <c r="U38" s="1361"/>
      <c r="V38" s="1361">
        <f>ROUND(SUM(D38)+SUM(H38)+SUM(L38)+SUM(P38),1)</f>
        <v>777.3</v>
      </c>
      <c r="W38" s="1361" t="s">
        <v>103</v>
      </c>
      <c r="X38" s="1361">
        <f>ROUND(SUM(F38)+SUM(J38)+SUM(N38)+SUM(R38),1)</f>
        <v>6289</v>
      </c>
      <c r="Y38" s="1399"/>
      <c r="Z38" s="1400"/>
      <c r="AA38" s="1361"/>
      <c r="AB38" s="1212">
        <v>641.1</v>
      </c>
      <c r="AC38" s="1361"/>
      <c r="AD38" s="1361">
        <f>'Exhibit F'!AF119+'Exhibit G'!AH103+'Exhibit I'!AI82</f>
        <v>5710</v>
      </c>
      <c r="AE38" s="1361"/>
      <c r="AF38" s="1401"/>
      <c r="AG38" s="1361">
        <f>ROUND(SUM(X38-AD38),1)</f>
        <v>579</v>
      </c>
      <c r="AI38" s="1210">
        <f>ROUND(SUM((+X38-AD38)/ABS(AD38)),3)</f>
        <v>0.10100000000000001</v>
      </c>
      <c r="AJ38" s="2018"/>
      <c r="AK38" s="289"/>
      <c r="AL38" s="289"/>
    </row>
    <row r="39" spans="1:38" ht="18" customHeight="1">
      <c r="A39" s="1382" t="s">
        <v>139</v>
      </c>
      <c r="B39" s="1382"/>
      <c r="C39" s="1382"/>
      <c r="D39" s="1361"/>
      <c r="E39" s="1361"/>
      <c r="F39" s="1361"/>
      <c r="G39" s="1361"/>
      <c r="H39" s="1361"/>
      <c r="I39" s="1361"/>
      <c r="J39" s="2035"/>
      <c r="K39" s="1361"/>
      <c r="L39" s="1361"/>
      <c r="M39" s="1361"/>
      <c r="N39" s="1361"/>
      <c r="O39" s="1361"/>
      <c r="P39" s="1412"/>
      <c r="Q39" s="1361"/>
      <c r="R39" s="1361"/>
      <c r="S39" s="1399"/>
      <c r="T39" s="1399"/>
      <c r="U39" s="1361"/>
      <c r="V39" s="1361"/>
      <c r="W39" s="1361"/>
      <c r="X39" s="1361"/>
      <c r="Y39" s="1399"/>
      <c r="Z39" s="1400"/>
      <c r="AA39" s="1361"/>
      <c r="AB39" s="1361"/>
      <c r="AC39" s="1361"/>
      <c r="AD39" s="1361"/>
      <c r="AE39" s="1361"/>
      <c r="AF39" s="1401"/>
      <c r="AG39" s="1361"/>
      <c r="AI39" s="1210"/>
      <c r="AJ39" s="2018"/>
      <c r="AK39" s="289"/>
      <c r="AL39" s="289"/>
    </row>
    <row r="40" spans="1:38" ht="18" customHeight="1">
      <c r="A40" s="1382" t="s">
        <v>1473</v>
      </c>
      <c r="B40" s="1391"/>
      <c r="C40" s="1382"/>
      <c r="D40" s="1412">
        <v>0</v>
      </c>
      <c r="E40" s="1361"/>
      <c r="F40" s="1412">
        <v>0</v>
      </c>
      <c r="G40" s="1361"/>
      <c r="H40" s="1211">
        <f>'Exhibit G'!R105</f>
        <v>0</v>
      </c>
      <c r="I40" s="1361"/>
      <c r="J40" s="1412">
        <f>'Exhibit G'!AE105</f>
        <v>0</v>
      </c>
      <c r="K40" s="1361"/>
      <c r="L40" s="1361">
        <f>'Exhibit H'!P61</f>
        <v>6.0000000000000044</v>
      </c>
      <c r="M40" s="1361"/>
      <c r="N40" s="1361">
        <f>'Exhibit H'!AA61</f>
        <v>295</v>
      </c>
      <c r="O40" s="1361" t="s">
        <v>103</v>
      </c>
      <c r="P40" s="1412">
        <v>0</v>
      </c>
      <c r="Q40" s="1361"/>
      <c r="R40" s="1412">
        <v>0</v>
      </c>
      <c r="S40" s="1399"/>
      <c r="T40" s="1399"/>
      <c r="U40" s="1361"/>
      <c r="V40" s="1361">
        <f>ROUND(SUM(D40)+SUM(H40)+SUM(L40)+SUM(P40),1)</f>
        <v>6</v>
      </c>
      <c r="W40" s="1361" t="s">
        <v>103</v>
      </c>
      <c r="X40" s="1361">
        <f>ROUND(SUM(F40)+SUM(J40)+SUM(N40)+SUM(R40),1)</f>
        <v>295</v>
      </c>
      <c r="Y40" s="1399"/>
      <c r="Z40" s="1400"/>
      <c r="AA40" s="1361"/>
      <c r="AB40" s="1212">
        <v>19</v>
      </c>
      <c r="AC40" s="1361"/>
      <c r="AD40" s="1361">
        <f>'Exhibit H'!AD61+'Exhibit G Federal'!AF76</f>
        <v>348.3</v>
      </c>
      <c r="AE40" s="1361"/>
      <c r="AF40" s="1401"/>
      <c r="AG40" s="1361">
        <f>ROUND(SUM(X40-AD40),1)</f>
        <v>-53.3</v>
      </c>
      <c r="AI40" s="1210">
        <f>ROUND(SUM((+X40-AD40)/ABS(AD40)),3)</f>
        <v>-0.153</v>
      </c>
      <c r="AJ40" s="2021"/>
      <c r="AK40" s="289"/>
      <c r="AL40" s="289"/>
    </row>
    <row r="41" spans="1:38" ht="18" customHeight="1">
      <c r="A41" s="1382" t="s">
        <v>140</v>
      </c>
      <c r="B41" s="1391" t="s">
        <v>141</v>
      </c>
      <c r="C41" s="1382"/>
      <c r="D41" s="1412">
        <v>0</v>
      </c>
      <c r="E41" s="1361"/>
      <c r="F41" s="1412">
        <v>0</v>
      </c>
      <c r="G41" s="1361"/>
      <c r="H41" s="1211">
        <f>'Exhibit G'!R106</f>
        <v>0</v>
      </c>
      <c r="I41" s="1361"/>
      <c r="J41" s="1361">
        <f>'Exhibit G'!AE106</f>
        <v>0</v>
      </c>
      <c r="K41" s="1361"/>
      <c r="L41" s="1412">
        <v>0</v>
      </c>
      <c r="M41" s="1361"/>
      <c r="N41" s="1412">
        <v>0</v>
      </c>
      <c r="O41" s="1361"/>
      <c r="P41" s="1211">
        <f>'Exhibit I'!S83</f>
        <v>871.49999999999943</v>
      </c>
      <c r="Q41" s="1361"/>
      <c r="R41" s="1423">
        <f>'Exhibit I'!AF83</f>
        <v>6887.4</v>
      </c>
      <c r="S41" s="1399"/>
      <c r="T41" s="1399"/>
      <c r="U41" s="1361"/>
      <c r="V41" s="1361">
        <f>ROUND(SUM(D41)+SUM(H41)+SUM(L41)+SUM(P41),1)</f>
        <v>871.5</v>
      </c>
      <c r="W41" s="1361" t="s">
        <v>103</v>
      </c>
      <c r="X41" s="1361">
        <f>ROUND(SUM(F41)+SUM(J41)+SUM(N41)+SUM(R41),1)</f>
        <v>6887.4</v>
      </c>
      <c r="Y41" s="1399"/>
      <c r="Z41" s="1400"/>
      <c r="AA41" s="1361"/>
      <c r="AB41" s="1212">
        <v>787.4</v>
      </c>
      <c r="AC41" s="1361"/>
      <c r="AD41" s="1361">
        <f>'Exhibit G'!AH106+'Exhibit I'!AI83</f>
        <v>6491.5</v>
      </c>
      <c r="AE41" s="1361"/>
      <c r="AF41" s="1401"/>
      <c r="AG41" s="1361">
        <f>ROUND(SUM(X41-AD41),1)</f>
        <v>395.9</v>
      </c>
      <c r="AI41" s="1210">
        <f>ROUND(SUM((+X41-AD41)/ABS(AD41)),3)</f>
        <v>6.0999999999999999E-2</v>
      </c>
      <c r="AJ41" s="2021"/>
      <c r="AK41" s="289"/>
      <c r="AL41" s="289"/>
    </row>
    <row r="42" spans="1:38" ht="18" customHeight="1">
      <c r="A42" s="1381" t="s">
        <v>142</v>
      </c>
      <c r="B42" s="1382"/>
      <c r="C42" s="1382"/>
      <c r="D42" s="1406">
        <f>ROUND(SUM(D34:D41),1)</f>
        <v>8385.6</v>
      </c>
      <c r="E42" s="1405"/>
      <c r="F42" s="1406">
        <f>ROUND(SUM(F34:F41),1)</f>
        <v>65171</v>
      </c>
      <c r="G42" s="1405"/>
      <c r="H42" s="1406">
        <f>ROUND(SUM(H34:H41),1)</f>
        <v>10227.9</v>
      </c>
      <c r="I42" s="1405"/>
      <c r="J42" s="1406">
        <f>ROUND(SUM(J34:J41),1)</f>
        <v>83719.5</v>
      </c>
      <c r="K42" s="1405"/>
      <c r="L42" s="1406">
        <f>ROUND(SUM(L34:L41),1)</f>
        <v>6.9</v>
      </c>
      <c r="M42" s="1405"/>
      <c r="N42" s="1406">
        <f>ROUND(SUM(N34:N41),1)</f>
        <v>320.3</v>
      </c>
      <c r="O42" s="1405"/>
      <c r="P42" s="1406">
        <f>ROUND(SUM(P34:P41),1)</f>
        <v>1685.2</v>
      </c>
      <c r="Q42" s="1405"/>
      <c r="R42" s="1406">
        <f>ROUND(SUM(R34:R41),1)</f>
        <v>11156</v>
      </c>
      <c r="S42" s="1407"/>
      <c r="T42" s="1407"/>
      <c r="U42" s="1405"/>
      <c r="V42" s="1406">
        <f>ROUND(SUM(V34:V41),1)</f>
        <v>20305.599999999999</v>
      </c>
      <c r="W42" s="1405"/>
      <c r="X42" s="1406">
        <f>ROUND(SUM(X34:X41),1)</f>
        <v>160366.79999999999</v>
      </c>
      <c r="Y42" s="1407"/>
      <c r="Z42" s="1408"/>
      <c r="AA42" s="1405"/>
      <c r="AB42" s="1406">
        <f>ROUND(SUM(AB34:AB41),1)</f>
        <v>17597.599999999999</v>
      </c>
      <c r="AC42" s="1405"/>
      <c r="AD42" s="1406">
        <f>ROUND(SUM(AD34:AD41),1)</f>
        <v>150610.9</v>
      </c>
      <c r="AE42" s="1405"/>
      <c r="AF42" s="1409"/>
      <c r="AG42" s="1406">
        <f>ROUND(SUM(AG34:AG41),1)</f>
        <v>9755.9</v>
      </c>
      <c r="AH42" s="1410"/>
      <c r="AI42" s="1411">
        <f>ROUND(SUM((+X42-AD42)/ABS(AD42)),3)</f>
        <v>6.5000000000000002E-2</v>
      </c>
      <c r="AJ42" s="2020"/>
      <c r="AK42" s="289"/>
      <c r="AL42" s="289"/>
    </row>
    <row r="43" spans="1:38" ht="16.350000000000001" customHeight="1">
      <c r="A43" s="1381"/>
      <c r="B43" s="1382"/>
      <c r="C43" s="1382"/>
      <c r="D43" s="1361"/>
      <c r="E43" s="1361"/>
      <c r="F43" s="1361"/>
      <c r="G43" s="1361"/>
      <c r="H43" s="1361"/>
      <c r="I43" s="1361"/>
      <c r="J43" s="1361" t="s">
        <v>103</v>
      </c>
      <c r="K43" s="1361"/>
      <c r="L43" s="1361"/>
      <c r="M43" s="1361"/>
      <c r="N43" s="1361"/>
      <c r="O43" s="1361"/>
      <c r="P43" s="1211"/>
      <c r="Q43" s="1361"/>
      <c r="R43" s="1361"/>
      <c r="S43" s="1399"/>
      <c r="T43" s="1399"/>
      <c r="U43" s="1361"/>
      <c r="V43" s="1361"/>
      <c r="W43" s="1361"/>
      <c r="X43" s="1361" t="s">
        <v>103</v>
      </c>
      <c r="Y43" s="1399"/>
      <c r="Z43" s="1400"/>
      <c r="AA43" s="1361"/>
      <c r="AB43" s="1361" t="s">
        <v>103</v>
      </c>
      <c r="AC43" s="1361"/>
      <c r="AD43" s="1361"/>
      <c r="AE43" s="1361"/>
      <c r="AF43" s="1401"/>
      <c r="AG43" s="1361"/>
      <c r="AI43" s="1369"/>
      <c r="AJ43" s="2018"/>
      <c r="AK43" s="289"/>
      <c r="AL43" s="289"/>
    </row>
    <row r="44" spans="1:38" ht="16.350000000000001" customHeight="1">
      <c r="A44" s="1381" t="s">
        <v>143</v>
      </c>
      <c r="B44" s="1381"/>
      <c r="C44" s="1382"/>
      <c r="D44" s="1361"/>
      <c r="E44" s="1361"/>
      <c r="F44" s="1361"/>
      <c r="G44" s="1361"/>
      <c r="H44" s="1361"/>
      <c r="I44" s="1361"/>
      <c r="J44" s="1361"/>
      <c r="K44" s="1361"/>
      <c r="L44" s="1361" t="s">
        <v>103</v>
      </c>
      <c r="M44" s="1361"/>
      <c r="N44" s="1361"/>
      <c r="O44" s="1361"/>
      <c r="P44" s="1211"/>
      <c r="Q44" s="1361"/>
      <c r="R44" s="1361"/>
      <c r="S44" s="1399"/>
      <c r="T44" s="1399"/>
      <c r="U44" s="1361"/>
      <c r="V44" s="1361"/>
      <c r="W44" s="1361"/>
      <c r="X44" s="1361"/>
      <c r="Y44" s="1399"/>
      <c r="Z44" s="1400"/>
      <c r="AA44" s="1361"/>
      <c r="AB44" s="1361"/>
      <c r="AC44" s="1361"/>
      <c r="AD44" s="1361"/>
      <c r="AE44" s="1361"/>
      <c r="AF44" s="1401"/>
      <c r="AG44" s="1361"/>
      <c r="AI44" s="1369"/>
      <c r="AJ44" s="2018"/>
      <c r="AK44" s="289"/>
      <c r="AL44" s="289"/>
    </row>
    <row r="45" spans="1:38" ht="16.350000000000001" customHeight="1">
      <c r="A45" s="1381" t="s">
        <v>144</v>
      </c>
      <c r="B45" s="1381"/>
      <c r="C45" s="1382"/>
      <c r="D45" s="1424">
        <f>ROUND(SUM(D20-D42),1)</f>
        <v>-5657.5</v>
      </c>
      <c r="E45" s="1405"/>
      <c r="F45" s="1424">
        <f>ROUND(SUM(F20-F42),1)</f>
        <v>-27149.599999999999</v>
      </c>
      <c r="G45" s="1405"/>
      <c r="H45" s="1424">
        <f>ROUND(SUM(H20-H42),1)</f>
        <v>744.1</v>
      </c>
      <c r="I45" s="1405"/>
      <c r="J45" s="1424">
        <f>ROUND(SUM(J20-J42),1)</f>
        <v>3694.4</v>
      </c>
      <c r="K45" s="1405"/>
      <c r="L45" s="1424">
        <f>ROUND(SUM(L20-L42),1)</f>
        <v>2288.5</v>
      </c>
      <c r="M45" s="1405" t="s">
        <v>103</v>
      </c>
      <c r="N45" s="1424">
        <f>ROUND(SUM(N20-N42),1)</f>
        <v>29843.599999999999</v>
      </c>
      <c r="O45" s="1405" t="s">
        <v>103</v>
      </c>
      <c r="P45" s="2036">
        <f>ROUND(SUM(P20-P42),1)</f>
        <v>-1269.4000000000001</v>
      </c>
      <c r="Q45" s="1405" t="s">
        <v>103</v>
      </c>
      <c r="R45" s="2036">
        <f>ROUND(SUM(R20-R42),1)</f>
        <v>-5960.8</v>
      </c>
      <c r="S45" s="1407"/>
      <c r="T45" s="1407"/>
      <c r="U45" s="1405"/>
      <c r="V45" s="1424">
        <f>ROUND(SUM(V20-V42),1)</f>
        <v>-3894.3</v>
      </c>
      <c r="W45" s="1405" t="s">
        <v>103</v>
      </c>
      <c r="X45" s="1424">
        <f>ROUND(SUM(X20-X42),1)</f>
        <v>427.6</v>
      </c>
      <c r="Y45" s="1407"/>
      <c r="Z45" s="1408"/>
      <c r="AA45" s="1405"/>
      <c r="AB45" s="1424">
        <f>ROUND(SUM(AB20-AB42),1)</f>
        <v>-1133.0999999999999</v>
      </c>
      <c r="AC45" s="1405"/>
      <c r="AD45" s="1424">
        <f>ROUND(SUM(AD20-AD42),1)</f>
        <v>937.8</v>
      </c>
      <c r="AE45" s="1405"/>
      <c r="AF45" s="1409"/>
      <c r="AG45" s="1424">
        <f>ROUND(SUM(X45-AD45),1)</f>
        <v>-510.2</v>
      </c>
      <c r="AH45" s="1410"/>
      <c r="AI45" s="1425">
        <f>ROUND(SUM((+X45-AD45)/ABS(AD45)),3)</f>
        <v>-0.54400000000000004</v>
      </c>
      <c r="AJ45" s="2020"/>
      <c r="AK45" s="289"/>
      <c r="AL45" s="289"/>
    </row>
    <row r="46" spans="1:38" ht="16.350000000000001" customHeight="1">
      <c r="A46" s="1382"/>
      <c r="B46" s="1382"/>
      <c r="C46" s="1382"/>
      <c r="D46" s="1361"/>
      <c r="E46" s="1361"/>
      <c r="F46" s="1361"/>
      <c r="G46" s="1361"/>
      <c r="H46" s="1361"/>
      <c r="I46" s="1361"/>
      <c r="J46" s="1361" t="s">
        <v>103</v>
      </c>
      <c r="K46" s="1361"/>
      <c r="L46" s="1361"/>
      <c r="M46" s="1361"/>
      <c r="N46" s="1361"/>
      <c r="O46" s="1361"/>
      <c r="P46" s="1211"/>
      <c r="Q46" s="1361"/>
      <c r="R46" s="1361"/>
      <c r="S46" s="2037"/>
      <c r="T46" s="1399"/>
      <c r="U46" s="1361"/>
      <c r="W46" s="1361"/>
      <c r="X46" s="1361"/>
      <c r="Y46" s="1399"/>
      <c r="Z46" s="1400"/>
      <c r="AA46" s="1361"/>
      <c r="AB46" s="1361"/>
      <c r="AC46" s="1361"/>
      <c r="AD46" s="1361"/>
      <c r="AE46" s="1361"/>
      <c r="AF46" s="1401"/>
      <c r="AG46" s="1361"/>
      <c r="AI46" s="1369"/>
      <c r="AJ46" s="2018"/>
      <c r="AK46" s="289"/>
      <c r="AL46" s="289"/>
    </row>
    <row r="47" spans="1:38" ht="16.350000000000001" customHeight="1">
      <c r="A47" s="1381" t="s">
        <v>145</v>
      </c>
      <c r="B47" s="1381"/>
      <c r="C47" s="1382"/>
      <c r="D47" s="1361"/>
      <c r="E47" s="1361"/>
      <c r="F47" s="1361"/>
      <c r="G47" s="1361"/>
      <c r="H47" s="1361"/>
      <c r="I47" s="1361"/>
      <c r="J47" s="1361"/>
      <c r="K47" s="1361"/>
      <c r="L47" s="1361"/>
      <c r="M47" s="1361"/>
      <c r="N47" s="1361"/>
      <c r="O47" s="1361"/>
      <c r="P47" s="1211"/>
      <c r="Q47" s="1361"/>
      <c r="R47" s="1361"/>
      <c r="S47" s="1399"/>
      <c r="T47" s="1399"/>
      <c r="U47" s="1361"/>
      <c r="V47" s="1361"/>
      <c r="W47" s="1361"/>
      <c r="X47" s="1361"/>
      <c r="Y47" s="1399"/>
      <c r="Z47" s="1400"/>
      <c r="AA47" s="1361"/>
      <c r="AB47" s="1361"/>
      <c r="AC47" s="1361"/>
      <c r="AD47" s="1361"/>
      <c r="AE47" s="1361"/>
      <c r="AF47" s="1401"/>
      <c r="AG47" s="1361"/>
      <c r="AI47" s="1369"/>
      <c r="AJ47" s="2018"/>
      <c r="AK47" s="289"/>
      <c r="AL47" s="289"/>
    </row>
    <row r="48" spans="1:38" ht="18" customHeight="1">
      <c r="A48" s="1382" t="s">
        <v>146</v>
      </c>
      <c r="B48" s="1382"/>
      <c r="C48" s="1382"/>
      <c r="D48" s="1412">
        <v>0</v>
      </c>
      <c r="E48" s="1361"/>
      <c r="F48" s="1412">
        <v>0</v>
      </c>
      <c r="G48" s="1361"/>
      <c r="H48" s="1412">
        <v>0</v>
      </c>
      <c r="I48" s="1361"/>
      <c r="J48" s="1412">
        <v>0</v>
      </c>
      <c r="K48" s="1361"/>
      <c r="L48" s="1412">
        <v>0</v>
      </c>
      <c r="M48" s="1361"/>
      <c r="N48" s="1412">
        <v>0</v>
      </c>
      <c r="O48" s="1361"/>
      <c r="P48" s="1412">
        <f>'Exhibit I'!S91</f>
        <v>0</v>
      </c>
      <c r="Q48" s="1361"/>
      <c r="R48" s="1412">
        <f>'Exhibit I'!AF91</f>
        <v>0</v>
      </c>
      <c r="S48" s="1399"/>
      <c r="T48" s="1399"/>
      <c r="U48" s="1361"/>
      <c r="V48" s="1361">
        <f>ROUND(SUM(D48)+SUM(H48)+SUM(L48)+SUM(P48),1)</f>
        <v>0</v>
      </c>
      <c r="W48" s="1412"/>
      <c r="X48" s="1361">
        <f>ROUND(SUM(F48)+SUM(J48)+SUM(N48)+SUM(R48),1)</f>
        <v>0</v>
      </c>
      <c r="Y48" s="1426"/>
      <c r="Z48" s="1427"/>
      <c r="AA48" s="1428"/>
      <c r="AB48" s="1212">
        <v>0</v>
      </c>
      <c r="AC48" s="1412"/>
      <c r="AD48" s="1413">
        <f>'Exhibit I'!AI91</f>
        <v>0</v>
      </c>
      <c r="AE48" s="1412"/>
      <c r="AF48" s="1429"/>
      <c r="AG48" s="1361">
        <f>X48-AD48</f>
        <v>0</v>
      </c>
      <c r="AI48" s="1210">
        <f>ROUND(IF(AD48=0,0,AG48/ABS(AD48)),3)</f>
        <v>0</v>
      </c>
      <c r="AJ48" s="2021"/>
      <c r="AK48" s="289"/>
      <c r="AL48" s="289"/>
    </row>
    <row r="49" spans="1:40" ht="18" customHeight="1">
      <c r="A49" s="1382" t="s">
        <v>147</v>
      </c>
      <c r="B49" s="1391" t="s">
        <v>148</v>
      </c>
      <c r="C49" s="1382"/>
      <c r="D49" s="1361">
        <f>'Exhibit F'!R128+'Exhibit F'!R129+'Exhibit F'!R130+'Exhibit F'!R131</f>
        <v>2363.400000000001</v>
      </c>
      <c r="E49" s="1361"/>
      <c r="F49" s="1361">
        <f>'Exhibit F'!AC128+'Exhibit F'!AC129+'Exhibit F'!AC130+'Exhibit F'!AC131</f>
        <v>31824.300000000003</v>
      </c>
      <c r="G49" s="1361"/>
      <c r="H49" s="1361">
        <f>'Exhibit G'!R114-15.6</f>
        <v>407.09999999999957</v>
      </c>
      <c r="I49" s="1361"/>
      <c r="J49" s="1361">
        <f>'Exhibit G'!AE114</f>
        <v>2720.8</v>
      </c>
      <c r="K49" s="1361"/>
      <c r="L49" s="1361">
        <f>'Exhibit H'!P69</f>
        <v>29.800000000000011</v>
      </c>
      <c r="M49" s="1361"/>
      <c r="N49" s="1361">
        <f>'Exhibit H'!AA69</f>
        <v>1214.5999999999999</v>
      </c>
      <c r="O49" s="1361"/>
      <c r="P49" s="1412">
        <f>'Exhibit I'!S92</f>
        <v>864.3000000000003</v>
      </c>
      <c r="Q49" s="1361"/>
      <c r="R49" s="1361">
        <f>'Exhibit I'!AF92</f>
        <v>5052.6000000000004</v>
      </c>
      <c r="S49" s="1399"/>
      <c r="T49" s="1399"/>
      <c r="U49" s="1361"/>
      <c r="V49" s="1361">
        <f>ROUND(SUM(D49)+SUM(H49)+SUM(L49)+SUM(P49),1)</f>
        <v>3664.6</v>
      </c>
      <c r="W49" s="1361" t="s">
        <v>103</v>
      </c>
      <c r="X49" s="1361">
        <f>ROUND(SUM(F49)+SUM(J49)+SUM(N49)+SUM(R49),1)</f>
        <v>40812.300000000003</v>
      </c>
      <c r="Y49" s="1426"/>
      <c r="Z49" s="1427"/>
      <c r="AA49" s="1428"/>
      <c r="AB49" s="1212">
        <v>3781.3</v>
      </c>
      <c r="AC49" s="1361"/>
      <c r="AD49" s="1361">
        <f>'Exhibit F'!AF128+'Exhibit F'!AF129+'Exhibit F'!AF130+'Exhibit F'!AF131+'Exhibit G'!AH114+'Exhibit H'!AD69+'Exhibit I'!AI92</f>
        <v>36260.9</v>
      </c>
      <c r="AE49" s="1361"/>
      <c r="AF49" s="1401"/>
      <c r="AG49" s="1361">
        <f>ROUND(SUM(X49-AD49),1)</f>
        <v>4551.3999999999996</v>
      </c>
      <c r="AI49" s="1210">
        <f>ROUND(SUM((+X49-AD49)/ABS(AD49)),3)</f>
        <v>0.126</v>
      </c>
      <c r="AJ49" s="2018"/>
      <c r="AK49" s="289"/>
      <c r="AL49" s="289"/>
    </row>
    <row r="50" spans="1:40" ht="17.100000000000001" customHeight="1">
      <c r="A50" s="1382" t="s">
        <v>149</v>
      </c>
      <c r="B50" s="1391" t="s">
        <v>148</v>
      </c>
      <c r="C50" s="1382"/>
      <c r="D50" s="1361">
        <f>'Exhibit F'!R132+'Exhibit F'!R134+'Exhibit F'!R135+'Exhibit F'!R133</f>
        <v>-1254.7999999999995</v>
      </c>
      <c r="E50" s="1361"/>
      <c r="F50" s="1361">
        <f>'Exhibit F'!AC132+'Exhibit F'!AC134+'Exhibit F'!AC135+'Exhibit F'!AC133</f>
        <v>-13709.1</v>
      </c>
      <c r="G50" s="1361"/>
      <c r="H50" s="1361">
        <f>'Exhibit G'!R115+15.6</f>
        <v>-33.000000000000043</v>
      </c>
      <c r="I50" s="1361"/>
      <c r="J50" s="1361">
        <f>'Exhibit G'!AE115</f>
        <v>-2175.4</v>
      </c>
      <c r="K50" s="1361"/>
      <c r="L50" s="1361">
        <f>'Exhibit H'!P70</f>
        <v>-2378.300000000002</v>
      </c>
      <c r="M50" s="1361"/>
      <c r="N50" s="1361">
        <f>'Exhibit H'!AA70</f>
        <v>-31010</v>
      </c>
      <c r="O50" s="1361"/>
      <c r="P50" s="1412">
        <f>'Exhibit I'!S93</f>
        <v>-1.6000000000000005</v>
      </c>
      <c r="Q50" s="1361"/>
      <c r="R50" s="1361">
        <f>'Exhibit I'!AF93</f>
        <v>-48.1</v>
      </c>
      <c r="S50" s="1399"/>
      <c r="T50" s="1399"/>
      <c r="U50" s="1361"/>
      <c r="V50" s="1361">
        <f>ROUND(SUM(D50)+SUM(H50)+SUM(L50)+SUM(P50),1)</f>
        <v>-3667.7</v>
      </c>
      <c r="W50" s="1361" t="s">
        <v>103</v>
      </c>
      <c r="X50" s="1361">
        <f>ROUND(SUM(F50)+SUM(J50)+SUM(N50)+SUM(R50),1)</f>
        <v>-46942.6</v>
      </c>
      <c r="Y50" s="1426"/>
      <c r="Z50" s="1427"/>
      <c r="AA50" s="1428"/>
      <c r="AB50" s="1212">
        <v>-3784.9</v>
      </c>
      <c r="AC50" s="1361"/>
      <c r="AD50" s="1361">
        <f>'Exhibit F'!AF132+'Exhibit F'!AF133+'Exhibit F'!AF134+'Exhibit F'!AF135+'Exhibit G'!AH115+'Exhibit H'!AD70+'Exhibit I'!AI93</f>
        <v>-36338.300000000003</v>
      </c>
      <c r="AE50" s="1361"/>
      <c r="AF50" s="1401"/>
      <c r="AG50" s="1423">
        <f>ROUND(SUM(X50-AD50),1)*-1</f>
        <v>10604.3</v>
      </c>
      <c r="AI50" s="1430">
        <f>-ROUND(SUM((+X50-AD50)/ABS(AD50)),3)</f>
        <v>0.29199999999999998</v>
      </c>
      <c r="AJ50" s="2018"/>
      <c r="AK50" s="289"/>
      <c r="AL50" s="289"/>
    </row>
    <row r="51" spans="1:40" ht="18" customHeight="1">
      <c r="A51" s="1381" t="s">
        <v>150</v>
      </c>
      <c r="B51" s="1381"/>
      <c r="C51" s="1382"/>
      <c r="D51" s="1406">
        <f>ROUND(SUM(D48:D50),1)</f>
        <v>1108.5999999999999</v>
      </c>
      <c r="E51" s="1361"/>
      <c r="F51" s="1406">
        <f>ROUND(SUM(F48:F50),1)</f>
        <v>18115.2</v>
      </c>
      <c r="G51" s="1405"/>
      <c r="H51" s="1406">
        <f>ROUND(SUM(H48:H50),1)</f>
        <v>374.1</v>
      </c>
      <c r="I51" s="1405"/>
      <c r="J51" s="1406">
        <f>ROUND(SUM(J48:J50),1)</f>
        <v>545.4</v>
      </c>
      <c r="K51" s="1405"/>
      <c r="L51" s="1406">
        <f>ROUND(SUM(L48:L50),1)</f>
        <v>-2348.5</v>
      </c>
      <c r="M51" s="1405"/>
      <c r="N51" s="1406">
        <f>ROUND(SUM(N48:N50),1)</f>
        <v>-29795.4</v>
      </c>
      <c r="O51" s="1405"/>
      <c r="P51" s="1406">
        <f>ROUND(SUM(P48:P50),1)</f>
        <v>862.7</v>
      </c>
      <c r="Q51" s="1405"/>
      <c r="R51" s="1406">
        <f>ROUND(SUM(R48:R50),1)</f>
        <v>5004.5</v>
      </c>
      <c r="S51" s="1407"/>
      <c r="T51" s="1407"/>
      <c r="U51" s="1405"/>
      <c r="V51" s="1431">
        <f>ROUND(SUM(V48+V49+V50),1)</f>
        <v>-3.1</v>
      </c>
      <c r="W51" s="1405"/>
      <c r="X51" s="1431">
        <f>ROUND(SUM(+X48+X49+X50),1)</f>
        <v>-6130.3</v>
      </c>
      <c r="Y51" s="1432"/>
      <c r="Z51" s="1433"/>
      <c r="AA51" s="1434"/>
      <c r="AB51" s="1431">
        <f>ROUND(SUM(+AB48+AB49+AB50),1)</f>
        <v>-3.6</v>
      </c>
      <c r="AC51" s="1405"/>
      <c r="AD51" s="1431">
        <f>ROUND(SUM(+AD48+AD49+AD50),1)</f>
        <v>-77.400000000000006</v>
      </c>
      <c r="AE51" s="1435"/>
      <c r="AF51" s="1409"/>
      <c r="AG51" s="1403">
        <f>ROUND(SUM(+AG49-AG50+AG48),1)</f>
        <v>-6052.9</v>
      </c>
      <c r="AH51" s="1410"/>
      <c r="AI51" s="1425">
        <f>-ROUND(SUM(AG51/AD51),3)</f>
        <v>-78.203000000000003</v>
      </c>
      <c r="AJ51" s="2020"/>
      <c r="AK51" s="289"/>
      <c r="AL51" s="289"/>
    </row>
    <row r="52" spans="1:40" ht="16.350000000000001" customHeight="1">
      <c r="A52" s="1382"/>
      <c r="B52" s="1382"/>
      <c r="C52" s="1382"/>
      <c r="D52" s="1361"/>
      <c r="E52" s="1361"/>
      <c r="F52" s="1361" t="s">
        <v>103</v>
      </c>
      <c r="G52" s="1361"/>
      <c r="H52" s="1361" t="s">
        <v>103</v>
      </c>
      <c r="I52" s="1361"/>
      <c r="J52" s="1361" t="s">
        <v>103</v>
      </c>
      <c r="K52" s="1361"/>
      <c r="L52" s="1361" t="s">
        <v>103</v>
      </c>
      <c r="M52" s="1361"/>
      <c r="N52" s="1361"/>
      <c r="O52" s="1361"/>
      <c r="P52" s="1361" t="s">
        <v>103</v>
      </c>
      <c r="Q52" s="1361"/>
      <c r="R52" s="1361" t="s">
        <v>103</v>
      </c>
      <c r="S52" s="1399"/>
      <c r="T52" s="1399"/>
      <c r="U52" s="1361"/>
      <c r="V52" s="1361" t="s">
        <v>103</v>
      </c>
      <c r="W52" s="1361"/>
      <c r="X52" s="1361" t="s">
        <v>103</v>
      </c>
      <c r="Y52" s="1399"/>
      <c r="Z52" s="1400"/>
      <c r="AA52" s="1361"/>
      <c r="AB52" s="1361"/>
      <c r="AC52" s="1361"/>
      <c r="AD52" s="1361"/>
      <c r="AE52" s="1361"/>
      <c r="AF52" s="1401"/>
      <c r="AG52" s="1361"/>
      <c r="AI52" s="1369"/>
      <c r="AJ52" s="2018"/>
      <c r="AK52" s="289"/>
      <c r="AL52" s="289"/>
    </row>
    <row r="53" spans="1:40" ht="18" customHeight="1">
      <c r="A53" s="1381" t="s">
        <v>143</v>
      </c>
      <c r="B53" s="1381"/>
      <c r="C53" s="1382"/>
      <c r="D53" s="1361" t="s">
        <v>103</v>
      </c>
      <c r="E53" s="1361"/>
      <c r="F53" s="1361" t="s">
        <v>103</v>
      </c>
      <c r="G53" s="1361"/>
      <c r="H53" s="1361" t="s">
        <v>103</v>
      </c>
      <c r="I53" s="1361"/>
      <c r="J53" s="1361"/>
      <c r="K53" s="1361"/>
      <c r="L53" s="1361" t="s">
        <v>103</v>
      </c>
      <c r="M53" s="1361"/>
      <c r="N53" s="1361"/>
      <c r="O53" s="1361"/>
      <c r="P53" s="1361" t="s">
        <v>103</v>
      </c>
      <c r="Q53" s="1361"/>
      <c r="R53" s="1361"/>
      <c r="S53" s="1399"/>
      <c r="T53" s="1399"/>
      <c r="U53" s="1361"/>
      <c r="V53" s="1361" t="s">
        <v>103</v>
      </c>
      <c r="W53" s="1361"/>
      <c r="X53" s="1361"/>
      <c r="Y53" s="1399"/>
      <c r="Z53" s="1400"/>
      <c r="AA53" s="1361"/>
      <c r="AB53" s="1361"/>
      <c r="AC53" s="1361"/>
      <c r="AD53" s="1361"/>
      <c r="AE53" s="1361"/>
      <c r="AF53" s="1401"/>
      <c r="AG53" s="1361"/>
      <c r="AI53" s="1436"/>
      <c r="AJ53" s="2018"/>
      <c r="AK53" s="289"/>
      <c r="AL53" s="289"/>
    </row>
    <row r="54" spans="1:40" ht="18" customHeight="1">
      <c r="A54" s="1381" t="s">
        <v>151</v>
      </c>
      <c r="B54" s="1381"/>
      <c r="C54" s="1382"/>
      <c r="D54" s="1361"/>
      <c r="E54" s="1361"/>
      <c r="F54" s="1361"/>
      <c r="G54" s="1361"/>
      <c r="H54" s="1361"/>
      <c r="I54" s="1361"/>
      <c r="J54" s="1361"/>
      <c r="K54" s="1361"/>
      <c r="L54" s="1361"/>
      <c r="M54" s="1361"/>
      <c r="N54" s="1361"/>
      <c r="O54" s="1361"/>
      <c r="P54" s="1361"/>
      <c r="Q54" s="1361"/>
      <c r="R54" s="1361"/>
      <c r="S54" s="1399"/>
      <c r="T54" s="1399"/>
      <c r="U54" s="1361"/>
      <c r="V54" s="1361" t="s">
        <v>103</v>
      </c>
      <c r="W54" s="1361"/>
      <c r="X54" s="1361"/>
      <c r="Y54" s="1399"/>
      <c r="Z54" s="1400"/>
      <c r="AA54" s="1361"/>
      <c r="AB54" s="1361"/>
      <c r="AC54" s="1361"/>
      <c r="AD54" s="1361"/>
      <c r="AE54" s="1361"/>
      <c r="AF54" s="1401"/>
      <c r="AG54" s="1361"/>
      <c r="AI54" s="1369"/>
      <c r="AJ54" s="2018"/>
      <c r="AK54" s="289"/>
      <c r="AL54" s="289"/>
    </row>
    <row r="55" spans="1:40" ht="18" customHeight="1">
      <c r="A55" s="1381" t="s">
        <v>152</v>
      </c>
      <c r="B55" s="1381"/>
      <c r="C55" s="1382"/>
      <c r="D55" s="1405">
        <f>ROUND(SUM(D45+D51),1)</f>
        <v>-4548.8999999999996</v>
      </c>
      <c r="E55" s="1405"/>
      <c r="F55" s="1405">
        <f>ROUND(SUM(F45)+SUM(F51),1)</f>
        <v>-9034.4</v>
      </c>
      <c r="G55" s="1405"/>
      <c r="H55" s="1405">
        <f>ROUND(SUM(H45+H51),1)</f>
        <v>1118.2</v>
      </c>
      <c r="I55" s="1405"/>
      <c r="J55" s="1405">
        <f>ROUND(SUM(J45)+SUM(J51),1)</f>
        <v>4239.8</v>
      </c>
      <c r="K55" s="1405"/>
      <c r="L55" s="1405">
        <f>ROUND(SUM(L45+L51),1)</f>
        <v>-60</v>
      </c>
      <c r="M55" s="1405"/>
      <c r="N55" s="1405">
        <f>ROUND(SUM(N45+N51),1)</f>
        <v>48.2</v>
      </c>
      <c r="O55" s="1405"/>
      <c r="P55" s="1405">
        <f>ROUND(SUM(P45+P51),1)</f>
        <v>-406.7</v>
      </c>
      <c r="Q55" s="1405"/>
      <c r="R55" s="1405">
        <f>ROUND(SUM(R45+R51),1)</f>
        <v>-956.3</v>
      </c>
      <c r="S55" s="1407"/>
      <c r="T55" s="1407"/>
      <c r="U55" s="1405"/>
      <c r="V55" s="1405">
        <f>ROUND(SUM(V45)+SUM(V51),1)</f>
        <v>-3897.4</v>
      </c>
      <c r="W55" s="1405"/>
      <c r="X55" s="1405">
        <f>ROUND(SUM(X45)+SUM(X51),1)</f>
        <v>-5702.7</v>
      </c>
      <c r="Y55" s="1432"/>
      <c r="Z55" s="1433"/>
      <c r="AA55" s="1434"/>
      <c r="AB55" s="1405">
        <f>ROUND(SUM(AB45)+SUM(AB51),1)</f>
        <v>-1136.7</v>
      </c>
      <c r="AC55" s="1434"/>
      <c r="AD55" s="1">
        <f>ROUND(SUM(AD45)+SUM(AD51),1)</f>
        <v>860.4</v>
      </c>
      <c r="AE55" s="1434"/>
      <c r="AF55" s="1437"/>
      <c r="AG55" s="1405">
        <f>ROUND(SUM(+AG45+AG51),1)</f>
        <v>-6563.1</v>
      </c>
      <c r="AH55" s="1410"/>
      <c r="AI55" s="1438">
        <f>ROUND(SUM((+X55-AD55)/ABS(AD55)),3)</f>
        <v>-7.6280000000000001</v>
      </c>
      <c r="AJ55" s="2020"/>
      <c r="AK55" s="290"/>
      <c r="AL55" s="289"/>
    </row>
    <row r="56" spans="1:40" ht="16.350000000000001" customHeight="1">
      <c r="A56" s="1381"/>
      <c r="B56" s="1381"/>
      <c r="C56" s="1382"/>
      <c r="D56" s="1361"/>
      <c r="E56" s="1361"/>
      <c r="F56" s="1361"/>
      <c r="G56" s="1361"/>
      <c r="H56" s="1361"/>
      <c r="I56" s="1361"/>
      <c r="J56" s="1361"/>
      <c r="K56" s="1361"/>
      <c r="L56" s="1361"/>
      <c r="M56" s="1361"/>
      <c r="N56" s="1361"/>
      <c r="O56" s="1361"/>
      <c r="P56" s="1361"/>
      <c r="Q56" s="1361"/>
      <c r="R56" s="1361"/>
      <c r="S56" s="1399"/>
      <c r="T56" s="1399"/>
      <c r="U56" s="1361"/>
      <c r="V56" s="1361"/>
      <c r="W56" s="1361"/>
      <c r="X56" s="1361"/>
      <c r="Y56" s="1426"/>
      <c r="Z56" s="1427"/>
      <c r="AA56" s="1428"/>
      <c r="AB56" s="1428"/>
      <c r="AC56" s="1428"/>
      <c r="AD56" s="258"/>
      <c r="AE56" s="1428"/>
      <c r="AF56" s="1439"/>
      <c r="AG56" s="1361"/>
      <c r="AI56" s="1369"/>
      <c r="AJ56" s="2018"/>
      <c r="AK56" s="289"/>
      <c r="AL56" s="289"/>
    </row>
    <row r="57" spans="1:40" ht="18" customHeight="1">
      <c r="A57" s="1440" t="s">
        <v>153</v>
      </c>
      <c r="B57" s="1391"/>
      <c r="C57" s="1382"/>
      <c r="D57" s="1424">
        <f>'Exhibit F'!R13</f>
        <v>52430.3</v>
      </c>
      <c r="E57" s="1405"/>
      <c r="F57" s="1424">
        <f>'Exhibit F'!D13</f>
        <v>56915.8</v>
      </c>
      <c r="G57" s="1405"/>
      <c r="H57" s="1424">
        <f>'Exhibit G'!R13</f>
        <v>21240.799999999999</v>
      </c>
      <c r="I57" s="1405"/>
      <c r="J57" s="1424">
        <f>'Exhibit G'!D13</f>
        <v>18119.2</v>
      </c>
      <c r="K57" s="1405"/>
      <c r="L57" s="1424">
        <f>'Exhibit H'!P13</f>
        <v>225.6</v>
      </c>
      <c r="M57" s="1405"/>
      <c r="N57" s="1424">
        <f>'Exhibit H'!B13</f>
        <v>117.4</v>
      </c>
      <c r="O57" s="1405"/>
      <c r="P57" s="1424">
        <f>'Exhibit I'!S13</f>
        <v>-2005.6</v>
      </c>
      <c r="Q57" s="1405"/>
      <c r="R57" s="1424">
        <f>'Exhibit I'!E13</f>
        <v>-1456</v>
      </c>
      <c r="S57" s="1407"/>
      <c r="T57" s="1407"/>
      <c r="U57" s="1405"/>
      <c r="V57" s="1424">
        <f>D57+H57+L57+P57</f>
        <v>71891.100000000006</v>
      </c>
      <c r="W57" s="1405"/>
      <c r="X57" s="1424">
        <f>F57+J57+N57+R57</f>
        <v>73696.399999999994</v>
      </c>
      <c r="Y57" s="1432"/>
      <c r="Z57" s="1433"/>
      <c r="AA57" s="1434"/>
      <c r="AB57" s="1991">
        <v>67909.3</v>
      </c>
      <c r="AC57" s="1434"/>
      <c r="AD57" s="999">
        <f>'Exhibit F'!AF13+'Exhibit G'!AH13+'Exhibit H'!AD13+'Exhibit I'!AI13</f>
        <v>65912.2</v>
      </c>
      <c r="AE57" s="1434"/>
      <c r="AF57" s="1437"/>
      <c r="AG57" s="1424">
        <f>ROUND(SUM(X57-AD57),1)</f>
        <v>7784.2</v>
      </c>
      <c r="AH57" s="1410"/>
      <c r="AI57" s="1441">
        <f>ROUND(SUM((+X57-AD57)/ABS(AD57)),3)</f>
        <v>0.11799999999999999</v>
      </c>
      <c r="AJ57" s="2020"/>
      <c r="AK57" s="289"/>
      <c r="AL57" s="289"/>
    </row>
    <row r="58" spans="1:40" ht="16.350000000000001" customHeight="1">
      <c r="A58" s="1382"/>
      <c r="B58" s="1382"/>
      <c r="C58" s="1382"/>
      <c r="D58" s="1361"/>
      <c r="E58" s="1361"/>
      <c r="F58" s="1361"/>
      <c r="G58" s="1361"/>
      <c r="H58" s="1361"/>
      <c r="I58" s="1361"/>
      <c r="J58" s="1361"/>
      <c r="K58" s="1361"/>
      <c r="L58" s="1361"/>
      <c r="M58" s="1361"/>
      <c r="N58" s="1361"/>
      <c r="O58" s="1361"/>
      <c r="P58" s="1361"/>
      <c r="Q58" s="1361"/>
      <c r="R58" s="1361"/>
      <c r="S58" s="1399"/>
      <c r="T58" s="1399"/>
      <c r="U58" s="1361"/>
      <c r="V58" s="1361"/>
      <c r="W58" s="1361"/>
      <c r="X58" s="1361"/>
      <c r="Y58" s="1426"/>
      <c r="Z58" s="1427"/>
      <c r="AA58" s="1428"/>
      <c r="AB58" s="1428"/>
      <c r="AC58" s="1428"/>
      <c r="AD58" s="258"/>
      <c r="AE58" s="1428"/>
      <c r="AF58" s="1439"/>
      <c r="AG58" s="1361"/>
      <c r="AI58" s="1369"/>
      <c r="AJ58" s="2018"/>
      <c r="AK58" s="289"/>
      <c r="AL58" s="289"/>
    </row>
    <row r="59" spans="1:40" ht="18" customHeight="1" thickBot="1">
      <c r="A59" s="1440" t="s">
        <v>154</v>
      </c>
      <c r="B59" s="1418"/>
      <c r="C59" s="1210"/>
      <c r="D59" s="1442">
        <f>ROUND(SUM(D55+D57),1)</f>
        <v>47881.4</v>
      </c>
      <c r="E59" s="1443"/>
      <c r="F59" s="1442">
        <f>ROUND(SUM(F55+F57),1)</f>
        <v>47881.4</v>
      </c>
      <c r="G59" s="1443"/>
      <c r="H59" s="1442">
        <f>ROUND(SUM(H55+H57),1)</f>
        <v>22359</v>
      </c>
      <c r="I59" s="1443"/>
      <c r="J59" s="1442">
        <f>ROUND(SUM(J55)+SUM(J57),1)</f>
        <v>22359</v>
      </c>
      <c r="K59" s="1443"/>
      <c r="L59" s="1442">
        <f>ROUND(SUM(L55+L57),1)</f>
        <v>165.6</v>
      </c>
      <c r="M59" s="1443"/>
      <c r="N59" s="1442">
        <f>ROUND(SUM(N55+N57),1)</f>
        <v>165.6</v>
      </c>
      <c r="O59" s="1443"/>
      <c r="P59" s="1442">
        <f>ROUND(SUM(P55+P57),1)</f>
        <v>-2412.3000000000002</v>
      </c>
      <c r="Q59" s="1443"/>
      <c r="R59" s="1442">
        <f>ROUND(SUM(R55+R57),1)</f>
        <v>-2412.3000000000002</v>
      </c>
      <c r="S59" s="2038"/>
      <c r="T59" s="2038"/>
      <c r="U59" s="1443"/>
      <c r="V59" s="1442">
        <f>ROUND(SUM(V55+V57),1)</f>
        <v>67993.7</v>
      </c>
      <c r="W59" s="1443"/>
      <c r="X59" s="1442">
        <f>ROUND(SUM(X55+X57),1)</f>
        <v>67993.7</v>
      </c>
      <c r="Y59" s="1444"/>
      <c r="Z59" s="1445"/>
      <c r="AA59" s="1446"/>
      <c r="AB59" s="1442">
        <f>ROUND(SUM(AB55+AB57),1)</f>
        <v>66772.600000000006</v>
      </c>
      <c r="AC59" s="1446"/>
      <c r="AD59" s="1330">
        <f>ROUND(SUM(AD55+AD57),1)</f>
        <v>66772.600000000006</v>
      </c>
      <c r="AE59" s="1446"/>
      <c r="AF59" s="1447"/>
      <c r="AG59" s="1442">
        <f>ROUND(SUM(AG55+AG57),1)</f>
        <v>1221.0999999999999</v>
      </c>
      <c r="AH59" s="1410"/>
      <c r="AI59" s="1448">
        <f>ROUND(SUM((+X59-AD59)/ABS(AD59)),3)</f>
        <v>1.7999999999999999E-2</v>
      </c>
      <c r="AJ59" s="2020"/>
      <c r="AK59" s="290"/>
      <c r="AL59" s="290"/>
      <c r="AM59" s="1450"/>
      <c r="AN59" s="1451"/>
    </row>
    <row r="60" spans="1:40" ht="15">
      <c r="A60" s="1452"/>
      <c r="B60" s="1452"/>
      <c r="C60" s="1452"/>
      <c r="D60" s="1382"/>
      <c r="E60" s="1382"/>
      <c r="F60" s="1382"/>
      <c r="G60" s="1382"/>
      <c r="H60" s="1382"/>
      <c r="I60" s="1382"/>
      <c r="J60" s="1382" t="s">
        <v>103</v>
      </c>
      <c r="K60" s="1382"/>
      <c r="L60" s="1382"/>
      <c r="M60" s="1382"/>
      <c r="N60" s="1382"/>
      <c r="O60" s="1382"/>
      <c r="P60" s="1382"/>
      <c r="Q60" s="1382"/>
      <c r="R60" s="1382"/>
      <c r="S60" s="1453"/>
      <c r="T60" s="1453"/>
      <c r="U60" s="1453"/>
      <c r="V60" s="1453" t="s">
        <v>103</v>
      </c>
      <c r="W60" s="1453"/>
      <c r="X60" s="1382"/>
      <c r="Y60" s="1453"/>
      <c r="Z60" s="1453"/>
      <c r="AA60" s="1453"/>
      <c r="AB60" s="1453"/>
      <c r="AC60" s="1453"/>
      <c r="AD60" s="1453"/>
      <c r="AE60" s="1453"/>
      <c r="AF60" s="1453"/>
      <c r="AG60" s="1453"/>
      <c r="AI60" s="1454"/>
      <c r="AJ60" s="2017"/>
      <c r="AK60" s="289"/>
      <c r="AL60" s="289"/>
    </row>
    <row r="61" spans="1:40" ht="15.75">
      <c r="A61" s="1455"/>
      <c r="B61" s="1410"/>
      <c r="C61" s="1410"/>
      <c r="P61" s="1455"/>
      <c r="R61" s="1455"/>
      <c r="T61" s="1370" t="s">
        <v>103</v>
      </c>
      <c r="V61" s="1370" t="s">
        <v>103</v>
      </c>
      <c r="X61" s="1369"/>
      <c r="AI61" s="1454"/>
      <c r="AJ61" s="2017"/>
      <c r="AK61" s="289"/>
      <c r="AL61" s="289"/>
    </row>
    <row r="62" spans="1:40" ht="15">
      <c r="AB62" s="1456"/>
      <c r="AD62" s="1369"/>
      <c r="AI62" s="1454"/>
      <c r="AJ62" s="2017"/>
      <c r="AK62" s="289"/>
      <c r="AL62" s="289"/>
    </row>
    <row r="63" spans="1:40" ht="15">
      <c r="V63" s="1370" t="s">
        <v>103</v>
      </c>
      <c r="AB63" s="1456"/>
      <c r="AI63" s="1454"/>
      <c r="AJ63" s="2017"/>
      <c r="AK63" s="289"/>
      <c r="AL63" s="289"/>
    </row>
    <row r="64" spans="1:40" ht="15.75">
      <c r="A64" s="1457"/>
      <c r="AI64" s="1454"/>
      <c r="AJ64" s="2017"/>
      <c r="AK64" s="289"/>
      <c r="AL64" s="289"/>
    </row>
    <row r="65" spans="1:38" ht="15.75">
      <c r="A65" s="1457"/>
      <c r="AB65" s="1456"/>
      <c r="AI65" s="1454"/>
      <c r="AJ65" s="2017"/>
      <c r="AK65" s="289"/>
      <c r="AL65" s="289"/>
    </row>
    <row r="66" spans="1:38" ht="15.75">
      <c r="A66" s="1458"/>
      <c r="B66" s="1459"/>
      <c r="C66" s="1455"/>
      <c r="D66" s="1460"/>
      <c r="E66" s="1460"/>
      <c r="F66" s="1460"/>
      <c r="G66" s="1460"/>
      <c r="H66" s="1460"/>
      <c r="I66" s="1460"/>
      <c r="J66" s="1460"/>
      <c r="K66" s="1460"/>
      <c r="L66" s="1460"/>
      <c r="AI66" s="1454"/>
      <c r="AJ66" s="2017"/>
      <c r="AK66" s="289"/>
      <c r="AL66" s="289"/>
    </row>
    <row r="67" spans="1:38" ht="15">
      <c r="A67" s="1369"/>
      <c r="B67" s="1369"/>
      <c r="C67" s="1369"/>
      <c r="D67" s="1369"/>
      <c r="E67" s="1369"/>
      <c r="F67" s="1369"/>
      <c r="G67" s="1369"/>
      <c r="H67" s="1369"/>
      <c r="I67" s="1369"/>
      <c r="J67" s="1369"/>
      <c r="K67" s="1369"/>
      <c r="L67" s="1369"/>
      <c r="N67" s="1370" t="s">
        <v>103</v>
      </c>
      <c r="AI67" s="1454"/>
      <c r="AJ67" s="2017"/>
      <c r="AK67" s="289"/>
      <c r="AL67" s="289"/>
    </row>
    <row r="68" spans="1:38" ht="15">
      <c r="A68" s="1369"/>
      <c r="B68" s="1369"/>
      <c r="C68" s="1369"/>
      <c r="D68" s="1369"/>
      <c r="E68" s="1369"/>
      <c r="F68" s="1369"/>
      <c r="G68" s="1369"/>
      <c r="H68" s="1369"/>
      <c r="I68" s="1369"/>
      <c r="J68" s="1369"/>
      <c r="K68" s="1369"/>
      <c r="L68" s="1369"/>
      <c r="N68" s="1370" t="s">
        <v>103</v>
      </c>
      <c r="AI68" s="1454"/>
      <c r="AJ68" s="2017"/>
      <c r="AK68" s="289"/>
      <c r="AL68" s="289"/>
    </row>
    <row r="69" spans="1:38" ht="15">
      <c r="A69" s="1369"/>
      <c r="B69" s="1369"/>
      <c r="C69" s="1369"/>
      <c r="D69" s="1369"/>
      <c r="E69" s="1369"/>
      <c r="F69" s="1369"/>
      <c r="G69" s="1369"/>
      <c r="H69" s="1369"/>
      <c r="I69" s="1369"/>
      <c r="J69" s="1369"/>
      <c r="K69" s="1369"/>
      <c r="L69" s="1369"/>
      <c r="AI69" s="1454"/>
      <c r="AJ69" s="2017"/>
      <c r="AK69" s="289"/>
      <c r="AL69" s="289"/>
    </row>
    <row r="70" spans="1:38" ht="15">
      <c r="AI70" s="1454"/>
      <c r="AJ70" s="2017"/>
      <c r="AK70" s="289"/>
      <c r="AL70" s="289"/>
    </row>
    <row r="71" spans="1:38" ht="15">
      <c r="AI71" s="1454"/>
      <c r="AJ71" s="2017"/>
      <c r="AK71" s="289"/>
      <c r="AL71" s="289"/>
    </row>
    <row r="72" spans="1:38" ht="15">
      <c r="AI72" s="1454"/>
      <c r="AJ72" s="2017"/>
      <c r="AK72" s="289"/>
      <c r="AL72" s="289"/>
    </row>
    <row r="73" spans="1:38" ht="15">
      <c r="AI73" s="1454"/>
      <c r="AJ73" s="2017"/>
      <c r="AK73" s="289"/>
      <c r="AL73" s="289"/>
    </row>
    <row r="74" spans="1:38" ht="15">
      <c r="AI74" s="1454"/>
      <c r="AJ74" s="2017"/>
      <c r="AK74" s="289"/>
      <c r="AL74" s="289"/>
    </row>
    <row r="75" spans="1:38" ht="15">
      <c r="AI75" s="1454"/>
      <c r="AJ75" s="2017"/>
      <c r="AK75" s="289"/>
      <c r="AL75" s="289"/>
    </row>
    <row r="76" spans="1:38" ht="15">
      <c r="AI76" s="1454"/>
      <c r="AJ76" s="2017"/>
      <c r="AK76" s="289"/>
      <c r="AL76" s="289"/>
    </row>
    <row r="77" spans="1:38" ht="15">
      <c r="AI77" s="1454"/>
      <c r="AJ77" s="2017"/>
      <c r="AK77" s="289"/>
      <c r="AL77" s="289"/>
    </row>
    <row r="78" spans="1:38" ht="15">
      <c r="AI78" s="1454"/>
      <c r="AJ78" s="2017"/>
      <c r="AK78" s="289"/>
      <c r="AL78" s="289"/>
    </row>
    <row r="79" spans="1:38" ht="15">
      <c r="AI79" s="1454"/>
      <c r="AJ79" s="2017"/>
      <c r="AK79" s="289"/>
      <c r="AL79" s="289"/>
    </row>
    <row r="80" spans="1:38" ht="15">
      <c r="AI80" s="1454"/>
      <c r="AJ80" s="2017"/>
      <c r="AK80" s="289"/>
      <c r="AL80" s="289"/>
    </row>
    <row r="81" spans="35:38" ht="15">
      <c r="AI81" s="1454"/>
      <c r="AJ81" s="2017"/>
      <c r="AK81" s="289"/>
      <c r="AL81" s="289"/>
    </row>
    <row r="82" spans="35:38" ht="15">
      <c r="AI82" s="1454"/>
      <c r="AJ82" s="2017"/>
      <c r="AK82" s="289"/>
      <c r="AL82" s="289"/>
    </row>
    <row r="83" spans="35:38" ht="15">
      <c r="AI83" s="1454"/>
      <c r="AJ83" s="2017"/>
      <c r="AK83" s="289"/>
      <c r="AL83" s="289"/>
    </row>
    <row r="84" spans="35:38" ht="15">
      <c r="AI84" s="1454"/>
      <c r="AJ84" s="2017"/>
      <c r="AK84" s="289"/>
      <c r="AL84" s="289"/>
    </row>
    <row r="85" spans="35:38" ht="15">
      <c r="AI85" s="1454"/>
      <c r="AJ85" s="2017"/>
      <c r="AK85" s="289"/>
      <c r="AL85" s="289"/>
    </row>
    <row r="86" spans="35:38" ht="15">
      <c r="AI86" s="1454"/>
      <c r="AJ86" s="2017"/>
      <c r="AK86" s="289"/>
      <c r="AL86" s="289"/>
    </row>
    <row r="87" spans="35:38" ht="15">
      <c r="AI87" s="1454"/>
      <c r="AJ87" s="2017"/>
      <c r="AK87" s="289"/>
      <c r="AL87" s="289"/>
    </row>
    <row r="88" spans="35:38" ht="15">
      <c r="AI88" s="1454"/>
      <c r="AJ88" s="2017"/>
      <c r="AK88" s="289"/>
      <c r="AL88" s="289"/>
    </row>
    <row r="89" spans="35:38" ht="15">
      <c r="AI89" s="1454"/>
      <c r="AJ89" s="2017"/>
      <c r="AK89" s="289"/>
      <c r="AL89" s="289"/>
    </row>
    <row r="90" spans="35:38" ht="15">
      <c r="AI90" s="1454"/>
      <c r="AJ90" s="2017"/>
      <c r="AK90" s="289"/>
      <c r="AL90" s="289"/>
    </row>
    <row r="91" spans="35:38" ht="15">
      <c r="AI91" s="1454"/>
      <c r="AJ91" s="2017"/>
      <c r="AK91" s="289"/>
      <c r="AL91" s="289"/>
    </row>
    <row r="92" spans="35:38" ht="15">
      <c r="AI92" s="1454"/>
      <c r="AJ92" s="2017"/>
      <c r="AK92" s="289"/>
      <c r="AL92" s="289"/>
    </row>
    <row r="93" spans="35:38" ht="15">
      <c r="AI93" s="1454"/>
      <c r="AJ93" s="2017"/>
      <c r="AK93" s="289"/>
      <c r="AL93" s="289"/>
    </row>
    <row r="94" spans="35:38" ht="15">
      <c r="AI94" s="1454"/>
      <c r="AJ94" s="2017"/>
      <c r="AK94" s="289"/>
      <c r="AL94" s="289"/>
    </row>
    <row r="95" spans="35:38" ht="15">
      <c r="AI95" s="1454"/>
      <c r="AJ95" s="2017"/>
      <c r="AK95" s="289"/>
      <c r="AL95" s="289"/>
    </row>
    <row r="96" spans="35:38" ht="15">
      <c r="AI96" s="1454"/>
      <c r="AJ96" s="2017"/>
      <c r="AK96" s="289"/>
      <c r="AL96" s="289"/>
    </row>
    <row r="97" spans="35:38" ht="15">
      <c r="AI97" s="1454"/>
      <c r="AJ97" s="2017"/>
      <c r="AK97" s="289"/>
      <c r="AL97" s="289"/>
    </row>
    <row r="98" spans="35:38" ht="15">
      <c r="AI98" s="1454"/>
      <c r="AJ98" s="2017"/>
      <c r="AK98" s="289"/>
      <c r="AL98" s="289"/>
    </row>
    <row r="99" spans="35:38" ht="15">
      <c r="AI99" s="1454"/>
      <c r="AJ99" s="2017"/>
      <c r="AK99" s="289"/>
      <c r="AL99" s="289"/>
    </row>
    <row r="100" spans="35:38" ht="15">
      <c r="AI100" s="1454"/>
      <c r="AJ100" s="2017"/>
      <c r="AK100" s="289"/>
      <c r="AL100" s="289"/>
    </row>
    <row r="101" spans="35:38" ht="15">
      <c r="AI101" s="1454"/>
      <c r="AJ101" s="2017"/>
      <c r="AK101" s="289"/>
      <c r="AL101" s="289"/>
    </row>
    <row r="102" spans="35:38" ht="15">
      <c r="AI102" s="1454"/>
      <c r="AJ102" s="2017"/>
      <c r="AK102" s="289"/>
      <c r="AL102" s="289"/>
    </row>
    <row r="103" spans="35:38" ht="15">
      <c r="AI103" s="1454"/>
      <c r="AJ103" s="2017"/>
      <c r="AK103" s="289"/>
      <c r="AL103" s="289"/>
    </row>
    <row r="104" spans="35:38" ht="15">
      <c r="AI104" s="1454"/>
      <c r="AJ104" s="2017"/>
      <c r="AK104" s="289"/>
      <c r="AL104" s="289"/>
    </row>
    <row r="105" spans="35:38" ht="15">
      <c r="AI105" s="1454"/>
      <c r="AJ105" s="2017"/>
      <c r="AK105" s="289"/>
      <c r="AL105" s="289"/>
    </row>
    <row r="106" spans="35:38" ht="15">
      <c r="AI106" s="1454"/>
      <c r="AJ106" s="2017"/>
      <c r="AK106" s="289"/>
      <c r="AL106" s="289"/>
    </row>
  </sheetData>
  <mergeCells count="1">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88671875" defaultRowHeight="12.75"/>
  <cols>
    <col min="1" max="1" width="1.88671875" style="66" customWidth="1"/>
    <col min="2" max="2" width="42.44140625" style="66" customWidth="1"/>
    <col min="3" max="3" width="1.88671875" style="66" customWidth="1"/>
    <col min="4" max="4" width="12.109375" style="66" customWidth="1"/>
    <col min="5" max="5" width="1.88671875" style="66" customWidth="1"/>
    <col min="6" max="6" width="12.88671875" style="66" customWidth="1"/>
    <col min="7" max="7" width="1.88671875" style="66" customWidth="1"/>
    <col min="8" max="8" width="13.109375" style="66" customWidth="1"/>
    <col min="9" max="9" width="1.88671875" style="66" customWidth="1"/>
    <col min="10" max="10" width="13.109375" style="66" customWidth="1"/>
    <col min="11" max="11" width="1.88671875" style="66" customWidth="1"/>
    <col min="12" max="12" width="13.109375" style="66" customWidth="1"/>
    <col min="13" max="13" width="1.88671875" style="66" customWidth="1"/>
    <col min="14" max="14" width="14" style="66" customWidth="1"/>
    <col min="15" max="15" width="1.88671875" style="66" customWidth="1"/>
    <col min="16" max="16" width="11.88671875" style="66" customWidth="1"/>
    <col min="17" max="17" width="1.88671875" style="66" customWidth="1"/>
    <col min="18" max="18" width="11.5546875" style="66" customWidth="1"/>
    <col min="19" max="19" width="1.88671875" style="66" customWidth="1"/>
    <col min="20" max="20" width="12.109375" style="66" customWidth="1"/>
    <col min="21" max="21" width="1.88671875" style="66" customWidth="1"/>
    <col min="22" max="22" width="13" style="66" customWidth="1"/>
    <col min="23" max="23" width="1.88671875" style="66" customWidth="1"/>
    <col min="24" max="24" width="12.109375" style="66" customWidth="1"/>
    <col min="25" max="25" width="1.88671875" style="66" customWidth="1"/>
    <col min="26" max="26" width="12.88671875" style="66" customWidth="1"/>
    <col min="27" max="28" width="1.88671875" style="66" customWidth="1"/>
    <col min="29" max="29" width="12.88671875" style="66" customWidth="1"/>
    <col min="30" max="31" width="1.44140625" style="66" customWidth="1"/>
    <col min="32" max="32" width="12.88671875" style="66" customWidth="1"/>
    <col min="33" max="34" width="1.44140625" style="66" customWidth="1"/>
    <col min="35" max="35" width="12.88671875" style="66" customWidth="1"/>
    <col min="36" max="36" width="1" style="66" customWidth="1"/>
    <col min="37" max="37" width="12.88671875" style="66" customWidth="1"/>
    <col min="38" max="38" width="9.109375" style="1570" bestFit="1" customWidth="1"/>
    <col min="39" max="39" width="8.88671875" style="1570" bestFit="1" customWidth="1"/>
    <col min="40" max="41" width="5.88671875" style="1570" customWidth="1"/>
    <col min="42" max="16384" width="8.88671875" style="66"/>
  </cols>
  <sheetData>
    <row r="1" spans="1:42" ht="15">
      <c r="B1" s="270" t="s">
        <v>97</v>
      </c>
    </row>
    <row r="2" spans="1:42" ht="15.7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25">
      <c r="B6" s="546" t="str">
        <f>'Cashflow Governmental'!A6</f>
        <v>FISCAL YEAR 2025-2026</v>
      </c>
      <c r="L6" s="74"/>
      <c r="M6" s="74"/>
      <c r="O6" s="74"/>
      <c r="AK6" s="75"/>
    </row>
    <row r="7" spans="1:42" ht="18">
      <c r="B7" s="68" t="s">
        <v>525</v>
      </c>
      <c r="AH7" s="35"/>
      <c r="AI7" s="35"/>
      <c r="AJ7" s="35"/>
      <c r="AK7" s="35"/>
    </row>
    <row r="8" spans="1:42" ht="13.5" customHeight="1">
      <c r="D8" s="1145"/>
      <c r="L8" s="74"/>
      <c r="M8" s="74"/>
      <c r="N8" s="74"/>
      <c r="O8" s="74"/>
      <c r="AB8" s="35"/>
      <c r="AC8" s="74"/>
      <c r="AD8" s="74"/>
      <c r="AE8" s="35"/>
      <c r="AF8" s="35"/>
      <c r="AG8" s="35"/>
      <c r="AH8" s="74"/>
      <c r="AI8" s="74"/>
      <c r="AJ8" s="74"/>
      <c r="AK8" s="74"/>
    </row>
    <row r="9" spans="1:42" ht="20.25" customHeight="1">
      <c r="D9" s="1136"/>
      <c r="M9" s="74"/>
      <c r="N9" s="74"/>
      <c r="O9" s="74"/>
      <c r="AB9" s="2102" t="str">
        <f>'Exhibit G'!AD9</f>
        <v>8 Months Ended November 30</v>
      </c>
      <c r="AC9" s="2100"/>
      <c r="AD9" s="2100"/>
      <c r="AE9" s="2100"/>
      <c r="AF9" s="2100"/>
      <c r="AG9" s="2100"/>
      <c r="AH9" s="2100"/>
      <c r="AI9" s="2100"/>
      <c r="AJ9" s="2100"/>
      <c r="AK9" s="2100"/>
    </row>
    <row r="10" spans="1:42"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75">
      <c r="B11" s="369"/>
      <c r="C11" s="369"/>
      <c r="D11" s="1236" t="s">
        <v>332</v>
      </c>
      <c r="E11" s="3"/>
      <c r="F11" s="1236" t="s">
        <v>333</v>
      </c>
      <c r="G11" s="3"/>
      <c r="H11" s="1236" t="s">
        <v>334</v>
      </c>
      <c r="I11" s="3"/>
      <c r="J11" s="1236" t="s">
        <v>335</v>
      </c>
      <c r="K11" s="3"/>
      <c r="L11" s="1236" t="s">
        <v>336</v>
      </c>
      <c r="M11" s="3"/>
      <c r="N11" s="1236" t="s">
        <v>448</v>
      </c>
      <c r="O11" s="3"/>
      <c r="P11" s="1236" t="s">
        <v>449</v>
      </c>
      <c r="Q11" s="3"/>
      <c r="R11" s="1236" t="s">
        <v>339</v>
      </c>
      <c r="S11" s="3"/>
      <c r="T11" s="1236" t="s">
        <v>340</v>
      </c>
      <c r="U11" s="3"/>
      <c r="V11" s="1236" t="s">
        <v>341</v>
      </c>
      <c r="W11" s="3"/>
      <c r="X11" s="1236" t="s">
        <v>342</v>
      </c>
      <c r="Y11" s="3"/>
      <c r="Z11" s="1236" t="s">
        <v>450</v>
      </c>
      <c r="AA11" s="3"/>
      <c r="AB11" s="3"/>
      <c r="AC11" s="1239" t="str">
        <f>'Cashflow Governmental'!AB14</f>
        <v>2025</v>
      </c>
      <c r="AD11" s="319"/>
      <c r="AE11" s="54" t="s">
        <v>103</v>
      </c>
      <c r="AF11" s="1239" t="str">
        <f>'Cashflow Governmental'!AE14</f>
        <v>2024</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75">
      <c r="B13" s="3" t="s">
        <v>526</v>
      </c>
      <c r="C13" s="369"/>
      <c r="D13" s="86">
        <v>10288.700000000001</v>
      </c>
      <c r="E13" s="3"/>
      <c r="F13" s="27">
        <f>D121</f>
        <v>11584.3</v>
      </c>
      <c r="G13" s="27"/>
      <c r="H13" s="27">
        <f>F121</f>
        <v>12226</v>
      </c>
      <c r="I13" s="3"/>
      <c r="J13" s="27">
        <f>H121</f>
        <v>12375.7</v>
      </c>
      <c r="K13" s="3"/>
      <c r="L13" s="27">
        <f>J121</f>
        <v>12523</v>
      </c>
      <c r="M13" s="3"/>
      <c r="N13" s="27">
        <f>L121</f>
        <v>13489.1</v>
      </c>
      <c r="O13" s="3"/>
      <c r="P13" s="27">
        <f>N121</f>
        <v>10870.9</v>
      </c>
      <c r="Q13" s="3"/>
      <c r="R13" s="27">
        <f>P121</f>
        <v>11432.8</v>
      </c>
      <c r="S13" s="27"/>
      <c r="T13" s="27"/>
      <c r="U13" s="27"/>
      <c r="V13" s="27"/>
      <c r="W13" s="27"/>
      <c r="X13" s="27"/>
      <c r="Y13" s="27"/>
      <c r="Z13" s="27"/>
      <c r="AA13" s="3"/>
      <c r="AB13" s="678"/>
      <c r="AC13" s="2003">
        <f>D13</f>
        <v>10288.700000000001</v>
      </c>
      <c r="AD13" s="319"/>
      <c r="AE13" s="2004"/>
      <c r="AF13" s="2002">
        <v>9641.7999999999993</v>
      </c>
      <c r="AG13" s="319"/>
      <c r="AH13" s="1047"/>
      <c r="AI13" s="1802">
        <f>_xlfn.SINGLE(ROUND(SUM(+AC13-AF13),1))</f>
        <v>646.9</v>
      </c>
      <c r="AJ13" s="13"/>
      <c r="AK13" s="77">
        <f>_xlfn.SINGLE(ROUND(IF(AF13=0,1,AI13/ABS(AF13)),3))</f>
        <v>6.7000000000000004E-2</v>
      </c>
      <c r="AL13" s="1568"/>
      <c r="AM13" s="1568"/>
      <c r="AP13" s="1288"/>
    </row>
    <row r="14" spans="1:42" ht="15.7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8"/>
      <c r="AC14" s="319"/>
      <c r="AD14" s="319"/>
      <c r="AE14" s="2004"/>
      <c r="AF14" s="319"/>
      <c r="AG14" s="319"/>
      <c r="AH14" s="1047"/>
      <c r="AI14" s="325"/>
      <c r="AJ14" s="325"/>
      <c r="AK14" s="325"/>
      <c r="AP14" s="1288"/>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2"/>
      <c r="AC15" s="369"/>
      <c r="AD15" s="369"/>
      <c r="AE15" s="1062"/>
      <c r="AF15" s="369"/>
      <c r="AG15" s="369"/>
      <c r="AH15" s="1047"/>
      <c r="AI15" s="369"/>
      <c r="AJ15" s="369"/>
      <c r="AK15" s="369"/>
      <c r="AP15" s="1288"/>
    </row>
    <row r="16" spans="1:42" ht="15" customHeight="1">
      <c r="A16" s="35"/>
      <c r="B16" s="1235"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2"/>
      <c r="AC16" s="369"/>
      <c r="AD16" s="369"/>
      <c r="AE16" s="1062"/>
      <c r="AF16" s="369"/>
      <c r="AG16" s="1049"/>
      <c r="AH16" s="369"/>
      <c r="AI16" s="369"/>
      <c r="AJ16" s="369"/>
      <c r="AK16" s="369"/>
      <c r="AP16" s="1288"/>
    </row>
    <row r="17" spans="1:42" s="326" customFormat="1" ht="15" customHeight="1">
      <c r="A17" s="423"/>
      <c r="B17" s="418" t="s">
        <v>482</v>
      </c>
      <c r="C17" s="3"/>
      <c r="D17" s="372">
        <v>0</v>
      </c>
      <c r="E17" s="372"/>
      <c r="F17" s="372">
        <v>0</v>
      </c>
      <c r="G17" s="372"/>
      <c r="H17" s="372">
        <v>0</v>
      </c>
      <c r="I17" s="269"/>
      <c r="J17" s="372">
        <v>0</v>
      </c>
      <c r="K17" s="559"/>
      <c r="L17" s="372">
        <v>0</v>
      </c>
      <c r="M17" s="613"/>
      <c r="N17" s="372">
        <v>0</v>
      </c>
      <c r="O17" s="613"/>
      <c r="P17" s="372">
        <v>0</v>
      </c>
      <c r="Q17" s="613"/>
      <c r="R17" s="372">
        <f>$AC17-N17-P17-L17-J17-H17-F17-D17</f>
        <v>0</v>
      </c>
      <c r="S17" s="372"/>
      <c r="T17" s="372"/>
      <c r="U17" s="372"/>
      <c r="V17" s="372"/>
      <c r="W17" s="613"/>
      <c r="X17" s="372"/>
      <c r="Y17" s="372"/>
      <c r="Z17" s="372"/>
      <c r="AA17" s="279"/>
      <c r="AB17" s="1125"/>
      <c r="AC17" s="537">
        <v>0</v>
      </c>
      <c r="AD17" s="281"/>
      <c r="AE17" s="1820"/>
      <c r="AF17" s="537">
        <v>0</v>
      </c>
      <c r="AG17" s="1824"/>
      <c r="AH17" s="279"/>
      <c r="AI17" s="269">
        <f>_xlfn.SINGLE(ROUND(SUM(+AC17-AF17),1))</f>
        <v>0</v>
      </c>
      <c r="AJ17" s="269"/>
      <c r="AK17" s="288">
        <f>_xlfn.SINGLE(ROUND(IF(AF17=0,0,AI17/ABS(AF17)),3))</f>
        <v>0</v>
      </c>
      <c r="AL17" s="1568"/>
      <c r="AM17" s="1568"/>
      <c r="AN17" s="1570"/>
      <c r="AO17" s="1570"/>
      <c r="AP17" s="1288"/>
    </row>
    <row r="18" spans="1:42" s="326" customFormat="1" ht="6" customHeight="1">
      <c r="A18" s="423"/>
      <c r="B18" s="418"/>
      <c r="C18" s="3"/>
      <c r="D18" s="372" t="s">
        <v>103</v>
      </c>
      <c r="E18" s="20"/>
      <c r="F18" s="372"/>
      <c r="G18" s="372"/>
      <c r="H18" s="372"/>
      <c r="I18" s="20"/>
      <c r="J18" s="372"/>
      <c r="K18" s="20"/>
      <c r="L18" s="372"/>
      <c r="M18" s="20"/>
      <c r="N18" s="372"/>
      <c r="O18" s="20"/>
      <c r="P18" s="372"/>
      <c r="Q18" s="20"/>
      <c r="R18" s="372"/>
      <c r="S18" s="20"/>
      <c r="T18" s="372"/>
      <c r="U18" s="20"/>
      <c r="V18" s="372"/>
      <c r="W18" s="20"/>
      <c r="X18" s="372"/>
      <c r="Y18" s="20"/>
      <c r="Z18" s="372"/>
      <c r="AA18" s="20"/>
      <c r="AB18" s="1126"/>
      <c r="AC18" s="20" t="s">
        <v>103</v>
      </c>
      <c r="AD18" s="281"/>
      <c r="AE18" s="1820"/>
      <c r="AF18" s="20" t="s">
        <v>103</v>
      </c>
      <c r="AG18" s="1824"/>
      <c r="AH18" s="279"/>
      <c r="AI18" s="20"/>
      <c r="AJ18" s="13"/>
      <c r="AK18" s="1825"/>
      <c r="AL18" s="1568"/>
      <c r="AM18" s="1568"/>
      <c r="AN18" s="1570"/>
      <c r="AO18" s="1570"/>
      <c r="AP18" s="1288"/>
    </row>
    <row r="19" spans="1:42" ht="15" customHeight="1">
      <c r="A19" s="35"/>
      <c r="B19" s="418" t="s">
        <v>1435</v>
      </c>
      <c r="C19" s="296"/>
      <c r="D19" s="372" t="s">
        <v>103</v>
      </c>
      <c r="E19" s="269"/>
      <c r="F19" s="372"/>
      <c r="G19" s="372"/>
      <c r="H19" s="372"/>
      <c r="I19" s="269"/>
      <c r="J19" s="372"/>
      <c r="K19" s="269"/>
      <c r="L19" s="372"/>
      <c r="M19" s="269"/>
      <c r="N19" s="372"/>
      <c r="O19" s="269"/>
      <c r="P19" s="372"/>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68"/>
      <c r="AM19" s="1568"/>
      <c r="AP19" s="1288"/>
    </row>
    <row r="20" spans="1:42" ht="15" customHeight="1">
      <c r="A20" s="35"/>
      <c r="B20" s="369" t="s">
        <v>358</v>
      </c>
      <c r="C20" s="296"/>
      <c r="D20" s="372">
        <v>151.1</v>
      </c>
      <c r="E20" s="1127"/>
      <c r="F20" s="372">
        <v>104</v>
      </c>
      <c r="G20" s="372"/>
      <c r="H20" s="372">
        <v>127.00000000000003</v>
      </c>
      <c r="I20" s="1127"/>
      <c r="J20" s="372">
        <v>106.9</v>
      </c>
      <c r="K20" s="559"/>
      <c r="L20" s="372">
        <v>111.50000000000003</v>
      </c>
      <c r="M20" s="559"/>
      <c r="N20" s="372">
        <v>135.60000000000005</v>
      </c>
      <c r="O20" s="559"/>
      <c r="P20" s="372">
        <v>118.9</v>
      </c>
      <c r="Q20" s="559"/>
      <c r="R20" s="372">
        <f t="shared" ref="R20:R28" si="0">$AC20-N20-P20-L20-J20-H20-F20-D20</f>
        <v>115.20000000000007</v>
      </c>
      <c r="S20" s="559"/>
      <c r="T20" s="372"/>
      <c r="U20" s="559"/>
      <c r="V20" s="372"/>
      <c r="W20" s="559"/>
      <c r="X20" s="372"/>
      <c r="Y20" s="559"/>
      <c r="Z20" s="372"/>
      <c r="AA20" s="269"/>
      <c r="AB20" s="530"/>
      <c r="AC20" s="1211">
        <v>970.2</v>
      </c>
      <c r="AD20" s="292"/>
      <c r="AE20" s="1806"/>
      <c r="AF20" s="1211">
        <v>914.69999999999993</v>
      </c>
      <c r="AG20" s="525"/>
      <c r="AH20" s="269"/>
      <c r="AI20" s="269">
        <f t="shared" ref="AI20:AI28" si="1">_xlfn.SINGLE(ROUND(SUM(+AC20-AF20),1))</f>
        <v>55.5</v>
      </c>
      <c r="AJ20" s="369"/>
      <c r="AK20" s="288">
        <f>_xlfn.SINGLE(ROUND(IF(AF20=0,0,AI20/ABS(AF20)),3))</f>
        <v>6.0999999999999999E-2</v>
      </c>
      <c r="AL20" s="1568"/>
      <c r="AM20" s="1568"/>
      <c r="AP20" s="1288"/>
    </row>
    <row r="21" spans="1:42" ht="15" customHeight="1">
      <c r="A21" s="35"/>
      <c r="B21" s="369" t="s">
        <v>1436</v>
      </c>
      <c r="C21" s="296"/>
      <c r="D21" s="372">
        <v>5.0999999999999996</v>
      </c>
      <c r="E21" s="1127"/>
      <c r="F21" s="372">
        <v>0</v>
      </c>
      <c r="G21" s="372"/>
      <c r="H21" s="372">
        <v>8.9</v>
      </c>
      <c r="I21" s="1127"/>
      <c r="J21" s="372">
        <v>0</v>
      </c>
      <c r="K21" s="559"/>
      <c r="L21" s="372">
        <v>0</v>
      </c>
      <c r="M21" s="559"/>
      <c r="N21" s="372">
        <v>13.100000000000003</v>
      </c>
      <c r="O21" s="559"/>
      <c r="P21" s="372">
        <v>0</v>
      </c>
      <c r="Q21" s="559"/>
      <c r="R21" s="372">
        <f t="shared" si="0"/>
        <v>9.9999999999996092E-2</v>
      </c>
      <c r="S21" s="559"/>
      <c r="T21" s="372"/>
      <c r="U21" s="559"/>
      <c r="V21" s="372"/>
      <c r="W21" s="559"/>
      <c r="X21" s="372"/>
      <c r="Y21" s="559"/>
      <c r="Z21" s="372"/>
      <c r="AA21" s="269"/>
      <c r="AB21" s="530"/>
      <c r="AC21" s="537">
        <v>27.2</v>
      </c>
      <c r="AD21" s="292"/>
      <c r="AE21" s="1806"/>
      <c r="AF21" s="537">
        <v>20.6</v>
      </c>
      <c r="AG21" s="525"/>
      <c r="AH21" s="269"/>
      <c r="AI21" s="269">
        <f t="shared" si="1"/>
        <v>6.6</v>
      </c>
      <c r="AJ21" s="369"/>
      <c r="AK21" s="288">
        <f>_xlfn.SINGLE(ROUND(IF(AF21=0,0,AI21/ABS(AF21)),3))</f>
        <v>0.32</v>
      </c>
      <c r="AL21" s="1568"/>
      <c r="AM21" s="1568"/>
      <c r="AP21" s="1288"/>
    </row>
    <row r="22" spans="1:42" ht="15" customHeight="1">
      <c r="A22" s="35"/>
      <c r="B22" s="369" t="s">
        <v>360</v>
      </c>
      <c r="C22" s="296"/>
      <c r="D22" s="372">
        <v>56.7</v>
      </c>
      <c r="E22" s="1127"/>
      <c r="F22" s="372">
        <v>43.3</v>
      </c>
      <c r="G22" s="372"/>
      <c r="H22" s="372">
        <v>42.599999999999994</v>
      </c>
      <c r="I22" s="1127"/>
      <c r="J22" s="372">
        <v>52.500000000000014</v>
      </c>
      <c r="K22" s="559"/>
      <c r="L22" s="372">
        <v>46.300000000000011</v>
      </c>
      <c r="M22" s="559"/>
      <c r="N22" s="372">
        <v>48.700000000000017</v>
      </c>
      <c r="O22" s="559"/>
      <c r="P22" s="372">
        <v>42.399999999999949</v>
      </c>
      <c r="Q22" s="559"/>
      <c r="R22" s="372">
        <f t="shared" si="0"/>
        <v>39.200000000000017</v>
      </c>
      <c r="S22" s="559"/>
      <c r="T22" s="372"/>
      <c r="U22" s="559"/>
      <c r="V22" s="372"/>
      <c r="W22" s="559"/>
      <c r="X22" s="372"/>
      <c r="Y22" s="559"/>
      <c r="Z22" s="372"/>
      <c r="AA22" s="269"/>
      <c r="AB22" s="530"/>
      <c r="AC22" s="537">
        <v>371.7</v>
      </c>
      <c r="AD22" s="292"/>
      <c r="AE22" s="1806"/>
      <c r="AF22" s="537">
        <v>402.9</v>
      </c>
      <c r="AG22" s="525"/>
      <c r="AH22" s="269"/>
      <c r="AI22" s="269">
        <f t="shared" si="1"/>
        <v>-31.2</v>
      </c>
      <c r="AJ22" s="369"/>
      <c r="AK22" s="288">
        <f>_xlfn.SINGLE(ROUND(IF(AF22=0,0,AI22/ABS(AF22)),3))</f>
        <v>-7.6999999999999999E-2</v>
      </c>
      <c r="AL22" s="1568"/>
      <c r="AM22" s="1568"/>
      <c r="AP22" s="1288"/>
    </row>
    <row r="23" spans="1:42" ht="15" customHeight="1">
      <c r="A23" s="35"/>
      <c r="B23" s="289" t="s">
        <v>439</v>
      </c>
      <c r="C23" s="296"/>
      <c r="D23" s="372">
        <v>-3.3</v>
      </c>
      <c r="E23" s="1127"/>
      <c r="F23" s="372">
        <v>1.0999999999999996</v>
      </c>
      <c r="G23" s="372"/>
      <c r="H23" s="372">
        <v>38.499999999999993</v>
      </c>
      <c r="I23" s="1127"/>
      <c r="J23" s="372">
        <v>2.6000000000000041</v>
      </c>
      <c r="K23" s="559"/>
      <c r="L23" s="372">
        <v>3.1000000000000032</v>
      </c>
      <c r="M23" s="559"/>
      <c r="N23" s="372">
        <v>46.399999999999991</v>
      </c>
      <c r="O23" s="559"/>
      <c r="P23" s="372">
        <v>2.7</v>
      </c>
      <c r="Q23" s="559"/>
      <c r="R23" s="372">
        <f t="shared" si="0"/>
        <v>5.3000000000000158</v>
      </c>
      <c r="S23" s="559"/>
      <c r="T23" s="372"/>
      <c r="U23" s="559"/>
      <c r="V23" s="372"/>
      <c r="W23" s="559"/>
      <c r="X23" s="372"/>
      <c r="Y23" s="559"/>
      <c r="Z23" s="372"/>
      <c r="AA23" s="269"/>
      <c r="AB23" s="530"/>
      <c r="AC23" s="537">
        <v>96.4</v>
      </c>
      <c r="AD23" s="292"/>
      <c r="AE23" s="1806"/>
      <c r="AF23" s="537">
        <v>54.1</v>
      </c>
      <c r="AG23" s="525"/>
      <c r="AH23" s="269"/>
      <c r="AI23" s="269">
        <f t="shared" si="1"/>
        <v>42.3</v>
      </c>
      <c r="AJ23" s="369"/>
      <c r="AK23" s="288">
        <f>_xlfn.SINGLE(ROUND(IF(AF23=0,0,AI23/ABS(AF23)),3))</f>
        <v>0.78200000000000003</v>
      </c>
      <c r="AL23" s="1568"/>
      <c r="AM23" s="1568"/>
      <c r="AP23" s="1288"/>
    </row>
    <row r="24" spans="1:42" ht="15" customHeight="1">
      <c r="A24" s="35"/>
      <c r="B24" s="427" t="s">
        <v>362</v>
      </c>
      <c r="C24" s="296"/>
      <c r="D24" s="372">
        <v>7.6</v>
      </c>
      <c r="E24" s="1127"/>
      <c r="F24" s="372">
        <v>9.1</v>
      </c>
      <c r="G24" s="372"/>
      <c r="H24" s="372">
        <v>8.9</v>
      </c>
      <c r="I24" s="1127"/>
      <c r="J24" s="372">
        <v>8.7999999999999989</v>
      </c>
      <c r="K24" s="559"/>
      <c r="L24" s="372">
        <v>9.6000000000000032</v>
      </c>
      <c r="M24" s="559"/>
      <c r="N24" s="372">
        <v>8.9</v>
      </c>
      <c r="O24" s="559"/>
      <c r="P24" s="372">
        <v>9.4</v>
      </c>
      <c r="Q24" s="559"/>
      <c r="R24" s="372">
        <f t="shared" si="0"/>
        <v>8.4000000000000075</v>
      </c>
      <c r="S24" s="559"/>
      <c r="T24" s="372"/>
      <c r="U24" s="559"/>
      <c r="V24" s="372"/>
      <c r="W24" s="559"/>
      <c r="X24" s="372"/>
      <c r="Y24" s="559"/>
      <c r="Z24" s="372"/>
      <c r="AA24" s="269"/>
      <c r="AB24" s="530"/>
      <c r="AC24" s="537">
        <v>70.7</v>
      </c>
      <c r="AD24" s="292"/>
      <c r="AE24" s="1806"/>
      <c r="AF24" s="537">
        <v>71.2</v>
      </c>
      <c r="AG24" s="525"/>
      <c r="AH24" s="269"/>
      <c r="AI24" s="269">
        <f t="shared" si="1"/>
        <v>-0.5</v>
      </c>
      <c r="AJ24" s="369"/>
      <c r="AK24" s="288">
        <f>_xlfn.SINGLE(ROUND(IF(AF24=0,0,AI24/ABS(AF24)),3))</f>
        <v>-7.0000000000000001E-3</v>
      </c>
      <c r="AL24" s="1568"/>
      <c r="AM24" s="1568"/>
      <c r="AP24" s="1288"/>
    </row>
    <row r="25" spans="1:42" ht="15" customHeight="1">
      <c r="A25" s="35"/>
      <c r="B25" s="369" t="s">
        <v>1414</v>
      </c>
      <c r="C25" s="296"/>
      <c r="D25" s="372">
        <v>-0.2</v>
      </c>
      <c r="E25" s="1127"/>
      <c r="F25" s="372">
        <v>0.1</v>
      </c>
      <c r="G25" s="372"/>
      <c r="H25" s="372">
        <v>0</v>
      </c>
      <c r="I25" s="1127"/>
      <c r="J25" s="372">
        <v>0</v>
      </c>
      <c r="K25" s="559"/>
      <c r="L25" s="372">
        <v>0</v>
      </c>
      <c r="M25" s="559"/>
      <c r="N25" s="372">
        <v>0.1</v>
      </c>
      <c r="O25" s="559"/>
      <c r="P25" s="372">
        <v>0</v>
      </c>
      <c r="Q25" s="559"/>
      <c r="R25" s="372">
        <f t="shared" si="0"/>
        <v>0</v>
      </c>
      <c r="S25" s="559"/>
      <c r="T25" s="372"/>
      <c r="U25" s="559"/>
      <c r="V25" s="372"/>
      <c r="W25" s="559"/>
      <c r="X25" s="372"/>
      <c r="Y25" s="559"/>
      <c r="Z25" s="372"/>
      <c r="AA25" s="269"/>
      <c r="AB25" s="530"/>
      <c r="AC25" s="537">
        <v>0</v>
      </c>
      <c r="AD25" s="292"/>
      <c r="AE25" s="1806"/>
      <c r="AF25" s="537">
        <v>0.2</v>
      </c>
      <c r="AG25" s="525"/>
      <c r="AH25" s="269"/>
      <c r="AI25" s="269">
        <f t="shared" si="1"/>
        <v>-0.2</v>
      </c>
      <c r="AJ25" s="369"/>
      <c r="AK25" s="288">
        <f>ROUND(IF(AF25=0,1,AI25/ABS(AF25)),3)</f>
        <v>-1</v>
      </c>
      <c r="AL25" s="1568"/>
      <c r="AM25" s="1568"/>
      <c r="AP25" s="1288"/>
    </row>
    <row r="26" spans="1:42" ht="15" customHeight="1">
      <c r="A26" s="35"/>
      <c r="B26" s="369" t="s">
        <v>1437</v>
      </c>
      <c r="C26" s="296"/>
      <c r="D26" s="372">
        <v>0</v>
      </c>
      <c r="E26" s="1127"/>
      <c r="F26" s="372">
        <v>0</v>
      </c>
      <c r="G26" s="372"/>
      <c r="H26" s="372">
        <v>0</v>
      </c>
      <c r="I26" s="1127"/>
      <c r="J26" s="372">
        <v>0</v>
      </c>
      <c r="K26" s="559"/>
      <c r="L26" s="372">
        <v>0</v>
      </c>
      <c r="M26" s="559"/>
      <c r="N26" s="372">
        <v>0</v>
      </c>
      <c r="O26" s="559"/>
      <c r="P26" s="372">
        <v>0</v>
      </c>
      <c r="Q26" s="559"/>
      <c r="R26" s="372">
        <f t="shared" si="0"/>
        <v>0</v>
      </c>
      <c r="S26" s="559"/>
      <c r="T26" s="372"/>
      <c r="U26" s="559"/>
      <c r="V26" s="372"/>
      <c r="W26" s="559"/>
      <c r="X26" s="372"/>
      <c r="Y26" s="559"/>
      <c r="Z26" s="372"/>
      <c r="AA26" s="269"/>
      <c r="AB26" s="530"/>
      <c r="AC26" s="537">
        <v>0</v>
      </c>
      <c r="AD26" s="292"/>
      <c r="AE26" s="1806"/>
      <c r="AF26" s="537">
        <v>0</v>
      </c>
      <c r="AG26" s="525"/>
      <c r="AH26" s="269"/>
      <c r="AI26" s="269">
        <f t="shared" si="1"/>
        <v>0</v>
      </c>
      <c r="AJ26" s="369"/>
      <c r="AK26" s="288">
        <f>_xlfn.SINGLE(ROUND(IF(AF26=0,0,AI26/ABS(AF26)),3))</f>
        <v>0</v>
      </c>
      <c r="AL26" s="1568"/>
      <c r="AM26" s="1568"/>
      <c r="AP26" s="1288"/>
    </row>
    <row r="27" spans="1:42" ht="15" customHeight="1">
      <c r="A27" s="35"/>
      <c r="B27" s="427" t="s">
        <v>365</v>
      </c>
      <c r="C27" s="296"/>
      <c r="D27" s="372">
        <v>0.1</v>
      </c>
      <c r="E27" s="1127"/>
      <c r="F27" s="372">
        <v>0</v>
      </c>
      <c r="G27" s="372"/>
      <c r="H27" s="372">
        <v>0.1</v>
      </c>
      <c r="I27" s="1127"/>
      <c r="J27" s="372">
        <v>0</v>
      </c>
      <c r="K27" s="559"/>
      <c r="L27" s="372">
        <v>9.9999999999999978E-2</v>
      </c>
      <c r="M27" s="559"/>
      <c r="N27" s="372">
        <v>0</v>
      </c>
      <c r="O27" s="559"/>
      <c r="P27" s="372">
        <v>0.10000000000000003</v>
      </c>
      <c r="Q27" s="559"/>
      <c r="R27" s="372">
        <f t="shared" si="0"/>
        <v>0</v>
      </c>
      <c r="S27" s="559"/>
      <c r="T27" s="372"/>
      <c r="U27" s="559"/>
      <c r="V27" s="372"/>
      <c r="W27" s="559"/>
      <c r="X27" s="372"/>
      <c r="Y27" s="559"/>
      <c r="Z27" s="372"/>
      <c r="AA27" s="269"/>
      <c r="AB27" s="530"/>
      <c r="AC27" s="537">
        <v>0.4</v>
      </c>
      <c r="AD27" s="292"/>
      <c r="AE27" s="1806"/>
      <c r="AF27" s="537">
        <v>1.2</v>
      </c>
      <c r="AG27" s="525"/>
      <c r="AH27" s="269"/>
      <c r="AI27" s="269">
        <f t="shared" si="1"/>
        <v>-0.8</v>
      </c>
      <c r="AJ27" s="369"/>
      <c r="AK27" s="614">
        <f>ROUND(IF(AF27=0,1,AI27/ABS(AF27)),3)</f>
        <v>-0.66700000000000004</v>
      </c>
      <c r="AL27" s="1568"/>
      <c r="AM27" s="1568"/>
      <c r="AP27" s="1288"/>
    </row>
    <row r="28" spans="1:42" ht="15" customHeight="1">
      <c r="A28" s="35"/>
      <c r="B28" s="289" t="s">
        <v>440</v>
      </c>
      <c r="C28" s="296"/>
      <c r="D28" s="372">
        <v>0.2</v>
      </c>
      <c r="E28" s="1127"/>
      <c r="F28" s="372">
        <v>0</v>
      </c>
      <c r="G28" s="372"/>
      <c r="H28" s="372">
        <v>4.8</v>
      </c>
      <c r="I28" s="1127"/>
      <c r="J28" s="372">
        <v>0</v>
      </c>
      <c r="K28" s="559"/>
      <c r="L28" s="372">
        <v>9.9999999999999811E-2</v>
      </c>
      <c r="M28" s="559"/>
      <c r="N28" s="372">
        <v>4.8000000000000007</v>
      </c>
      <c r="O28" s="559"/>
      <c r="P28" s="372">
        <v>0.19999999999999946</v>
      </c>
      <c r="Q28" s="559"/>
      <c r="R28" s="372">
        <f t="shared" si="0"/>
        <v>9.9999999999999811E-2</v>
      </c>
      <c r="S28" s="559"/>
      <c r="T28" s="372"/>
      <c r="U28" s="559"/>
      <c r="V28" s="372"/>
      <c r="W28" s="559"/>
      <c r="X28" s="372"/>
      <c r="Y28" s="559"/>
      <c r="Z28" s="372"/>
      <c r="AA28" s="269"/>
      <c r="AB28" s="530"/>
      <c r="AC28" s="537">
        <v>10.199999999999999</v>
      </c>
      <c r="AD28" s="292"/>
      <c r="AE28" s="1806"/>
      <c r="AF28" s="537">
        <v>10.9</v>
      </c>
      <c r="AG28" s="525"/>
      <c r="AH28" s="269"/>
      <c r="AI28" s="269">
        <f t="shared" si="1"/>
        <v>-0.7</v>
      </c>
      <c r="AJ28" s="369"/>
      <c r="AK28" s="614">
        <f>_xlfn.SINGLE(ROUND(IF(AF28=0,1,AI28/ABS(AF28)),3))</f>
        <v>-6.4000000000000001E-2</v>
      </c>
      <c r="AL28" s="1568"/>
      <c r="AM28" s="1568"/>
      <c r="AP28" s="1288"/>
    </row>
    <row r="29" spans="1:42" s="326" customFormat="1" ht="15" customHeight="1">
      <c r="A29" s="423"/>
      <c r="B29" s="3" t="s">
        <v>483</v>
      </c>
      <c r="C29" s="3"/>
      <c r="D29" s="680">
        <f>_xlfn.SINGLE(ROUND(SUM(D20:D28),1))</f>
        <v>217.3</v>
      </c>
      <c r="E29" s="13"/>
      <c r="F29" s="680">
        <f>_xlfn.SINGLE(ROUND(SUM(F20:F28),1))</f>
        <v>157.6</v>
      </c>
      <c r="G29" s="13"/>
      <c r="H29" s="680">
        <f>_xlfn.SINGLE(ROUND(SUM(H20:H28),1))</f>
        <v>230.8</v>
      </c>
      <c r="I29" s="13"/>
      <c r="J29" s="680">
        <f>_xlfn.SINGLE(ROUND(SUM(J20:J28),1))</f>
        <v>170.8</v>
      </c>
      <c r="K29" s="13"/>
      <c r="L29" s="680">
        <f>_xlfn.SINGLE(ROUND(SUM(L20:L28),1))</f>
        <v>170.7</v>
      </c>
      <c r="M29" s="13"/>
      <c r="N29" s="680">
        <f>_xlfn.SINGLE(ROUND(SUM(N20:N28),1))</f>
        <v>257.60000000000002</v>
      </c>
      <c r="O29" s="13"/>
      <c r="P29" s="680">
        <f>_xlfn.SINGLE(ROUND(SUM(P20:P28),1))</f>
        <v>173.7</v>
      </c>
      <c r="Q29" s="13"/>
      <c r="R29" s="680">
        <f>_xlfn.SINGLE(ROUND(SUM(R20:R28),1))</f>
        <v>168.3</v>
      </c>
      <c r="S29" s="13"/>
      <c r="T29" s="680">
        <f>_xlfn.SINGLE(ROUND(SUM(T20:T28),1))</f>
        <v>0</v>
      </c>
      <c r="U29" s="13"/>
      <c r="V29" s="680">
        <f>_xlfn.SINGLE(ROUND(SUM(V20:V28),1))</f>
        <v>0</v>
      </c>
      <c r="W29" s="13"/>
      <c r="X29" s="680">
        <f>_xlfn.SINGLE(ROUND(SUM(X20:X28),1))</f>
        <v>0</v>
      </c>
      <c r="Y29" s="13"/>
      <c r="Z29" s="680">
        <f>_xlfn.SINGLE(ROUND(SUM(Z20:Z28),1))</f>
        <v>0</v>
      </c>
      <c r="AA29" s="13"/>
      <c r="AB29" s="676"/>
      <c r="AC29" s="680">
        <f>ROUND(SUM(AC20:AC28),1)</f>
        <v>1546.8</v>
      </c>
      <c r="AD29" s="13"/>
      <c r="AE29" s="676"/>
      <c r="AF29" s="680">
        <f>ROUND(SUM(AF20:AF28),1)</f>
        <v>1475.8</v>
      </c>
      <c r="AG29" s="78"/>
      <c r="AH29" s="13"/>
      <c r="AI29" s="680">
        <f>_xlfn.SINGLE(ROUND(SUM(AI20:AI28),1))</f>
        <v>71</v>
      </c>
      <c r="AJ29" s="60"/>
      <c r="AK29" s="1826">
        <f>_xlfn.SINGLE(ROUND(IF(AF29=0,0,AI29/ABS(AF29)),3))</f>
        <v>4.8000000000000001E-2</v>
      </c>
      <c r="AL29" s="1568"/>
      <c r="AM29" s="1568"/>
      <c r="AN29" s="1570"/>
      <c r="AO29" s="1570"/>
      <c r="AP29" s="1288"/>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68"/>
      <c r="AM30" s="1568"/>
      <c r="AP30" s="1288"/>
    </row>
    <row r="31" spans="1:42" ht="15" customHeight="1">
      <c r="A31" s="35"/>
      <c r="B31" s="427" t="s">
        <v>370</v>
      </c>
      <c r="C31" s="296"/>
      <c r="D31" s="372">
        <v>226.7</v>
      </c>
      <c r="E31" s="1127"/>
      <c r="F31" s="372">
        <v>19.5</v>
      </c>
      <c r="G31" s="372"/>
      <c r="H31" s="372">
        <v>340.7</v>
      </c>
      <c r="I31" s="269"/>
      <c r="J31" s="372">
        <v>64</v>
      </c>
      <c r="K31" s="559"/>
      <c r="L31" s="372">
        <v>35.399999999999977</v>
      </c>
      <c r="M31" s="559"/>
      <c r="N31" s="372">
        <v>199.5</v>
      </c>
      <c r="O31" s="559"/>
      <c r="P31" s="372">
        <v>46.200000000000045</v>
      </c>
      <c r="Q31" s="559"/>
      <c r="R31" s="372">
        <f>$AC31-N31-P31-L31-J31-H31-F31-D31</f>
        <v>32.5</v>
      </c>
      <c r="S31" s="559"/>
      <c r="T31" s="372"/>
      <c r="U31" s="559"/>
      <c r="V31" s="372"/>
      <c r="W31" s="559"/>
      <c r="X31" s="372"/>
      <c r="Y31" s="559"/>
      <c r="Z31" s="372"/>
      <c r="AA31" s="269"/>
      <c r="AB31" s="530"/>
      <c r="AC31" s="537">
        <v>964.5</v>
      </c>
      <c r="AD31" s="292"/>
      <c r="AE31" s="1806"/>
      <c r="AF31" s="537">
        <v>1111.4000000000001</v>
      </c>
      <c r="AG31" s="525"/>
      <c r="AH31" s="269"/>
      <c r="AI31" s="269">
        <f>_xlfn.SINGLE(ROUND(SUM(+AC31-AF31),1))</f>
        <v>-146.9</v>
      </c>
      <c r="AJ31" s="369"/>
      <c r="AK31" s="1827">
        <f>_xlfn.SINGLE(ROUND(IF(AF31=0,0,AI31/ABS(AF31)),3))</f>
        <v>-0.13200000000000001</v>
      </c>
      <c r="AL31" s="1568"/>
      <c r="AM31" s="1568"/>
      <c r="AP31" s="1288"/>
    </row>
    <row r="32" spans="1:42" ht="15" customHeight="1">
      <c r="A32" s="35"/>
      <c r="B32" s="427" t="s">
        <v>371</v>
      </c>
      <c r="C32" s="296"/>
      <c r="D32" s="372">
        <v>19.399999999999999</v>
      </c>
      <c r="E32" s="1127"/>
      <c r="F32" s="372">
        <v>5.6000000000000014</v>
      </c>
      <c r="G32" s="372"/>
      <c r="H32" s="372">
        <v>17</v>
      </c>
      <c r="I32" s="269"/>
      <c r="J32" s="372">
        <v>0.10000000000000142</v>
      </c>
      <c r="K32" s="559"/>
      <c r="L32" s="372">
        <v>-6.7000000000000028</v>
      </c>
      <c r="M32" s="559"/>
      <c r="N32" s="372">
        <v>19.200000000000003</v>
      </c>
      <c r="O32" s="559"/>
      <c r="P32" s="372">
        <v>0.10000000000000142</v>
      </c>
      <c r="Q32" s="559"/>
      <c r="R32" s="372">
        <f t="shared" ref="R32:R34" si="2">$AC32-N32-P32-L32-J32-H32-F32-D32</f>
        <v>6.6999999999999957</v>
      </c>
      <c r="S32" s="559"/>
      <c r="T32" s="372"/>
      <c r="U32" s="559"/>
      <c r="V32" s="372"/>
      <c r="W32" s="559"/>
      <c r="X32" s="372"/>
      <c r="Y32" s="559"/>
      <c r="Z32" s="372"/>
      <c r="AA32" s="269"/>
      <c r="AB32" s="530"/>
      <c r="AC32" s="537">
        <v>61.4</v>
      </c>
      <c r="AD32" s="292"/>
      <c r="AE32" s="1806"/>
      <c r="AF32" s="537">
        <v>54</v>
      </c>
      <c r="AG32" s="525"/>
      <c r="AH32" s="269"/>
      <c r="AI32" s="269">
        <f>_xlfn.SINGLE(ROUND(SUM(+AC32-AF32),1))</f>
        <v>7.4</v>
      </c>
      <c r="AJ32" s="369"/>
      <c r="AK32" s="1827">
        <f>_xlfn.SINGLE(ROUND(IF(AF32=0,0,AI32/ABS(AF32)),3))</f>
        <v>0.13700000000000001</v>
      </c>
      <c r="AL32" s="1568"/>
      <c r="AM32" s="1568"/>
      <c r="AP32" s="1288"/>
    </row>
    <row r="33" spans="1:42" s="1136" customFormat="1" ht="15" customHeight="1">
      <c r="A33" s="1133"/>
      <c r="B33" s="1224" t="s">
        <v>372</v>
      </c>
      <c r="C33" s="377"/>
      <c r="D33" s="372">
        <v>6.2</v>
      </c>
      <c r="E33" s="1229"/>
      <c r="F33" s="372">
        <v>-1.9000000000000004</v>
      </c>
      <c r="G33" s="1146"/>
      <c r="H33" s="372">
        <v>53.9</v>
      </c>
      <c r="I33" s="617"/>
      <c r="J33" s="372">
        <v>-1.2000000000000002</v>
      </c>
      <c r="K33" s="1134"/>
      <c r="L33" s="372">
        <v>0.6000000000000032</v>
      </c>
      <c r="M33" s="1134"/>
      <c r="N33" s="372">
        <v>59.8</v>
      </c>
      <c r="O33" s="1134"/>
      <c r="P33" s="372">
        <v>-20.999999999999996</v>
      </c>
      <c r="Q33" s="1134"/>
      <c r="R33" s="372">
        <f t="shared" si="2"/>
        <v>0.40000000000000302</v>
      </c>
      <c r="S33" s="1134"/>
      <c r="T33" s="372"/>
      <c r="U33" s="1134"/>
      <c r="V33" s="372"/>
      <c r="W33" s="1134"/>
      <c r="X33" s="372"/>
      <c r="Y33" s="1134"/>
      <c r="Z33" s="372"/>
      <c r="AA33" s="617"/>
      <c r="AB33" s="869"/>
      <c r="AC33" s="537">
        <v>96.8</v>
      </c>
      <c r="AD33" s="1214"/>
      <c r="AE33" s="2005"/>
      <c r="AF33" s="537">
        <v>143</v>
      </c>
      <c r="AG33" s="1230"/>
      <c r="AH33" s="1212"/>
      <c r="AI33" s="1212">
        <f>_xlfn.SINGLE(ROUND(SUM(+AC33-AF33),1))</f>
        <v>-46.2</v>
      </c>
      <c r="AJ33" s="1224"/>
      <c r="AK33" s="1828">
        <f>_xlfn.SINGLE(ROUND(IF(AF33=0,0,AI33/ABS(AF33)),3))</f>
        <v>-0.32300000000000001</v>
      </c>
      <c r="AL33" s="1568"/>
      <c r="AM33" s="1568"/>
      <c r="AN33" s="1570"/>
      <c r="AO33" s="1570"/>
      <c r="AP33" s="1289"/>
    </row>
    <row r="34" spans="1:42" ht="15" customHeight="1">
      <c r="A34" s="35"/>
      <c r="B34" s="427" t="s">
        <v>373</v>
      </c>
      <c r="C34" s="296"/>
      <c r="D34" s="372">
        <v>-0.8</v>
      </c>
      <c r="E34" s="1127"/>
      <c r="F34" s="372">
        <v>-9.9999999999999978E-2</v>
      </c>
      <c r="G34" s="372"/>
      <c r="H34" s="372">
        <v>0</v>
      </c>
      <c r="I34" s="269"/>
      <c r="J34" s="372">
        <v>-1.4999999999999998</v>
      </c>
      <c r="K34" s="559"/>
      <c r="L34" s="372">
        <v>0</v>
      </c>
      <c r="M34" s="559"/>
      <c r="N34" s="372">
        <v>0</v>
      </c>
      <c r="O34" s="559"/>
      <c r="P34" s="372">
        <v>-0.1000000000000002</v>
      </c>
      <c r="Q34" s="559"/>
      <c r="R34" s="372">
        <f t="shared" si="2"/>
        <v>-1.3</v>
      </c>
      <c r="S34" s="559"/>
      <c r="T34" s="372"/>
      <c r="U34" s="559"/>
      <c r="V34" s="372"/>
      <c r="W34" s="559"/>
      <c r="X34" s="372"/>
      <c r="Y34" s="559"/>
      <c r="Z34" s="372"/>
      <c r="AA34" s="269"/>
      <c r="AB34" s="530"/>
      <c r="AC34" s="537">
        <v>-3.8</v>
      </c>
      <c r="AD34" s="292"/>
      <c r="AE34" s="1806"/>
      <c r="AF34" s="537">
        <v>-0.4</v>
      </c>
      <c r="AG34" s="525"/>
      <c r="AH34" s="269"/>
      <c r="AI34" s="269">
        <f>_xlfn.SINGLE(ROUND(SUM(+AC34-AF34),1))</f>
        <v>-3.4</v>
      </c>
      <c r="AJ34" s="369"/>
      <c r="AK34" s="614">
        <f>_xlfn.SINGLE(ROUND(IF(AF34=0,1,AI34/ABS(AF34)),3))</f>
        <v>-8.5</v>
      </c>
      <c r="AL34" s="1568"/>
      <c r="AM34" s="1568"/>
      <c r="AP34" s="1288"/>
    </row>
    <row r="35" spans="1:42" ht="15" customHeight="1">
      <c r="A35" s="35"/>
      <c r="B35" s="427" t="s">
        <v>375</v>
      </c>
      <c r="C35" s="296"/>
      <c r="D35" s="372">
        <v>34.4</v>
      </c>
      <c r="E35" s="1127"/>
      <c r="F35" s="372">
        <v>39.1</v>
      </c>
      <c r="G35" s="372"/>
      <c r="H35" s="372">
        <v>38.9</v>
      </c>
      <c r="I35" s="269"/>
      <c r="J35" s="372">
        <v>37.29999999999999</v>
      </c>
      <c r="K35" s="559"/>
      <c r="L35" s="372">
        <v>41.200000000000024</v>
      </c>
      <c r="M35" s="559"/>
      <c r="N35" s="372">
        <v>38.900000000000013</v>
      </c>
      <c r="O35" s="559"/>
      <c r="P35" s="372">
        <v>39.599999999999973</v>
      </c>
      <c r="Q35" s="559"/>
      <c r="R35" s="372">
        <f>$AC35-N35-P35-L35-J35-H35-F35-D35</f>
        <v>34.200000000000024</v>
      </c>
      <c r="S35" s="559"/>
      <c r="T35" s="372"/>
      <c r="U35" s="559"/>
      <c r="V35" s="372"/>
      <c r="W35" s="559"/>
      <c r="X35" s="372"/>
      <c r="Y35" s="559"/>
      <c r="Z35" s="372"/>
      <c r="AA35" s="269"/>
      <c r="AB35" s="530"/>
      <c r="AC35" s="537">
        <v>303.60000000000002</v>
      </c>
      <c r="AD35" s="292"/>
      <c r="AE35" s="1806"/>
      <c r="AF35" s="537">
        <v>323.60000000000002</v>
      </c>
      <c r="AG35" s="525"/>
      <c r="AH35" s="269"/>
      <c r="AI35" s="269">
        <f>_xlfn.SINGLE(ROUND(SUM(+AC35-AF35),1))</f>
        <v>-20</v>
      </c>
      <c r="AJ35" s="369"/>
      <c r="AK35" s="1827">
        <f>_xlfn.SINGLE(ROUND(IF(AF35=0,0,AI35/ABS(AF35)),3))</f>
        <v>-6.2E-2</v>
      </c>
      <c r="AL35" s="1568"/>
      <c r="AM35" s="1568"/>
      <c r="AP35" s="1288"/>
    </row>
    <row r="36" spans="1:42" s="326" customFormat="1" ht="15" customHeight="1">
      <c r="A36" s="423"/>
      <c r="B36" s="3" t="s">
        <v>528</v>
      </c>
      <c r="C36" s="3"/>
      <c r="D36" s="680">
        <f>_xlfn.SINGLE(ROUND(SUM(D31:D35),1))</f>
        <v>285.89999999999998</v>
      </c>
      <c r="E36" s="13"/>
      <c r="F36" s="680">
        <f>_xlfn.SINGLE(ROUND(SUM(F31:F35),1))</f>
        <v>62.2</v>
      </c>
      <c r="G36" s="13"/>
      <c r="H36" s="680">
        <f>_xlfn.SINGLE(ROUND(SUM(H31:H35),1))</f>
        <v>450.5</v>
      </c>
      <c r="I36" s="13"/>
      <c r="J36" s="680">
        <f>_xlfn.SINGLE(ROUND(SUM(J31:J35),1))</f>
        <v>98.7</v>
      </c>
      <c r="K36" s="13"/>
      <c r="L36" s="680">
        <f>_xlfn.SINGLE(ROUND(SUM(L31:L35),1))</f>
        <v>70.5</v>
      </c>
      <c r="M36" s="13"/>
      <c r="N36" s="680">
        <f>_xlfn.SINGLE(ROUND(SUM(N31:N35),1))</f>
        <v>317.39999999999998</v>
      </c>
      <c r="O36" s="13"/>
      <c r="P36" s="680">
        <f>_xlfn.SINGLE(ROUND(SUM(P31:P35),1))</f>
        <v>64.8</v>
      </c>
      <c r="Q36" s="13"/>
      <c r="R36" s="680">
        <f>_xlfn.SINGLE(ROUND(SUM(R31:R35),1))</f>
        <v>72.5</v>
      </c>
      <c r="S36" s="13"/>
      <c r="T36" s="680">
        <f>_xlfn.SINGLE(ROUND(SUM(T31:T35),1))</f>
        <v>0</v>
      </c>
      <c r="U36" s="13"/>
      <c r="V36" s="680">
        <f>_xlfn.SINGLE(ROUND(SUM(V31:V35),1))</f>
        <v>0</v>
      </c>
      <c r="W36" s="13"/>
      <c r="X36" s="680">
        <f>_xlfn.SINGLE(ROUND(SUM(X31:X35),1))</f>
        <v>0</v>
      </c>
      <c r="Y36" s="13"/>
      <c r="Z36" s="680">
        <f>_xlfn.SINGLE(ROUND(SUM(Z31:Z35),1))</f>
        <v>0</v>
      </c>
      <c r="AA36" s="13"/>
      <c r="AB36" s="676"/>
      <c r="AC36" s="680">
        <f>ROUND(SUM(AC31:AC35),1)</f>
        <v>1422.5</v>
      </c>
      <c r="AD36" s="13"/>
      <c r="AE36" s="676"/>
      <c r="AF36" s="680">
        <f>ROUND(SUM(AF31:AF35),1)</f>
        <v>1631.6</v>
      </c>
      <c r="AG36" s="78"/>
      <c r="AH36" s="13"/>
      <c r="AI36" s="680">
        <f>_xlfn.SINGLE(ROUND(SUM(AI31:AI35),1))</f>
        <v>-209.1</v>
      </c>
      <c r="AJ36" s="60"/>
      <c r="AK36" s="1030">
        <f>_xlfn.SINGLE(ROUND(IF(AF36=0,0,AI36/ABS(AF36)),3))</f>
        <v>-0.128</v>
      </c>
      <c r="AL36" s="1568"/>
      <c r="AM36" s="1568"/>
      <c r="AN36" s="1570"/>
      <c r="AO36" s="1570"/>
      <c r="AP36" s="1288"/>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68"/>
      <c r="AM37" s="1568"/>
      <c r="AP37" s="1288"/>
    </row>
    <row r="38" spans="1:42" ht="15" customHeight="1">
      <c r="A38" s="35"/>
      <c r="B38" s="87" t="s">
        <v>441</v>
      </c>
      <c r="C38" s="296"/>
      <c r="D38" s="1058">
        <f>_xlfn.SINGLE(ROUND(SUM(D17+D29+D36),1))</f>
        <v>503.2</v>
      </c>
      <c r="E38" s="269"/>
      <c r="F38" s="1058">
        <f>_xlfn.SINGLE(ROUND(SUM(F17+F29+F36),1))</f>
        <v>219.8</v>
      </c>
      <c r="G38" s="269"/>
      <c r="H38" s="1058">
        <f>_xlfn.SINGLE(ROUND(SUM(H17+H29+H36),1))</f>
        <v>681.3</v>
      </c>
      <c r="I38" s="269"/>
      <c r="J38" s="1058">
        <f>_xlfn.SINGLE(ROUND(SUM(J17+J29+J36),1))</f>
        <v>269.5</v>
      </c>
      <c r="K38" s="269"/>
      <c r="L38" s="1058">
        <f>_xlfn.SINGLE(ROUND(SUM(L17+L29+L36),1))</f>
        <v>241.2</v>
      </c>
      <c r="M38" s="269"/>
      <c r="N38" s="1058">
        <f>_xlfn.SINGLE(ROUND(SUM(N17+N29+N36),1))</f>
        <v>575</v>
      </c>
      <c r="O38" s="269"/>
      <c r="P38" s="1058">
        <f>_xlfn.SINGLE(ROUND(SUM(P17+P29+P36),1))</f>
        <v>238.5</v>
      </c>
      <c r="Q38" s="269"/>
      <c r="R38" s="1058">
        <f>_xlfn.SINGLE(ROUND(SUM(R17+R29+R36),1))</f>
        <v>240.8</v>
      </c>
      <c r="S38" s="616"/>
      <c r="T38" s="1058">
        <f>_xlfn.SINGLE(ROUND(SUM(T17+T29+T36),1))</f>
        <v>0</v>
      </c>
      <c r="U38" s="269"/>
      <c r="V38" s="1058">
        <f>_xlfn.SINGLE(ROUND(SUM(V17+V29+V36),1))</f>
        <v>0</v>
      </c>
      <c r="W38" s="269"/>
      <c r="X38" s="1058">
        <f>_xlfn.SINGLE(ROUND(SUM(X17+X29+X36),1))</f>
        <v>0</v>
      </c>
      <c r="Y38" s="269"/>
      <c r="Z38" s="1058">
        <f>_xlfn.SINGLE(ROUND(SUM(Z17+Z29+Z36),1))</f>
        <v>0</v>
      </c>
      <c r="AA38" s="269"/>
      <c r="AB38" s="529"/>
      <c r="AC38" s="1058">
        <f>ROUND(SUM(AC17+AC29+AC36),1)</f>
        <v>2969.3</v>
      </c>
      <c r="AD38" s="269"/>
      <c r="AE38" s="529"/>
      <c r="AF38" s="1058">
        <f>ROUND(SUM(AF17+AF29+AF36),1)</f>
        <v>3107.4</v>
      </c>
      <c r="AG38" s="1050"/>
      <c r="AH38" s="269"/>
      <c r="AI38" s="1058">
        <f>_xlfn.SINGLE(ROUND(SUM(AI17+AI29+AI36),1))</f>
        <v>-138.1</v>
      </c>
      <c r="AJ38" s="269"/>
      <c r="AK38" s="1059">
        <f>_xlfn.SINGLE(ROUND(IF(AF38=0,0,AI38/ABS(AF38)),3))</f>
        <v>-4.3999999999999997E-2</v>
      </c>
      <c r="AL38" s="1568"/>
      <c r="AM38" s="1568"/>
      <c r="AP38" s="1288"/>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50"/>
      <c r="AH39" s="269"/>
      <c r="AI39" s="269"/>
      <c r="AJ39" s="269"/>
      <c r="AK39" s="288"/>
      <c r="AL39" s="1568"/>
      <c r="AM39" s="1568"/>
      <c r="AP39" s="1288"/>
    </row>
    <row r="40" spans="1:42" ht="15" customHeight="1">
      <c r="A40" s="35"/>
      <c r="B40" s="1235"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68"/>
      <c r="AM40" s="1568"/>
      <c r="AP40" s="1288"/>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68"/>
      <c r="AM41" s="1568"/>
      <c r="AP41" s="1288"/>
    </row>
    <row r="42" spans="1:42" ht="15" customHeight="1">
      <c r="A42" s="35"/>
      <c r="B42" s="355" t="s">
        <v>1438</v>
      </c>
      <c r="C42" s="296"/>
      <c r="D42" s="372">
        <v>1.2</v>
      </c>
      <c r="E42" s="269"/>
      <c r="F42" s="372">
        <v>1.3</v>
      </c>
      <c r="G42" s="372"/>
      <c r="H42" s="372">
        <v>1.2999999999999996</v>
      </c>
      <c r="I42" s="269"/>
      <c r="J42" s="372">
        <v>2.1000000000000005</v>
      </c>
      <c r="K42" s="559"/>
      <c r="L42" s="372">
        <v>1.3</v>
      </c>
      <c r="M42" s="1134"/>
      <c r="N42" s="372">
        <v>1.8</v>
      </c>
      <c r="O42" s="559"/>
      <c r="P42" s="372">
        <v>1.3999999999999997</v>
      </c>
      <c r="Q42" s="559"/>
      <c r="R42" s="372">
        <f>$AC42-N42-P42-L42-J42-H42-F42-D42</f>
        <v>1.3999999999999997</v>
      </c>
      <c r="S42" s="559"/>
      <c r="T42" s="372"/>
      <c r="U42" s="559"/>
      <c r="V42" s="372"/>
      <c r="W42" s="559"/>
      <c r="X42" s="372"/>
      <c r="Y42" s="559"/>
      <c r="Z42" s="372"/>
      <c r="AA42" s="269"/>
      <c r="AB42" s="530"/>
      <c r="AC42" s="537">
        <v>11.8</v>
      </c>
      <c r="AD42" s="292"/>
      <c r="AE42" s="1806"/>
      <c r="AF42" s="537">
        <v>8.6999999999999993</v>
      </c>
      <c r="AG42" s="525"/>
      <c r="AH42" s="269"/>
      <c r="AI42" s="269">
        <f>_xlfn.SINGLE(ROUND(SUM(+AC42-AF42),1))</f>
        <v>3.1</v>
      </c>
      <c r="AJ42" s="269"/>
      <c r="AK42" s="288">
        <f>_xlfn.SINGLE(ROUND(IF(AF42=0,0,AI42/ABS(AF42)),3))</f>
        <v>0.35599999999999998</v>
      </c>
      <c r="AL42" s="1568"/>
      <c r="AM42" s="1568"/>
      <c r="AP42" s="1288"/>
    </row>
    <row r="43" spans="1:42" ht="15" customHeight="1">
      <c r="A43" s="35"/>
      <c r="B43" s="355" t="s">
        <v>390</v>
      </c>
      <c r="C43" s="296"/>
      <c r="D43" s="372" t="s">
        <v>103</v>
      </c>
      <c r="E43" s="269"/>
      <c r="F43" s="372"/>
      <c r="G43" s="372"/>
      <c r="H43" s="372"/>
      <c r="I43" s="269"/>
      <c r="J43" s="372"/>
      <c r="K43" s="269"/>
      <c r="L43" s="372"/>
      <c r="M43" s="1137"/>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68"/>
      <c r="AM43" s="1568"/>
      <c r="AP43" s="1288"/>
    </row>
    <row r="44" spans="1:42" ht="15" customHeight="1">
      <c r="A44" s="35"/>
      <c r="B44" s="355" t="s">
        <v>1416</v>
      </c>
      <c r="C44" s="296"/>
      <c r="D44" s="372">
        <v>57.5</v>
      </c>
      <c r="E44" s="269"/>
      <c r="F44" s="372">
        <v>29.099999999999994</v>
      </c>
      <c r="G44" s="372"/>
      <c r="H44" s="372">
        <v>57.599999999999994</v>
      </c>
      <c r="I44" s="269"/>
      <c r="J44" s="372">
        <v>105.60000000000002</v>
      </c>
      <c r="K44" s="559"/>
      <c r="L44" s="372">
        <v>85.599999999999937</v>
      </c>
      <c r="M44" s="1134"/>
      <c r="N44" s="372">
        <v>17.700000000000074</v>
      </c>
      <c r="O44" s="559"/>
      <c r="P44" s="372">
        <v>80.500000000000057</v>
      </c>
      <c r="Q44" s="559"/>
      <c r="R44" s="372">
        <f t="shared" ref="R44:R80" si="3">$AC44-N44-P44-L44-J44-H44-F44-D44</f>
        <v>47.39999999999992</v>
      </c>
      <c r="S44" s="559"/>
      <c r="T44" s="372"/>
      <c r="U44" s="559"/>
      <c r="V44" s="372"/>
      <c r="W44" s="559"/>
      <c r="X44" s="372"/>
      <c r="Y44" s="559"/>
      <c r="Z44" s="372"/>
      <c r="AA44" s="269"/>
      <c r="AB44" s="530"/>
      <c r="AC44" s="537">
        <v>481</v>
      </c>
      <c r="AD44" s="292"/>
      <c r="AE44" s="1806"/>
      <c r="AF44" s="537">
        <v>509.1</v>
      </c>
      <c r="AG44" s="525"/>
      <c r="AH44" s="269"/>
      <c r="AI44" s="269">
        <f>_xlfn.SINGLE(ROUND(SUM(+AC44-AF44),1))</f>
        <v>-28.1</v>
      </c>
      <c r="AJ44" s="269"/>
      <c r="AK44" s="288">
        <f>_xlfn.SINGLE(ROUND(IF(AF44=0,0,AI44/ABS(AF44)),3))</f>
        <v>-5.5E-2</v>
      </c>
      <c r="AL44" s="1568"/>
      <c r="AM44" s="1568"/>
      <c r="AP44" s="1288"/>
    </row>
    <row r="45" spans="1:42" ht="15" customHeight="1">
      <c r="A45" s="35"/>
      <c r="B45" s="355" t="s">
        <v>1417</v>
      </c>
      <c r="C45" s="296"/>
      <c r="D45" s="372">
        <v>665.8</v>
      </c>
      <c r="E45" s="269"/>
      <c r="F45" s="372">
        <v>671.8</v>
      </c>
      <c r="G45" s="372"/>
      <c r="H45" s="372">
        <v>692.10000000000014</v>
      </c>
      <c r="I45" s="269"/>
      <c r="J45" s="372">
        <v>698.09999999999991</v>
      </c>
      <c r="K45" s="559"/>
      <c r="L45" s="372">
        <v>691.80000000000018</v>
      </c>
      <c r="M45" s="1134"/>
      <c r="N45" s="372">
        <v>687.09999999999968</v>
      </c>
      <c r="O45" s="559"/>
      <c r="P45" s="372">
        <v>692.40000000000077</v>
      </c>
      <c r="Q45" s="559"/>
      <c r="R45" s="372">
        <f t="shared" si="3"/>
        <v>664.09999999999968</v>
      </c>
      <c r="S45" s="559"/>
      <c r="T45" s="372"/>
      <c r="U45" s="559"/>
      <c r="V45" s="372"/>
      <c r="W45" s="559"/>
      <c r="X45" s="372"/>
      <c r="Y45" s="559"/>
      <c r="Z45" s="372"/>
      <c r="AA45" s="269"/>
      <c r="AB45" s="530"/>
      <c r="AC45" s="537">
        <v>5463.2</v>
      </c>
      <c r="AD45" s="292"/>
      <c r="AE45" s="1806"/>
      <c r="AF45" s="537">
        <v>5320</v>
      </c>
      <c r="AG45" s="525"/>
      <c r="AH45" s="269"/>
      <c r="AI45" s="269">
        <f>_xlfn.SINGLE(ROUND(SUM(+AC45-AF45),1))</f>
        <v>143.19999999999999</v>
      </c>
      <c r="AJ45" s="269"/>
      <c r="AK45" s="288">
        <f>_xlfn.SINGLE(ROUND(IF(AF45=0,0,AI45/ABS(AF45)),3))</f>
        <v>2.7E-2</v>
      </c>
      <c r="AL45" s="1568"/>
      <c r="AM45" s="1568"/>
      <c r="AP45" s="1288"/>
    </row>
    <row r="46" spans="1:42" ht="15" customHeight="1">
      <c r="A46" s="35"/>
      <c r="B46" s="355" t="s">
        <v>1418</v>
      </c>
      <c r="C46" s="296"/>
      <c r="D46" s="372">
        <v>0.6</v>
      </c>
      <c r="E46" s="269"/>
      <c r="F46" s="372">
        <v>0.70000000000000007</v>
      </c>
      <c r="G46" s="372"/>
      <c r="H46" s="372">
        <v>0.79999999999999993</v>
      </c>
      <c r="I46" s="269"/>
      <c r="J46" s="372">
        <v>0</v>
      </c>
      <c r="K46" s="559"/>
      <c r="L46" s="372">
        <v>0.79999999999999993</v>
      </c>
      <c r="M46" s="1134"/>
      <c r="N46" s="372">
        <v>65.800000000000011</v>
      </c>
      <c r="O46" s="559"/>
      <c r="P46" s="372">
        <v>0</v>
      </c>
      <c r="Q46" s="559"/>
      <c r="R46" s="372">
        <f t="shared" si="3"/>
        <v>-22.000000000000011</v>
      </c>
      <c r="S46" s="559"/>
      <c r="T46" s="372"/>
      <c r="U46" s="559"/>
      <c r="V46" s="372"/>
      <c r="W46" s="559"/>
      <c r="X46" s="372"/>
      <c r="Y46" s="559"/>
      <c r="Z46" s="372"/>
      <c r="AA46" s="269"/>
      <c r="AB46" s="530"/>
      <c r="AC46" s="537">
        <v>46.7</v>
      </c>
      <c r="AD46" s="292"/>
      <c r="AE46" s="1806"/>
      <c r="AF46" s="537">
        <v>47.3</v>
      </c>
      <c r="AG46" s="525"/>
      <c r="AH46" s="269"/>
      <c r="AI46" s="269">
        <f>_xlfn.SINGLE(ROUND(SUM(+AC46-AF46),1))</f>
        <v>-0.6</v>
      </c>
      <c r="AJ46" s="269"/>
      <c r="AK46" s="614">
        <f>_xlfn.SINGLE(ROUND(IF(AF46=0,0,AI46/ABS(AF46)),3))</f>
        <v>-1.2999999999999999E-2</v>
      </c>
      <c r="AL46" s="1568"/>
      <c r="AM46" s="1568"/>
      <c r="AP46" s="1288"/>
    </row>
    <row r="47" spans="1:42" ht="15" customHeight="1">
      <c r="A47" s="35"/>
      <c r="B47" s="355" t="s">
        <v>1439</v>
      </c>
      <c r="C47" s="296"/>
      <c r="D47" s="372">
        <v>0</v>
      </c>
      <c r="E47" s="269"/>
      <c r="F47" s="372">
        <v>0.1</v>
      </c>
      <c r="G47" s="372"/>
      <c r="H47" s="372">
        <v>0</v>
      </c>
      <c r="I47" s="269"/>
      <c r="J47" s="372">
        <v>0</v>
      </c>
      <c r="K47" s="559"/>
      <c r="L47" s="372">
        <v>631.19999999999993</v>
      </c>
      <c r="M47" s="1134"/>
      <c r="N47" s="372">
        <v>0</v>
      </c>
      <c r="O47" s="559"/>
      <c r="P47" s="372">
        <v>591</v>
      </c>
      <c r="Q47" s="559"/>
      <c r="R47" s="372">
        <f t="shared" si="3"/>
        <v>1014.8</v>
      </c>
      <c r="S47" s="559"/>
      <c r="T47" s="372"/>
      <c r="U47" s="559"/>
      <c r="V47" s="372"/>
      <c r="W47" s="559"/>
      <c r="X47" s="372"/>
      <c r="Y47" s="559"/>
      <c r="Z47" s="372"/>
      <c r="AA47" s="269"/>
      <c r="AB47" s="530"/>
      <c r="AC47" s="537">
        <v>2237.1</v>
      </c>
      <c r="AD47" s="292"/>
      <c r="AE47" s="1806"/>
      <c r="AF47" s="537">
        <v>0.2</v>
      </c>
      <c r="AG47" s="525"/>
      <c r="AH47" s="269"/>
      <c r="AI47" s="269">
        <f>_xlfn.SINGLE(ROUND(SUM(+AC47-AF47),1))</f>
        <v>2236.9</v>
      </c>
      <c r="AJ47" s="269"/>
      <c r="AK47" s="614">
        <f>_xlfn.SINGLE(ROUND(IF(AF47=0,1,AI47/ABS(AF47)),3))</f>
        <v>11184.5</v>
      </c>
      <c r="AL47" s="1568"/>
      <c r="AM47" s="1568"/>
      <c r="AP47" s="1288"/>
    </row>
    <row r="48" spans="1:42" ht="15" customHeight="1">
      <c r="A48" s="35"/>
      <c r="B48" s="355" t="s">
        <v>395</v>
      </c>
      <c r="C48" s="296"/>
      <c r="D48" s="372" t="s">
        <v>103</v>
      </c>
      <c r="E48" s="269"/>
      <c r="F48" s="372"/>
      <c r="G48" s="372"/>
      <c r="H48" s="372"/>
      <c r="I48" s="269"/>
      <c r="J48" s="372"/>
      <c r="K48" s="269"/>
      <c r="L48" s="372"/>
      <c r="M48" s="1137"/>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68"/>
      <c r="AM48" s="1568"/>
      <c r="AP48" s="1288"/>
    </row>
    <row r="49" spans="1:42" ht="15" customHeight="1">
      <c r="A49" s="35"/>
      <c r="B49" s="355" t="s">
        <v>1440</v>
      </c>
      <c r="C49" s="296"/>
      <c r="D49" s="372">
        <v>0</v>
      </c>
      <c r="E49" s="269"/>
      <c r="F49" s="372">
        <v>0.1</v>
      </c>
      <c r="G49" s="372"/>
      <c r="H49" s="372">
        <v>2.2999999999999998</v>
      </c>
      <c r="I49" s="269"/>
      <c r="J49" s="372">
        <v>0</v>
      </c>
      <c r="K49" s="559"/>
      <c r="L49" s="372">
        <v>0.10000000000000017</v>
      </c>
      <c r="M49" s="1134"/>
      <c r="N49" s="372">
        <v>0.10000000000000017</v>
      </c>
      <c r="O49" s="559"/>
      <c r="P49" s="372">
        <v>0</v>
      </c>
      <c r="Q49" s="559"/>
      <c r="R49" s="372">
        <f>ROUND(($AC49-N49-P49-L49-J49-H49-F49-D49),1)</f>
        <v>0</v>
      </c>
      <c r="S49" s="559"/>
      <c r="T49" s="372"/>
      <c r="U49" s="559"/>
      <c r="V49" s="372"/>
      <c r="W49" s="559"/>
      <c r="X49" s="372"/>
      <c r="Y49" s="559"/>
      <c r="Z49" s="372"/>
      <c r="AA49" s="269"/>
      <c r="AB49" s="530"/>
      <c r="AC49" s="537">
        <v>2.6</v>
      </c>
      <c r="AD49" s="292"/>
      <c r="AE49" s="1806"/>
      <c r="AF49" s="537">
        <v>2.5</v>
      </c>
      <c r="AG49" s="525"/>
      <c r="AH49" s="269"/>
      <c r="AI49" s="269">
        <f t="shared" ref="AI49:AI55" si="4">_xlfn.SINGLE(ROUND(SUM(+AC49-AF49),1))</f>
        <v>0.1</v>
      </c>
      <c r="AJ49" s="269"/>
      <c r="AK49" s="271">
        <f>ROUND(IF(AF49=0,0,AI49/ABS(AF49)),3)</f>
        <v>0.04</v>
      </c>
      <c r="AL49" s="1568"/>
      <c r="AM49" s="1568"/>
      <c r="AP49" s="1288"/>
    </row>
    <row r="50" spans="1:42" ht="15" customHeight="1">
      <c r="A50" s="35"/>
      <c r="B50" s="355" t="s">
        <v>1441</v>
      </c>
      <c r="C50" s="296"/>
      <c r="D50" s="372">
        <v>47</v>
      </c>
      <c r="E50" s="269"/>
      <c r="F50" s="372">
        <v>35.299999999999997</v>
      </c>
      <c r="G50" s="372"/>
      <c r="H50" s="372">
        <v>92.8</v>
      </c>
      <c r="I50" s="269"/>
      <c r="J50" s="372">
        <v>49.59999999999998</v>
      </c>
      <c r="K50" s="559"/>
      <c r="L50" s="372">
        <v>26.600000000000023</v>
      </c>
      <c r="M50" s="1134"/>
      <c r="N50" s="372">
        <v>104.69999999999999</v>
      </c>
      <c r="O50" s="559"/>
      <c r="P50" s="372">
        <v>61.600000000000037</v>
      </c>
      <c r="Q50" s="559"/>
      <c r="R50" s="372">
        <f t="shared" si="3"/>
        <v>54.799999999999969</v>
      </c>
      <c r="S50" s="559"/>
      <c r="T50" s="372"/>
      <c r="U50" s="559"/>
      <c r="V50" s="372"/>
      <c r="W50" s="559"/>
      <c r="X50" s="372"/>
      <c r="Y50" s="559"/>
      <c r="Z50" s="372"/>
      <c r="AA50" s="269"/>
      <c r="AB50" s="530"/>
      <c r="AC50" s="537">
        <v>472.4</v>
      </c>
      <c r="AD50" s="292"/>
      <c r="AE50" s="1806"/>
      <c r="AF50" s="537">
        <v>455.9</v>
      </c>
      <c r="AG50" s="525"/>
      <c r="AH50" s="269"/>
      <c r="AI50" s="269">
        <f t="shared" si="4"/>
        <v>16.5</v>
      </c>
      <c r="AJ50" s="269"/>
      <c r="AK50" s="288">
        <f>_xlfn.SINGLE(ROUND(IF(AF50=0,0,AI50/ABS(AF50)),3))</f>
        <v>3.5999999999999997E-2</v>
      </c>
      <c r="AL50" s="1568"/>
      <c r="AM50" s="1568"/>
      <c r="AP50" s="1288"/>
    </row>
    <row r="51" spans="1:42" ht="15" customHeight="1">
      <c r="A51" s="35"/>
      <c r="B51" s="355" t="s">
        <v>490</v>
      </c>
      <c r="C51" s="296"/>
      <c r="D51" s="372">
        <v>4.9000000000000004</v>
      </c>
      <c r="E51" s="269"/>
      <c r="F51" s="372">
        <v>2.8999999999999995</v>
      </c>
      <c r="G51" s="372"/>
      <c r="H51" s="372">
        <v>6.1000000000000005</v>
      </c>
      <c r="I51" s="269"/>
      <c r="J51" s="372">
        <v>3.9000000000000004</v>
      </c>
      <c r="K51" s="559"/>
      <c r="L51" s="372">
        <v>4.8999999999999968</v>
      </c>
      <c r="M51" s="1134"/>
      <c r="N51" s="372">
        <v>4.2000000000000011</v>
      </c>
      <c r="O51" s="559"/>
      <c r="P51" s="372">
        <v>5.8999999999999968</v>
      </c>
      <c r="Q51" s="559"/>
      <c r="R51" s="372">
        <f t="shared" si="3"/>
        <v>4.9999999999999982</v>
      </c>
      <c r="S51" s="559"/>
      <c r="T51" s="372"/>
      <c r="U51" s="559"/>
      <c r="V51" s="372"/>
      <c r="W51" s="559"/>
      <c r="X51" s="372"/>
      <c r="Y51" s="559"/>
      <c r="Z51" s="372"/>
      <c r="AA51" s="269"/>
      <c r="AB51" s="530"/>
      <c r="AC51" s="537">
        <v>37.799999999999997</v>
      </c>
      <c r="AD51" s="292"/>
      <c r="AE51" s="1806"/>
      <c r="AF51" s="537">
        <v>35.4</v>
      </c>
      <c r="AG51" s="525"/>
      <c r="AH51" s="269"/>
      <c r="AI51" s="269">
        <f t="shared" si="4"/>
        <v>2.4</v>
      </c>
      <c r="AJ51" s="269"/>
      <c r="AK51" s="288">
        <f>_xlfn.SINGLE(ROUND(IF(AF51=0,0,AI51/ABS(AF51)),3))</f>
        <v>6.8000000000000005E-2</v>
      </c>
      <c r="AL51" s="1568"/>
      <c r="AM51" s="1568"/>
      <c r="AP51" s="1288"/>
    </row>
    <row r="52" spans="1:42" ht="15" customHeight="1">
      <c r="A52" s="35"/>
      <c r="B52" s="355" t="s">
        <v>491</v>
      </c>
      <c r="C52" s="296"/>
      <c r="D52" s="372">
        <v>0</v>
      </c>
      <c r="E52" s="269"/>
      <c r="F52" s="372">
        <v>0.8</v>
      </c>
      <c r="G52" s="372"/>
      <c r="H52" s="372">
        <v>0.19999999999999996</v>
      </c>
      <c r="I52" s="269"/>
      <c r="J52" s="372">
        <v>0.19999999999999996</v>
      </c>
      <c r="K52" s="559"/>
      <c r="L52" s="372">
        <v>0.90000000000000013</v>
      </c>
      <c r="M52" s="1134"/>
      <c r="N52" s="372">
        <v>0</v>
      </c>
      <c r="O52" s="559"/>
      <c r="P52" s="372">
        <v>0.29999999999999982</v>
      </c>
      <c r="Q52" s="559"/>
      <c r="R52" s="372">
        <f t="shared" si="3"/>
        <v>0.70000000000000018</v>
      </c>
      <c r="S52" s="559"/>
      <c r="T52" s="372"/>
      <c r="U52" s="559"/>
      <c r="V52" s="372"/>
      <c r="W52" s="559"/>
      <c r="X52" s="372"/>
      <c r="Y52" s="559"/>
      <c r="Z52" s="372"/>
      <c r="AA52" s="269"/>
      <c r="AB52" s="530"/>
      <c r="AC52" s="537">
        <v>3.1</v>
      </c>
      <c r="AD52" s="292"/>
      <c r="AE52" s="1806"/>
      <c r="AF52" s="537">
        <v>3.4</v>
      </c>
      <c r="AG52" s="525"/>
      <c r="AH52" s="269"/>
      <c r="AI52" s="269">
        <f t="shared" si="4"/>
        <v>-0.3</v>
      </c>
      <c r="AJ52" s="269"/>
      <c r="AK52" s="288">
        <f>_xlfn.SINGLE(ROUND(IF(AF52=0,1,AI52/ABS(AF52)),3))</f>
        <v>-8.7999999999999995E-2</v>
      </c>
      <c r="AL52" s="1568"/>
      <c r="AM52" s="1568"/>
      <c r="AP52" s="1288"/>
    </row>
    <row r="53" spans="1:42" ht="15" customHeight="1">
      <c r="A53" s="35"/>
      <c r="B53" s="355" t="s">
        <v>1421</v>
      </c>
      <c r="C53" s="296"/>
      <c r="D53" s="372">
        <v>45.6</v>
      </c>
      <c r="E53" s="269"/>
      <c r="F53" s="372">
        <v>20.199999999999996</v>
      </c>
      <c r="G53" s="372"/>
      <c r="H53" s="372">
        <v>27.799999999999997</v>
      </c>
      <c r="I53" s="269"/>
      <c r="J53" s="372">
        <v>13.699999999999996</v>
      </c>
      <c r="K53" s="559"/>
      <c r="L53" s="372">
        <v>14.799999999999997</v>
      </c>
      <c r="M53" s="1134"/>
      <c r="N53" s="372">
        <v>55.4</v>
      </c>
      <c r="O53" s="559"/>
      <c r="P53" s="372">
        <v>14.600000000000023</v>
      </c>
      <c r="Q53" s="559"/>
      <c r="R53" s="372">
        <f t="shared" si="3"/>
        <v>23.299999999999976</v>
      </c>
      <c r="S53" s="559"/>
      <c r="T53" s="372"/>
      <c r="U53" s="559"/>
      <c r="V53" s="372"/>
      <c r="W53" s="559"/>
      <c r="X53" s="372"/>
      <c r="Y53" s="559"/>
      <c r="Z53" s="372"/>
      <c r="AA53" s="269"/>
      <c r="AB53" s="530"/>
      <c r="AC53" s="537">
        <v>215.4</v>
      </c>
      <c r="AD53" s="292"/>
      <c r="AE53" s="1806"/>
      <c r="AF53" s="537">
        <v>181.1</v>
      </c>
      <c r="AG53" s="525"/>
      <c r="AH53" s="269"/>
      <c r="AI53" s="269">
        <f t="shared" si="4"/>
        <v>34.299999999999997</v>
      </c>
      <c r="AJ53" s="269"/>
      <c r="AK53" s="288">
        <f>_xlfn.SINGLE(ROUND(IF(AF53=0,0,AI53/ABS(AF53)),3))</f>
        <v>0.189</v>
      </c>
      <c r="AL53" s="1568"/>
      <c r="AM53" s="1568"/>
      <c r="AP53" s="1288"/>
    </row>
    <row r="54" spans="1:42" ht="15" customHeight="1">
      <c r="A54" s="35"/>
      <c r="B54" s="355" t="s">
        <v>1422</v>
      </c>
      <c r="C54" s="296"/>
      <c r="D54" s="372">
        <v>82</v>
      </c>
      <c r="E54" s="269"/>
      <c r="F54" s="372">
        <v>78.599999999999994</v>
      </c>
      <c r="G54" s="372"/>
      <c r="H54" s="372">
        <v>37.5</v>
      </c>
      <c r="I54" s="269"/>
      <c r="J54" s="372">
        <v>74.299999999999983</v>
      </c>
      <c r="K54" s="559"/>
      <c r="L54" s="372">
        <v>78.400000000000034</v>
      </c>
      <c r="M54" s="1134"/>
      <c r="N54" s="372">
        <v>168.1</v>
      </c>
      <c r="O54" s="559"/>
      <c r="P54" s="372">
        <v>90.099999999999937</v>
      </c>
      <c r="Q54" s="559"/>
      <c r="R54" s="372">
        <f t="shared" si="3"/>
        <v>90.000000000000028</v>
      </c>
      <c r="S54" s="559"/>
      <c r="T54" s="372"/>
      <c r="U54" s="559"/>
      <c r="V54" s="372"/>
      <c r="W54" s="559"/>
      <c r="X54" s="372"/>
      <c r="Y54" s="559"/>
      <c r="Z54" s="372"/>
      <c r="AA54" s="269"/>
      <c r="AB54" s="530"/>
      <c r="AC54" s="537">
        <v>699</v>
      </c>
      <c r="AD54" s="292"/>
      <c r="AE54" s="1806"/>
      <c r="AF54" s="537">
        <v>645.1</v>
      </c>
      <c r="AG54" s="525"/>
      <c r="AH54" s="269"/>
      <c r="AI54" s="269">
        <f t="shared" si="4"/>
        <v>53.9</v>
      </c>
      <c r="AJ54" s="269"/>
      <c r="AK54" s="288">
        <f>_xlfn.SINGLE(ROUND(IF(AF54=0,0,AI54/ABS(AF54)),3))</f>
        <v>8.4000000000000005E-2</v>
      </c>
      <c r="AL54" s="1568"/>
      <c r="AM54" s="1568"/>
      <c r="AP54" s="1288"/>
    </row>
    <row r="55" spans="1:42" ht="15" customHeight="1">
      <c r="A55" s="35"/>
      <c r="B55" s="355" t="s">
        <v>1413</v>
      </c>
      <c r="C55" s="296"/>
      <c r="D55" s="372">
        <v>7.8</v>
      </c>
      <c r="E55" s="269"/>
      <c r="F55" s="372">
        <v>49.800000000000004</v>
      </c>
      <c r="G55" s="372"/>
      <c r="H55" s="372">
        <v>7.3000000000000043</v>
      </c>
      <c r="I55" s="269"/>
      <c r="J55" s="372">
        <v>13.599999999999991</v>
      </c>
      <c r="K55" s="559"/>
      <c r="L55" s="372">
        <v>19.700000000000006</v>
      </c>
      <c r="M55" s="1134"/>
      <c r="N55" s="372">
        <v>5.7</v>
      </c>
      <c r="O55" s="559"/>
      <c r="P55" s="372">
        <v>8.699999999999978</v>
      </c>
      <c r="Q55" s="559"/>
      <c r="R55" s="372">
        <f t="shared" si="3"/>
        <v>22.900000000000023</v>
      </c>
      <c r="S55" s="559"/>
      <c r="T55" s="372"/>
      <c r="U55" s="559"/>
      <c r="V55" s="372"/>
      <c r="W55" s="559"/>
      <c r="X55" s="372"/>
      <c r="Y55" s="559"/>
      <c r="Z55" s="372"/>
      <c r="AA55" s="269"/>
      <c r="AB55" s="530"/>
      <c r="AC55" s="537">
        <v>135.5</v>
      </c>
      <c r="AD55" s="292"/>
      <c r="AE55" s="1806"/>
      <c r="AF55" s="537">
        <v>87.7</v>
      </c>
      <c r="AG55" s="525"/>
      <c r="AH55" s="269"/>
      <c r="AI55" s="269">
        <f t="shared" si="4"/>
        <v>47.8</v>
      </c>
      <c r="AJ55" s="269"/>
      <c r="AK55" s="548">
        <f>_xlfn.SINGLE(ROUND(IF(AF55=0,0,AI55/ABS(AF55)),3))</f>
        <v>0.54500000000000004</v>
      </c>
      <c r="AL55" s="1568"/>
      <c r="AM55" s="1568"/>
      <c r="AP55" s="1288"/>
    </row>
    <row r="56" spans="1:42" ht="15" customHeight="1">
      <c r="A56" s="35"/>
      <c r="B56" s="355" t="s">
        <v>404</v>
      </c>
      <c r="C56" s="296"/>
      <c r="D56" s="372" t="s">
        <v>103</v>
      </c>
      <c r="E56" s="269"/>
      <c r="F56" s="372"/>
      <c r="G56" s="372"/>
      <c r="H56" s="372"/>
      <c r="I56" s="269"/>
      <c r="J56" s="372"/>
      <c r="K56" s="269"/>
      <c r="L56" s="372"/>
      <c r="M56" s="1137"/>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68"/>
      <c r="AM56" s="1568"/>
      <c r="AP56" s="1288"/>
    </row>
    <row r="57" spans="1:42" ht="15" customHeight="1">
      <c r="A57" s="35"/>
      <c r="B57" s="355" t="s">
        <v>1442</v>
      </c>
      <c r="C57" s="296"/>
      <c r="D57" s="372">
        <v>46.8</v>
      </c>
      <c r="E57" s="269"/>
      <c r="F57" s="372">
        <v>14.400000000000006</v>
      </c>
      <c r="G57" s="372"/>
      <c r="H57" s="372">
        <v>14.5</v>
      </c>
      <c r="I57" s="269"/>
      <c r="J57" s="372">
        <v>43.5</v>
      </c>
      <c r="K57" s="559"/>
      <c r="L57" s="372">
        <v>13.999999999999986</v>
      </c>
      <c r="M57" s="1134"/>
      <c r="N57" s="372">
        <v>15.300000000000011</v>
      </c>
      <c r="O57" s="559"/>
      <c r="P57" s="372">
        <v>41.999999999999986</v>
      </c>
      <c r="Q57" s="559"/>
      <c r="R57" s="372">
        <f t="shared" si="3"/>
        <v>13.199999999999974</v>
      </c>
      <c r="S57" s="559"/>
      <c r="T57" s="372"/>
      <c r="U57" s="559"/>
      <c r="V57" s="372"/>
      <c r="W57" s="559"/>
      <c r="X57" s="372"/>
      <c r="Y57" s="559"/>
      <c r="Z57" s="372"/>
      <c r="AA57" s="269"/>
      <c r="AB57" s="530"/>
      <c r="AC57" s="537">
        <v>203.7</v>
      </c>
      <c r="AD57" s="292"/>
      <c r="AE57" s="1806"/>
      <c r="AF57" s="537">
        <v>193.5</v>
      </c>
      <c r="AG57" s="525"/>
      <c r="AH57" s="269"/>
      <c r="AI57" s="269">
        <f t="shared" ref="AI57:AI62" si="5">_xlfn.SINGLE(ROUND(SUM(+AC57-AF57),1))</f>
        <v>10.199999999999999</v>
      </c>
      <c r="AJ57" s="269"/>
      <c r="AK57" s="548">
        <f>_xlfn.SINGLE(ROUND(IF(AF57=0,1,AI57/ABS(AF57)),3))</f>
        <v>5.2999999999999999E-2</v>
      </c>
      <c r="AL57" s="1568"/>
      <c r="AM57" s="1568"/>
      <c r="AP57" s="1288"/>
    </row>
    <row r="58" spans="1:42" ht="15" customHeight="1">
      <c r="A58" s="35"/>
      <c r="B58" s="355" t="s">
        <v>1443</v>
      </c>
      <c r="C58" s="296"/>
      <c r="D58" s="372">
        <v>232</v>
      </c>
      <c r="E58" s="269"/>
      <c r="F58" s="372">
        <v>168.10000000000002</v>
      </c>
      <c r="G58" s="372"/>
      <c r="H58" s="372">
        <v>174.89999999999998</v>
      </c>
      <c r="I58" s="269"/>
      <c r="J58" s="372">
        <v>212.29999999999995</v>
      </c>
      <c r="K58" s="559"/>
      <c r="L58" s="372">
        <v>177.30000000000007</v>
      </c>
      <c r="M58" s="1134"/>
      <c r="N58" s="372">
        <v>217.80000000000007</v>
      </c>
      <c r="O58" s="559"/>
      <c r="P58" s="372">
        <v>223.30000000000007</v>
      </c>
      <c r="Q58" s="559"/>
      <c r="R58" s="372">
        <f t="shared" si="3"/>
        <v>182.99999999999989</v>
      </c>
      <c r="S58" s="559"/>
      <c r="T58" s="372"/>
      <c r="U58" s="559"/>
      <c r="V58" s="372"/>
      <c r="W58" s="559"/>
      <c r="X58" s="372"/>
      <c r="Y58" s="559"/>
      <c r="Z58" s="372"/>
      <c r="AA58" s="269"/>
      <c r="AB58" s="530"/>
      <c r="AC58" s="537">
        <v>1588.7</v>
      </c>
      <c r="AD58" s="292"/>
      <c r="AE58" s="1806"/>
      <c r="AF58" s="537">
        <v>1584.5</v>
      </c>
      <c r="AG58" s="525"/>
      <c r="AH58" s="269"/>
      <c r="AI58" s="269">
        <f t="shared" si="5"/>
        <v>4.2</v>
      </c>
      <c r="AJ58" s="269"/>
      <c r="AK58" s="288">
        <f>_xlfn.SINGLE(ROUND(IF(AF58=0,0,AI58/ABS(AF58)),3))</f>
        <v>3.0000000000000001E-3</v>
      </c>
      <c r="AL58" s="1568"/>
      <c r="AM58" s="1568"/>
      <c r="AP58" s="1288"/>
    </row>
    <row r="59" spans="1:42" ht="15" customHeight="1">
      <c r="A59" s="35"/>
      <c r="B59" s="355" t="s">
        <v>1444</v>
      </c>
      <c r="C59" s="296"/>
      <c r="D59" s="372">
        <v>82.2</v>
      </c>
      <c r="E59" s="269"/>
      <c r="F59" s="372">
        <v>107.7</v>
      </c>
      <c r="G59" s="372"/>
      <c r="H59" s="372">
        <v>114.90000000000002</v>
      </c>
      <c r="I59" s="269"/>
      <c r="J59" s="372">
        <v>88.399999999999963</v>
      </c>
      <c r="K59" s="559"/>
      <c r="L59" s="372">
        <v>70.8</v>
      </c>
      <c r="M59" s="1134"/>
      <c r="N59" s="372">
        <v>113.20000000000003</v>
      </c>
      <c r="O59" s="559"/>
      <c r="P59" s="372">
        <v>112.19999999999997</v>
      </c>
      <c r="Q59" s="559"/>
      <c r="R59" s="372">
        <f t="shared" si="3"/>
        <v>135.2000000000001</v>
      </c>
      <c r="S59" s="559"/>
      <c r="T59" s="372"/>
      <c r="U59" s="559"/>
      <c r="V59" s="372"/>
      <c r="W59" s="559"/>
      <c r="X59" s="372"/>
      <c r="Y59" s="559"/>
      <c r="Z59" s="372"/>
      <c r="AA59" s="269"/>
      <c r="AB59" s="530"/>
      <c r="AC59" s="537">
        <v>824.6</v>
      </c>
      <c r="AD59" s="292"/>
      <c r="AE59" s="1806"/>
      <c r="AF59" s="537">
        <v>695.4</v>
      </c>
      <c r="AG59" s="525"/>
      <c r="AH59" s="269"/>
      <c r="AI59" s="269">
        <f t="shared" si="5"/>
        <v>129.19999999999999</v>
      </c>
      <c r="AJ59" s="269"/>
      <c r="AK59" s="288">
        <f>_xlfn.SINGLE(ROUND(IF(AF59=0,1,AI59/ABS(AF59)),3))</f>
        <v>0.186</v>
      </c>
      <c r="AL59" s="1568"/>
      <c r="AM59" s="1568"/>
      <c r="AP59" s="1288"/>
    </row>
    <row r="60" spans="1:42" ht="15" customHeight="1">
      <c r="A60" s="35"/>
      <c r="B60" s="355" t="s">
        <v>1445</v>
      </c>
      <c r="C60" s="296"/>
      <c r="D60" s="372">
        <v>101.9</v>
      </c>
      <c r="E60" s="269"/>
      <c r="F60" s="372">
        <v>76.599999999999994</v>
      </c>
      <c r="G60" s="372"/>
      <c r="H60" s="372">
        <v>78.399999999999977</v>
      </c>
      <c r="I60" s="269"/>
      <c r="J60" s="372">
        <v>110.6</v>
      </c>
      <c r="K60" s="559"/>
      <c r="L60" s="372">
        <v>88.300000000000068</v>
      </c>
      <c r="M60" s="1134"/>
      <c r="N60" s="372">
        <v>88.199999999999932</v>
      </c>
      <c r="O60" s="559"/>
      <c r="P60" s="372">
        <v>109.20000000000005</v>
      </c>
      <c r="Q60" s="559"/>
      <c r="R60" s="372">
        <f t="shared" si="3"/>
        <v>83.699999999999932</v>
      </c>
      <c r="S60" s="559"/>
      <c r="T60" s="372"/>
      <c r="U60" s="559"/>
      <c r="V60" s="372"/>
      <c r="W60" s="559"/>
      <c r="X60" s="372"/>
      <c r="Y60" s="559"/>
      <c r="Z60" s="372"/>
      <c r="AA60" s="269"/>
      <c r="AB60" s="530"/>
      <c r="AC60" s="537">
        <v>736.9</v>
      </c>
      <c r="AD60" s="292"/>
      <c r="AE60" s="1806"/>
      <c r="AF60" s="537">
        <v>722.3</v>
      </c>
      <c r="AG60" s="525"/>
      <c r="AH60" s="269"/>
      <c r="AI60" s="269">
        <f t="shared" si="5"/>
        <v>14.6</v>
      </c>
      <c r="AJ60" s="269"/>
      <c r="AK60" s="614">
        <f>_xlfn.SINGLE(ROUND(IF(AF60=0,1,AI60/ABS(AF60)),3))</f>
        <v>0.02</v>
      </c>
      <c r="AL60" s="1568"/>
      <c r="AM60" s="1568"/>
      <c r="AP60" s="1288"/>
    </row>
    <row r="61" spans="1:42" ht="15" customHeight="1">
      <c r="A61" s="35"/>
      <c r="B61" s="355" t="s">
        <v>1446</v>
      </c>
      <c r="C61" s="296"/>
      <c r="D61" s="372">
        <v>59.6</v>
      </c>
      <c r="E61" s="269"/>
      <c r="F61" s="372">
        <v>55.6</v>
      </c>
      <c r="G61" s="372"/>
      <c r="H61" s="372">
        <v>67.400000000000006</v>
      </c>
      <c r="I61" s="269"/>
      <c r="J61" s="372">
        <v>60.4</v>
      </c>
      <c r="K61" s="559"/>
      <c r="L61" s="372">
        <v>61.600000000000016</v>
      </c>
      <c r="M61" s="1134"/>
      <c r="N61" s="372">
        <v>61.9</v>
      </c>
      <c r="O61" s="559"/>
      <c r="P61" s="372">
        <v>66.199999999999989</v>
      </c>
      <c r="Q61" s="559"/>
      <c r="R61" s="372">
        <f t="shared" si="3"/>
        <v>61.999999999999993</v>
      </c>
      <c r="S61" s="559"/>
      <c r="T61" s="372"/>
      <c r="U61" s="559"/>
      <c r="V61" s="372"/>
      <c r="W61" s="559"/>
      <c r="X61" s="372"/>
      <c r="Y61" s="559"/>
      <c r="Z61" s="372"/>
      <c r="AA61" s="269"/>
      <c r="AB61" s="530"/>
      <c r="AC61" s="537">
        <v>494.7</v>
      </c>
      <c r="AD61" s="292"/>
      <c r="AE61" s="1806"/>
      <c r="AF61" s="537">
        <v>561.5</v>
      </c>
      <c r="AG61" s="525"/>
      <c r="AH61" s="269"/>
      <c r="AI61" s="269">
        <f t="shared" si="5"/>
        <v>-66.8</v>
      </c>
      <c r="AJ61" s="269"/>
      <c r="AK61" s="614">
        <f>_xlfn.SINGLE(ROUND(IF(AF61=0,0,AI61/ABS(AF61)),3))</f>
        <v>-0.11899999999999999</v>
      </c>
      <c r="AL61" s="1568"/>
      <c r="AM61" s="1568"/>
      <c r="AP61" s="1288"/>
    </row>
    <row r="62" spans="1:42" ht="15" customHeight="1">
      <c r="A62" s="35"/>
      <c r="B62" s="355" t="s">
        <v>1424</v>
      </c>
      <c r="C62" s="296"/>
      <c r="D62" s="372">
        <v>7.7</v>
      </c>
      <c r="E62" s="269"/>
      <c r="F62" s="372">
        <v>0.60000000000000053</v>
      </c>
      <c r="G62" s="372"/>
      <c r="H62" s="372">
        <v>5</v>
      </c>
      <c r="I62" s="269"/>
      <c r="J62" s="372">
        <v>2.9999999999999991</v>
      </c>
      <c r="K62" s="559"/>
      <c r="L62" s="372">
        <v>0.59999999999999698</v>
      </c>
      <c r="M62" s="1134"/>
      <c r="N62" s="372">
        <v>4.4999999999999991</v>
      </c>
      <c r="O62" s="559"/>
      <c r="P62" s="372">
        <v>3.4000000000000012</v>
      </c>
      <c r="Q62" s="559"/>
      <c r="R62" s="372">
        <f t="shared" si="3"/>
        <v>0.59999999999999698</v>
      </c>
      <c r="S62" s="559"/>
      <c r="T62" s="372"/>
      <c r="U62" s="559"/>
      <c r="V62" s="372"/>
      <c r="W62" s="559"/>
      <c r="X62" s="372"/>
      <c r="Y62" s="559"/>
      <c r="Z62" s="372"/>
      <c r="AA62" s="269"/>
      <c r="AB62" s="530"/>
      <c r="AC62" s="537">
        <v>25.4</v>
      </c>
      <c r="AD62" s="292"/>
      <c r="AE62" s="1806"/>
      <c r="AF62" s="537">
        <v>25.4</v>
      </c>
      <c r="AG62" s="525"/>
      <c r="AH62" s="269"/>
      <c r="AI62" s="269">
        <f t="shared" si="5"/>
        <v>0</v>
      </c>
      <c r="AJ62" s="269"/>
      <c r="AK62" s="288">
        <f>_xlfn.SINGLE(ROUND(IF(AF62=0,0,AI62/ABS(AF62)),3))</f>
        <v>0</v>
      </c>
      <c r="AL62" s="1568"/>
      <c r="AM62" s="1568"/>
      <c r="AP62" s="1288"/>
    </row>
    <row r="63" spans="1:42" ht="15" customHeight="1">
      <c r="A63" s="35"/>
      <c r="B63" s="355" t="s">
        <v>411</v>
      </c>
      <c r="C63" s="296"/>
      <c r="D63" s="372" t="s">
        <v>103</v>
      </c>
      <c r="E63" s="269"/>
      <c r="F63" s="372"/>
      <c r="G63" s="372"/>
      <c r="H63" s="372"/>
      <c r="I63" s="269"/>
      <c r="J63" s="372"/>
      <c r="K63" s="269"/>
      <c r="L63" s="372"/>
      <c r="M63" s="1137"/>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68"/>
      <c r="AM63" s="1568"/>
      <c r="AP63" s="1288"/>
    </row>
    <row r="64" spans="1:42" ht="15" customHeight="1">
      <c r="A64" s="35"/>
      <c r="B64" s="355" t="s">
        <v>497</v>
      </c>
      <c r="C64" s="296"/>
      <c r="D64" s="372">
        <v>0</v>
      </c>
      <c r="E64" s="269"/>
      <c r="F64" s="372">
        <v>0</v>
      </c>
      <c r="G64" s="372"/>
      <c r="H64" s="372">
        <v>0</v>
      </c>
      <c r="I64" s="269"/>
      <c r="J64" s="372">
        <v>0</v>
      </c>
      <c r="K64" s="559"/>
      <c r="L64" s="372">
        <v>0</v>
      </c>
      <c r="M64" s="1134"/>
      <c r="N64" s="372">
        <v>0</v>
      </c>
      <c r="O64" s="559"/>
      <c r="P64" s="372">
        <v>0</v>
      </c>
      <c r="Q64" s="559"/>
      <c r="R64" s="372">
        <f t="shared" si="3"/>
        <v>0</v>
      </c>
      <c r="S64" s="559"/>
      <c r="T64" s="372"/>
      <c r="U64" s="559"/>
      <c r="V64" s="372"/>
      <c r="W64" s="559"/>
      <c r="X64" s="372"/>
      <c r="Y64" s="559"/>
      <c r="Z64" s="372"/>
      <c r="AA64" s="269"/>
      <c r="AB64" s="530"/>
      <c r="AC64" s="537">
        <v>0</v>
      </c>
      <c r="AD64" s="292"/>
      <c r="AE64" s="1806"/>
      <c r="AF64" s="537">
        <v>0</v>
      </c>
      <c r="AG64" s="525"/>
      <c r="AH64" s="269"/>
      <c r="AI64" s="269">
        <f>_xlfn.SINGLE(ROUND(SUM(+AC64-AF64),1))</f>
        <v>0</v>
      </c>
      <c r="AJ64" s="269"/>
      <c r="AK64" s="288">
        <f>_xlfn.SINGLE(ROUND(IF(AF64=0,0,AI64/ABS(AF64)),3))</f>
        <v>0</v>
      </c>
      <c r="AL64" s="1568"/>
      <c r="AM64" s="1568"/>
      <c r="AP64" s="1288"/>
    </row>
    <row r="65" spans="1:42" ht="15" customHeight="1">
      <c r="A65" s="35"/>
      <c r="B65" s="355" t="s">
        <v>1447</v>
      </c>
      <c r="C65" s="296"/>
      <c r="D65" s="372">
        <v>0.4</v>
      </c>
      <c r="E65" s="269"/>
      <c r="F65" s="372">
        <v>12.7</v>
      </c>
      <c r="G65" s="372"/>
      <c r="H65" s="372">
        <v>0</v>
      </c>
      <c r="I65" s="269"/>
      <c r="J65" s="372">
        <v>0</v>
      </c>
      <c r="K65" s="559"/>
      <c r="L65" s="372">
        <v>0</v>
      </c>
      <c r="M65" s="1134"/>
      <c r="N65" s="372">
        <v>7.2999999999999989</v>
      </c>
      <c r="O65" s="559"/>
      <c r="P65" s="372">
        <v>0</v>
      </c>
      <c r="Q65" s="559"/>
      <c r="R65" s="372">
        <f t="shared" si="3"/>
        <v>0</v>
      </c>
      <c r="S65" s="559"/>
      <c r="T65" s="372"/>
      <c r="U65" s="559"/>
      <c r="V65" s="372"/>
      <c r="W65" s="559"/>
      <c r="X65" s="372"/>
      <c r="Y65" s="559"/>
      <c r="Z65" s="372"/>
      <c r="AA65" s="269"/>
      <c r="AB65" s="530"/>
      <c r="AC65" s="537">
        <v>20.399999999999999</v>
      </c>
      <c r="AD65" s="292"/>
      <c r="AE65" s="1806"/>
      <c r="AF65" s="537">
        <v>17.100000000000001</v>
      </c>
      <c r="AG65" s="525"/>
      <c r="AH65" s="269"/>
      <c r="AI65" s="269">
        <f>_xlfn.SINGLE(ROUND(SUM(+AC65-AF65),1))</f>
        <v>3.3</v>
      </c>
      <c r="AJ65" s="269"/>
      <c r="AK65" s="614">
        <f>_xlfn.SINGLE(ROUND(IF(AF65=0,1,AI65/ABS(AF65)),3))</f>
        <v>0.193</v>
      </c>
      <c r="AL65" s="1568"/>
      <c r="AM65" s="1568"/>
      <c r="AP65" s="1288"/>
    </row>
    <row r="66" spans="1:42" ht="15" customHeight="1">
      <c r="A66" s="35"/>
      <c r="B66" s="355" t="s">
        <v>1425</v>
      </c>
      <c r="C66" s="296"/>
      <c r="D66" s="372">
        <v>0.5</v>
      </c>
      <c r="E66" s="269"/>
      <c r="F66" s="372">
        <v>0.5</v>
      </c>
      <c r="G66" s="372"/>
      <c r="H66" s="372">
        <v>1.4</v>
      </c>
      <c r="I66" s="269"/>
      <c r="J66" s="372">
        <v>4.8000000000000007</v>
      </c>
      <c r="K66" s="559"/>
      <c r="L66" s="372">
        <v>0</v>
      </c>
      <c r="M66" s="1134"/>
      <c r="N66" s="372">
        <v>0</v>
      </c>
      <c r="O66" s="559"/>
      <c r="P66" s="372">
        <v>0</v>
      </c>
      <c r="Q66" s="559"/>
      <c r="R66" s="372">
        <f>ROUND(($AC66-N66-P66-L66-J66-H66-F66-D66),1)</f>
        <v>0</v>
      </c>
      <c r="S66" s="559"/>
      <c r="T66" s="372"/>
      <c r="U66" s="559"/>
      <c r="V66" s="372"/>
      <c r="W66" s="559"/>
      <c r="X66" s="372"/>
      <c r="Y66" s="559"/>
      <c r="Z66" s="372"/>
      <c r="AA66" s="269"/>
      <c r="AB66" s="530"/>
      <c r="AC66" s="537">
        <v>7.2</v>
      </c>
      <c r="AD66" s="292"/>
      <c r="AE66" s="1806"/>
      <c r="AF66" s="537">
        <v>7.2</v>
      </c>
      <c r="AG66" s="525"/>
      <c r="AH66" s="269"/>
      <c r="AI66" s="269">
        <f>_xlfn.SINGLE(ROUND(SUM(+AC66-AF66),1))</f>
        <v>0</v>
      </c>
      <c r="AJ66" s="269"/>
      <c r="AK66" s="614">
        <f>_xlfn.SINGLE(ROUND(IF(AF66=0,0,AI66/ABS(AF66)),3))</f>
        <v>0</v>
      </c>
      <c r="AL66" s="1568"/>
      <c r="AM66" s="1568"/>
      <c r="AP66" s="1288"/>
    </row>
    <row r="67" spans="1:42" ht="15" customHeight="1">
      <c r="A67" s="35"/>
      <c r="B67" s="355" t="s">
        <v>1448</v>
      </c>
      <c r="C67" s="296"/>
      <c r="D67" s="372">
        <v>4.2</v>
      </c>
      <c r="E67" s="269"/>
      <c r="F67" s="372">
        <v>3.5999999999999996</v>
      </c>
      <c r="G67" s="372"/>
      <c r="H67" s="372">
        <v>3.8</v>
      </c>
      <c r="I67" s="269"/>
      <c r="J67" s="372">
        <v>4.6000000000000005</v>
      </c>
      <c r="K67" s="559"/>
      <c r="L67" s="372">
        <v>0.19999999999999751</v>
      </c>
      <c r="M67" s="1134"/>
      <c r="N67" s="372">
        <v>13.500000000000004</v>
      </c>
      <c r="O67" s="559"/>
      <c r="P67" s="372">
        <v>9.1999999999999993</v>
      </c>
      <c r="Q67" s="559"/>
      <c r="R67" s="372">
        <f t="shared" si="3"/>
        <v>4.5000000000000009</v>
      </c>
      <c r="S67" s="559"/>
      <c r="T67" s="372"/>
      <c r="U67" s="559"/>
      <c r="V67" s="372"/>
      <c r="W67" s="559"/>
      <c r="X67" s="372"/>
      <c r="Y67" s="559"/>
      <c r="Z67" s="372"/>
      <c r="AA67" s="269"/>
      <c r="AB67" s="530"/>
      <c r="AC67" s="537">
        <v>43.6</v>
      </c>
      <c r="AD67" s="292"/>
      <c r="AE67" s="1806"/>
      <c r="AF67" s="537">
        <v>37.699999999999996</v>
      </c>
      <c r="AG67" s="525"/>
      <c r="AH67" s="269"/>
      <c r="AI67" s="269">
        <f>_xlfn.SINGLE(ROUND(SUM(+AC67-AF67),1))</f>
        <v>5.9</v>
      </c>
      <c r="AJ67" s="269"/>
      <c r="AK67" s="614">
        <f>_xlfn.SINGLE(ROUND(IF(AF67=0,0,AI67/ABS(AF67)),3))</f>
        <v>0.156</v>
      </c>
      <c r="AL67" s="1568"/>
      <c r="AM67" s="1568"/>
      <c r="AP67" s="1288"/>
    </row>
    <row r="68" spans="1:42" ht="15" customHeight="1">
      <c r="A68" s="35"/>
      <c r="B68" s="355" t="s">
        <v>416</v>
      </c>
      <c r="C68" s="296"/>
      <c r="D68" s="372">
        <v>68.7</v>
      </c>
      <c r="E68" s="269"/>
      <c r="F68" s="372">
        <v>20.899999999999991</v>
      </c>
      <c r="G68" s="372"/>
      <c r="H68" s="372">
        <v>-1.0999999999999943</v>
      </c>
      <c r="I68" s="269"/>
      <c r="J68" s="372">
        <v>1.0999999999999943</v>
      </c>
      <c r="K68" s="559"/>
      <c r="L68" s="372">
        <v>0.90000000000000568</v>
      </c>
      <c r="M68" s="1134"/>
      <c r="N68" s="372">
        <v>9.9000000000000057</v>
      </c>
      <c r="O68" s="559"/>
      <c r="P68" s="372">
        <v>1.0999999999999943</v>
      </c>
      <c r="Q68" s="559"/>
      <c r="R68" s="372">
        <f t="shared" si="3"/>
        <v>104.99999999999999</v>
      </c>
      <c r="S68" s="559"/>
      <c r="T68" s="372"/>
      <c r="U68" s="559"/>
      <c r="V68" s="372"/>
      <c r="W68" s="559"/>
      <c r="X68" s="372"/>
      <c r="Y68" s="559"/>
      <c r="Z68" s="372"/>
      <c r="AA68" s="269"/>
      <c r="AB68" s="530"/>
      <c r="AC68" s="537">
        <v>206.5</v>
      </c>
      <c r="AD68" s="292"/>
      <c r="AE68" s="1806"/>
      <c r="AF68" s="537">
        <v>190.4</v>
      </c>
      <c r="AG68" s="525"/>
      <c r="AH68" s="269"/>
      <c r="AI68" s="269">
        <f>_xlfn.SINGLE(ROUND(SUM(+AC68-AF68),1))</f>
        <v>16.100000000000001</v>
      </c>
      <c r="AJ68" s="269"/>
      <c r="AK68" s="614">
        <f>_xlfn.SINGLE(ROUND(IF(AF68=0,0,AI68/ABS(AF68)),3))</f>
        <v>8.5000000000000006E-2</v>
      </c>
      <c r="AL68" s="1568"/>
      <c r="AM68" s="1568"/>
      <c r="AP68" s="1288"/>
    </row>
    <row r="69" spans="1:42" ht="17.25" customHeight="1">
      <c r="A69" s="35"/>
      <c r="B69" s="355" t="s">
        <v>417</v>
      </c>
      <c r="C69" s="296"/>
      <c r="D69" s="372" t="s">
        <v>103</v>
      </c>
      <c r="E69" s="269"/>
      <c r="F69" s="372"/>
      <c r="G69" s="372"/>
      <c r="H69" s="372"/>
      <c r="I69" s="269"/>
      <c r="J69" s="372"/>
      <c r="K69" s="269"/>
      <c r="L69" s="372"/>
      <c r="M69" s="1137"/>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68"/>
      <c r="AM69" s="1568"/>
      <c r="AP69" s="1288"/>
    </row>
    <row r="70" spans="1:42" ht="15" customHeight="1">
      <c r="A70" s="35"/>
      <c r="B70" s="355" t="s">
        <v>1426</v>
      </c>
      <c r="C70" s="296"/>
      <c r="D70" s="372">
        <v>0.2</v>
      </c>
      <c r="E70" s="269"/>
      <c r="F70" s="372">
        <v>33.4</v>
      </c>
      <c r="G70" s="372"/>
      <c r="H70" s="372">
        <v>10</v>
      </c>
      <c r="I70" s="269"/>
      <c r="J70" s="372">
        <v>9.4000000000000021</v>
      </c>
      <c r="K70" s="559"/>
      <c r="L70" s="372">
        <v>27.099999999999991</v>
      </c>
      <c r="M70" s="1134"/>
      <c r="N70" s="372">
        <v>9.100000000000005</v>
      </c>
      <c r="O70" s="559"/>
      <c r="P70" s="372">
        <v>9.2999999999999936</v>
      </c>
      <c r="Q70" s="559"/>
      <c r="R70" s="372">
        <f t="shared" si="3"/>
        <v>27.099999999999991</v>
      </c>
      <c r="S70" s="559"/>
      <c r="T70" s="372"/>
      <c r="U70" s="559"/>
      <c r="V70" s="372"/>
      <c r="W70" s="559"/>
      <c r="X70" s="372"/>
      <c r="Y70" s="559"/>
      <c r="Z70" s="372"/>
      <c r="AA70" s="269"/>
      <c r="AB70" s="530"/>
      <c r="AC70" s="537">
        <v>125.6</v>
      </c>
      <c r="AD70" s="292"/>
      <c r="AE70" s="1806"/>
      <c r="AF70" s="537">
        <v>123.3</v>
      </c>
      <c r="AG70" s="525"/>
      <c r="AH70" s="269"/>
      <c r="AI70" s="269">
        <f t="shared" ref="AI70:AI80" si="6">_xlfn.SINGLE(ROUND(SUM(+AC70-AF70),1))</f>
        <v>2.2999999999999998</v>
      </c>
      <c r="AJ70" s="269"/>
      <c r="AK70" s="614">
        <f>_xlfn.SINGLE(ROUND(IF(AF70=0,0,AI70/ABS(AF70)),3))</f>
        <v>1.9E-2</v>
      </c>
      <c r="AL70" s="1568"/>
      <c r="AM70" s="1568"/>
      <c r="AP70" s="1288"/>
    </row>
    <row r="71" spans="1:42" ht="15" customHeight="1">
      <c r="A71" s="35"/>
      <c r="B71" s="355" t="s">
        <v>502</v>
      </c>
      <c r="C71" s="296"/>
      <c r="D71" s="372">
        <v>0.2</v>
      </c>
      <c r="E71" s="269"/>
      <c r="F71" s="372">
        <v>9.9999999999999978E-2</v>
      </c>
      <c r="G71" s="372"/>
      <c r="H71" s="372">
        <v>0.2</v>
      </c>
      <c r="I71" s="269"/>
      <c r="J71" s="372">
        <v>1.3000000000000003</v>
      </c>
      <c r="K71" s="559"/>
      <c r="L71" s="372">
        <v>2.1999999999999993</v>
      </c>
      <c r="M71" s="1134"/>
      <c r="N71" s="372">
        <v>7.5</v>
      </c>
      <c r="O71" s="559"/>
      <c r="P71" s="372">
        <v>0.10000000000000009</v>
      </c>
      <c r="Q71" s="559"/>
      <c r="R71" s="372">
        <f t="shared" si="3"/>
        <v>1.3000000000000014</v>
      </c>
      <c r="S71" s="559"/>
      <c r="T71" s="372"/>
      <c r="U71" s="559"/>
      <c r="V71" s="372"/>
      <c r="W71" s="559"/>
      <c r="X71" s="372"/>
      <c r="Y71" s="559"/>
      <c r="Z71" s="372"/>
      <c r="AA71" s="269"/>
      <c r="AB71" s="530"/>
      <c r="AC71" s="537">
        <v>12.9</v>
      </c>
      <c r="AD71" s="292"/>
      <c r="AE71" s="1806"/>
      <c r="AF71" s="537">
        <v>1.6</v>
      </c>
      <c r="AG71" s="525"/>
      <c r="AH71" s="269"/>
      <c r="AI71" s="269">
        <f t="shared" si="6"/>
        <v>11.3</v>
      </c>
      <c r="AJ71" s="269"/>
      <c r="AK71" s="614">
        <f>_xlfn.SINGLE(ROUND(IF(AF71=0,1,AI71/ABS(AF71)),3))</f>
        <v>7.0629999999999997</v>
      </c>
      <c r="AL71" s="1568"/>
      <c r="AM71" s="1568"/>
      <c r="AP71" s="1288"/>
    </row>
    <row r="72" spans="1:42" ht="15" customHeight="1">
      <c r="A72" s="35"/>
      <c r="B72" s="355" t="s">
        <v>1427</v>
      </c>
      <c r="C72" s="296"/>
      <c r="D72" s="372">
        <v>5.7</v>
      </c>
      <c r="E72" s="269"/>
      <c r="F72" s="372">
        <v>0.89999999999999947</v>
      </c>
      <c r="G72" s="372"/>
      <c r="H72" s="372">
        <v>1.8000000000000007</v>
      </c>
      <c r="I72" s="269"/>
      <c r="J72" s="372">
        <v>-0.20000000000000107</v>
      </c>
      <c r="K72" s="559"/>
      <c r="L72" s="372">
        <v>0.10000000000000142</v>
      </c>
      <c r="M72" s="1134"/>
      <c r="N72" s="372">
        <v>0.39999999999999858</v>
      </c>
      <c r="O72" s="559"/>
      <c r="P72" s="372">
        <v>0.60000000000000142</v>
      </c>
      <c r="Q72" s="559"/>
      <c r="R72" s="372">
        <f t="shared" si="3"/>
        <v>0.19999999999999929</v>
      </c>
      <c r="S72" s="559"/>
      <c r="T72" s="372"/>
      <c r="U72" s="559"/>
      <c r="V72" s="372"/>
      <c r="W72" s="559"/>
      <c r="X72" s="372"/>
      <c r="Y72" s="559"/>
      <c r="Z72" s="372"/>
      <c r="AA72" s="269"/>
      <c r="AB72" s="530"/>
      <c r="AC72" s="537">
        <v>9.5</v>
      </c>
      <c r="AD72" s="292"/>
      <c r="AE72" s="1806"/>
      <c r="AF72" s="537">
        <v>13.9</v>
      </c>
      <c r="AG72" s="525"/>
      <c r="AH72" s="269"/>
      <c r="AI72" s="269">
        <f t="shared" si="6"/>
        <v>-4.4000000000000004</v>
      </c>
      <c r="AJ72" s="269"/>
      <c r="AK72" s="614">
        <f>_xlfn.SINGLE(ROUND(IF(AF72=0,0,AI72/ABS(AF72)),3))</f>
        <v>-0.317</v>
      </c>
      <c r="AL72" s="1568"/>
      <c r="AM72" s="1568"/>
      <c r="AP72" s="1288"/>
    </row>
    <row r="73" spans="1:42" ht="15" customHeight="1">
      <c r="A73" s="35"/>
      <c r="B73" s="355" t="s">
        <v>1428</v>
      </c>
      <c r="C73" s="296"/>
      <c r="D73" s="372">
        <v>0</v>
      </c>
      <c r="E73" s="269"/>
      <c r="F73" s="372">
        <v>0</v>
      </c>
      <c r="G73" s="372"/>
      <c r="H73" s="372">
        <v>0</v>
      </c>
      <c r="I73" s="269"/>
      <c r="J73" s="372">
        <v>0.6</v>
      </c>
      <c r="K73" s="559"/>
      <c r="L73" s="372">
        <v>0.9</v>
      </c>
      <c r="M73" s="1134"/>
      <c r="N73" s="372">
        <v>0.79999999999999971</v>
      </c>
      <c r="O73" s="559"/>
      <c r="P73" s="372">
        <v>0.70000000000000029</v>
      </c>
      <c r="Q73" s="559"/>
      <c r="R73" s="372">
        <f t="shared" si="3"/>
        <v>3.6999999999999997</v>
      </c>
      <c r="S73" s="559"/>
      <c r="T73" s="372"/>
      <c r="U73" s="559"/>
      <c r="V73" s="372"/>
      <c r="W73" s="559"/>
      <c r="X73" s="372"/>
      <c r="Y73" s="559"/>
      <c r="Z73" s="372"/>
      <c r="AA73" s="269"/>
      <c r="AB73" s="530"/>
      <c r="AC73" s="537">
        <v>6.7</v>
      </c>
      <c r="AD73" s="292"/>
      <c r="AE73" s="1806"/>
      <c r="AF73" s="537">
        <v>0.1</v>
      </c>
      <c r="AG73" s="525"/>
      <c r="AH73" s="269"/>
      <c r="AI73" s="269">
        <f t="shared" si="6"/>
        <v>6.6</v>
      </c>
      <c r="AJ73" s="269"/>
      <c r="AK73" s="614">
        <f>ROUND(IF(AF73=0,1,AI73/ABS(AF73)),3)</f>
        <v>66</v>
      </c>
      <c r="AL73" s="1568"/>
      <c r="AM73" s="1568"/>
      <c r="AP73" s="1288"/>
    </row>
    <row r="74" spans="1:42" ht="15" customHeight="1">
      <c r="A74" s="35"/>
      <c r="B74" s="355" t="s">
        <v>1429</v>
      </c>
      <c r="C74" s="296"/>
      <c r="D74" s="372">
        <v>326</v>
      </c>
      <c r="E74" s="269"/>
      <c r="F74" s="372">
        <v>287.20000000000005</v>
      </c>
      <c r="G74" s="372"/>
      <c r="H74" s="372">
        <v>245.39999999999998</v>
      </c>
      <c r="I74" s="269"/>
      <c r="J74" s="372">
        <v>340.99999999999989</v>
      </c>
      <c r="K74" s="559"/>
      <c r="L74" s="372">
        <v>260.80000000000007</v>
      </c>
      <c r="M74" s="1134"/>
      <c r="N74" s="372">
        <v>293.5999999999998</v>
      </c>
      <c r="O74" s="559"/>
      <c r="P74" s="372">
        <v>284.30000000000007</v>
      </c>
      <c r="Q74" s="559"/>
      <c r="R74" s="372">
        <f t="shared" si="3"/>
        <v>270.89999999999952</v>
      </c>
      <c r="S74" s="559"/>
      <c r="T74" s="372"/>
      <c r="U74" s="559"/>
      <c r="V74" s="372"/>
      <c r="W74" s="559"/>
      <c r="X74" s="372"/>
      <c r="Y74" s="559"/>
      <c r="Z74" s="372"/>
      <c r="AA74" s="269"/>
      <c r="AB74" s="530"/>
      <c r="AC74" s="537">
        <v>2309.1999999999998</v>
      </c>
      <c r="AD74" s="292"/>
      <c r="AE74" s="1806"/>
      <c r="AF74" s="537">
        <v>2127.6</v>
      </c>
      <c r="AG74" s="525"/>
      <c r="AH74" s="269"/>
      <c r="AI74" s="269">
        <f t="shared" si="6"/>
        <v>181.6</v>
      </c>
      <c r="AJ74" s="269"/>
      <c r="AK74" s="614">
        <f>_xlfn.SINGLE(ROUND(IF(AF74=0,0,AI74/ABS(AF74)),3))</f>
        <v>8.5000000000000006E-2</v>
      </c>
      <c r="AL74" s="1568"/>
      <c r="AM74" s="1568"/>
      <c r="AP74" s="1288"/>
    </row>
    <row r="75" spans="1:42" ht="15" customHeight="1">
      <c r="A75" s="35"/>
      <c r="B75" s="355" t="s">
        <v>1449</v>
      </c>
      <c r="C75" s="296"/>
      <c r="D75" s="372">
        <v>1.1000000000000001</v>
      </c>
      <c r="E75" s="269"/>
      <c r="F75" s="372">
        <v>0</v>
      </c>
      <c r="G75" s="372"/>
      <c r="H75" s="372">
        <v>3.8000000000000003</v>
      </c>
      <c r="I75" s="269"/>
      <c r="J75" s="372">
        <v>7.9</v>
      </c>
      <c r="K75" s="559"/>
      <c r="L75" s="372">
        <v>0.39999999999999813</v>
      </c>
      <c r="M75" s="1134"/>
      <c r="N75" s="372">
        <v>2.7000000000000011</v>
      </c>
      <c r="O75" s="559"/>
      <c r="P75" s="372">
        <v>6.1999999999999993</v>
      </c>
      <c r="Q75" s="559"/>
      <c r="R75" s="372">
        <f t="shared" si="3"/>
        <v>1</v>
      </c>
      <c r="S75" s="559"/>
      <c r="T75" s="372"/>
      <c r="U75" s="559"/>
      <c r="V75" s="372"/>
      <c r="W75" s="559"/>
      <c r="X75" s="372"/>
      <c r="Y75" s="559"/>
      <c r="Z75" s="372"/>
      <c r="AA75" s="269"/>
      <c r="AB75" s="530"/>
      <c r="AC75" s="537">
        <v>23.1</v>
      </c>
      <c r="AD75" s="292"/>
      <c r="AE75" s="1806"/>
      <c r="AF75" s="537">
        <v>27.1</v>
      </c>
      <c r="AG75" s="525"/>
      <c r="AH75" s="269"/>
      <c r="AI75" s="269">
        <f t="shared" si="6"/>
        <v>-4</v>
      </c>
      <c r="AJ75" s="269"/>
      <c r="AK75" s="614">
        <f>_xlfn.SINGLE(ROUND(IF(AF75=0,0,AI75/ABS(AF75)),3))</f>
        <v>-0.14799999999999999</v>
      </c>
      <c r="AL75" s="1568"/>
      <c r="AM75" s="1568"/>
      <c r="AP75" s="1288"/>
    </row>
    <row r="76" spans="1:42" ht="15" customHeight="1">
      <c r="A76" s="35"/>
      <c r="B76" s="355" t="s">
        <v>1430</v>
      </c>
      <c r="C76" s="296"/>
      <c r="D76" s="372">
        <v>13.8</v>
      </c>
      <c r="E76" s="269"/>
      <c r="F76" s="372">
        <v>0.69999999999999929</v>
      </c>
      <c r="G76" s="372"/>
      <c r="H76" s="372">
        <v>2.8000000000000007</v>
      </c>
      <c r="I76" s="269"/>
      <c r="J76" s="372">
        <v>3</v>
      </c>
      <c r="K76" s="559"/>
      <c r="L76" s="372">
        <v>58.5</v>
      </c>
      <c r="M76" s="1134"/>
      <c r="N76" s="372">
        <v>0.99999999999999645</v>
      </c>
      <c r="O76" s="559"/>
      <c r="P76" s="372">
        <v>3.2999999999999972</v>
      </c>
      <c r="Q76" s="559"/>
      <c r="R76" s="372">
        <f t="shared" si="3"/>
        <v>0.99999999999999645</v>
      </c>
      <c r="S76" s="559"/>
      <c r="T76" s="372"/>
      <c r="U76" s="559"/>
      <c r="V76" s="372"/>
      <c r="W76" s="559"/>
      <c r="X76" s="372"/>
      <c r="Y76" s="559"/>
      <c r="Z76" s="372"/>
      <c r="AA76" s="269"/>
      <c r="AB76" s="530"/>
      <c r="AC76" s="537">
        <v>84.1</v>
      </c>
      <c r="AD76" s="292"/>
      <c r="AE76" s="1806"/>
      <c r="AF76" s="537">
        <v>81.900000000000006</v>
      </c>
      <c r="AG76" s="525"/>
      <c r="AH76" s="269"/>
      <c r="AI76" s="269">
        <f t="shared" si="6"/>
        <v>2.2000000000000002</v>
      </c>
      <c r="AJ76" s="269"/>
      <c r="AK76" s="614">
        <f>_xlfn.SINGLE(ROUND(IF(AF76=0,1,AI76/ABS(AF76)),3))</f>
        <v>2.7E-2</v>
      </c>
      <c r="AL76" s="1568"/>
      <c r="AM76" s="1568"/>
      <c r="AP76" s="1288"/>
    </row>
    <row r="77" spans="1:42" ht="15" customHeight="1">
      <c r="A77" s="35"/>
      <c r="B77" s="355" t="s">
        <v>1456</v>
      </c>
      <c r="C77" s="296"/>
      <c r="D77" s="372">
        <v>0.8</v>
      </c>
      <c r="E77" s="269"/>
      <c r="F77" s="372">
        <v>1.4000000000000001</v>
      </c>
      <c r="G77" s="372"/>
      <c r="H77" s="372">
        <v>1.3</v>
      </c>
      <c r="I77" s="269"/>
      <c r="J77" s="372">
        <v>1.4000000000000001</v>
      </c>
      <c r="K77" s="559"/>
      <c r="L77" s="372">
        <v>0.79999999999999982</v>
      </c>
      <c r="M77" s="1134"/>
      <c r="N77" s="372">
        <v>-4.2</v>
      </c>
      <c r="O77" s="559"/>
      <c r="P77" s="372">
        <v>1.0999999999999996</v>
      </c>
      <c r="Q77" s="559"/>
      <c r="R77" s="372">
        <f t="shared" si="3"/>
        <v>0.29999999999999982</v>
      </c>
      <c r="S77" s="559"/>
      <c r="T77" s="372"/>
      <c r="U77" s="559"/>
      <c r="V77" s="372"/>
      <c r="W77" s="559"/>
      <c r="X77" s="372"/>
      <c r="Y77" s="559"/>
      <c r="Z77" s="372"/>
      <c r="AA77" s="269"/>
      <c r="AB77" s="530"/>
      <c r="AC77" s="537">
        <v>2.9</v>
      </c>
      <c r="AD77" s="292"/>
      <c r="AE77" s="1806"/>
      <c r="AF77" s="537">
        <v>9.1</v>
      </c>
      <c r="AG77" s="525"/>
      <c r="AH77" s="269"/>
      <c r="AI77" s="269">
        <f t="shared" si="6"/>
        <v>-6.2</v>
      </c>
      <c r="AJ77" s="269"/>
      <c r="AK77" s="288">
        <f>_xlfn.SINGLE(ROUND(IF(AF77=0,0,AI77/ABS(AF77)),3))</f>
        <v>-0.68100000000000005</v>
      </c>
      <c r="AL77" s="1568"/>
      <c r="AM77" s="1568"/>
      <c r="AP77" s="1288"/>
    </row>
    <row r="78" spans="1:42" ht="15" customHeight="1">
      <c r="A78" s="35"/>
      <c r="B78" s="355" t="s">
        <v>1450</v>
      </c>
      <c r="C78" s="296"/>
      <c r="D78" s="372">
        <v>57</v>
      </c>
      <c r="E78" s="269"/>
      <c r="F78" s="372">
        <v>52.599999999999994</v>
      </c>
      <c r="G78" s="372"/>
      <c r="H78" s="372">
        <v>61.300000000000011</v>
      </c>
      <c r="I78" s="269"/>
      <c r="J78" s="372">
        <v>64.5</v>
      </c>
      <c r="K78" s="559"/>
      <c r="L78" s="372">
        <v>48.900000000000006</v>
      </c>
      <c r="M78" s="1134"/>
      <c r="N78" s="372">
        <v>49.5</v>
      </c>
      <c r="O78" s="559"/>
      <c r="P78" s="372">
        <v>33.30000000000004</v>
      </c>
      <c r="Q78" s="559"/>
      <c r="R78" s="372">
        <f t="shared" si="3"/>
        <v>190.99999999999997</v>
      </c>
      <c r="S78" s="559"/>
      <c r="T78" s="372"/>
      <c r="U78" s="559"/>
      <c r="V78" s="372"/>
      <c r="W78" s="559"/>
      <c r="X78" s="372"/>
      <c r="Y78" s="559"/>
      <c r="Z78" s="372"/>
      <c r="AA78" s="269"/>
      <c r="AB78" s="529"/>
      <c r="AC78" s="537">
        <v>558.1</v>
      </c>
      <c r="AD78" s="269"/>
      <c r="AE78" s="530"/>
      <c r="AF78" s="537">
        <v>355.6</v>
      </c>
      <c r="AG78" s="525"/>
      <c r="AH78" s="269"/>
      <c r="AI78" s="269">
        <f t="shared" si="6"/>
        <v>202.5</v>
      </c>
      <c r="AJ78" s="269"/>
      <c r="AK78" s="614">
        <f>_xlfn.SINGLE(ROUND(IF(AF78=0,0,AI78/ABS(AF78)),3))</f>
        <v>0.56899999999999995</v>
      </c>
      <c r="AL78" s="1568"/>
      <c r="AM78" s="1568"/>
      <c r="AP78" s="1288"/>
    </row>
    <row r="79" spans="1:42" ht="15" customHeight="1">
      <c r="A79" s="35"/>
      <c r="B79" s="355" t="s">
        <v>427</v>
      </c>
      <c r="C79" s="296"/>
      <c r="D79" s="372">
        <v>0.7</v>
      </c>
      <c r="E79" s="269"/>
      <c r="F79" s="372">
        <v>2</v>
      </c>
      <c r="G79" s="372"/>
      <c r="H79" s="372">
        <v>2</v>
      </c>
      <c r="I79" s="269"/>
      <c r="J79" s="372">
        <v>1.5000000000000002</v>
      </c>
      <c r="K79" s="559"/>
      <c r="L79" s="372">
        <v>3.3</v>
      </c>
      <c r="M79" s="1134"/>
      <c r="N79" s="372">
        <v>1.0000000000000002</v>
      </c>
      <c r="O79" s="559"/>
      <c r="P79" s="372">
        <v>2.1999999999999984</v>
      </c>
      <c r="Q79" s="559"/>
      <c r="R79" s="372">
        <f t="shared" si="3"/>
        <v>2.1000000000000005</v>
      </c>
      <c r="S79" s="559"/>
      <c r="T79" s="372"/>
      <c r="U79" s="559"/>
      <c r="V79" s="372"/>
      <c r="W79" s="559"/>
      <c r="X79" s="372"/>
      <c r="Y79" s="559"/>
      <c r="Z79" s="372"/>
      <c r="AA79" s="269"/>
      <c r="AB79" s="529"/>
      <c r="AC79" s="537">
        <v>14.8</v>
      </c>
      <c r="AD79" s="269"/>
      <c r="AE79" s="530"/>
      <c r="AF79" s="537">
        <v>10.9</v>
      </c>
      <c r="AG79" s="525"/>
      <c r="AH79" s="269"/>
      <c r="AI79" s="269">
        <f t="shared" si="6"/>
        <v>3.9</v>
      </c>
      <c r="AJ79" s="269"/>
      <c r="AK79" s="288">
        <f>_xlfn.SINGLE(ROUND(IF(AF79=0,0,AI79/ABS(AF79)),3))</f>
        <v>0.35799999999999998</v>
      </c>
      <c r="AL79" s="1568"/>
      <c r="AM79" s="1568"/>
      <c r="AP79" s="1288"/>
    </row>
    <row r="80" spans="1:42" ht="15" customHeight="1">
      <c r="A80" s="35"/>
      <c r="B80" s="355" t="s">
        <v>1431</v>
      </c>
      <c r="C80" s="296"/>
      <c r="D80" s="372">
        <v>30.9</v>
      </c>
      <c r="E80" s="269"/>
      <c r="F80" s="372">
        <v>44.1</v>
      </c>
      <c r="G80" s="372"/>
      <c r="H80" s="372">
        <v>39.499999999999993</v>
      </c>
      <c r="I80" s="269"/>
      <c r="J80" s="372">
        <v>40.900000000000013</v>
      </c>
      <c r="K80" s="559"/>
      <c r="L80" s="372">
        <v>135.70000000000002</v>
      </c>
      <c r="M80" s="1134"/>
      <c r="N80" s="372">
        <v>323.29999999999995</v>
      </c>
      <c r="O80" s="559"/>
      <c r="P80" s="372">
        <v>171.49999999999994</v>
      </c>
      <c r="Q80" s="559"/>
      <c r="R80" s="372">
        <f t="shared" si="3"/>
        <v>1.1000000000000796</v>
      </c>
      <c r="S80" s="559"/>
      <c r="T80" s="372"/>
      <c r="U80" s="559"/>
      <c r="V80" s="372"/>
      <c r="W80" s="559"/>
      <c r="X80" s="372"/>
      <c r="Y80" s="559"/>
      <c r="Z80" s="372"/>
      <c r="AA80" s="269"/>
      <c r="AB80" s="530"/>
      <c r="AC80" s="537">
        <v>787</v>
      </c>
      <c r="AD80" s="292"/>
      <c r="AE80" s="1806"/>
      <c r="AF80" s="537">
        <v>753.6</v>
      </c>
      <c r="AG80" s="525"/>
      <c r="AH80" s="269"/>
      <c r="AI80" s="269">
        <f t="shared" si="6"/>
        <v>33.4</v>
      </c>
      <c r="AJ80" s="269"/>
      <c r="AK80" s="288">
        <f>_xlfn.SINGLE(ROUND(IF(AF80=0,0,AI80/ABS(AF80)),3))</f>
        <v>4.3999999999999997E-2</v>
      </c>
      <c r="AL80" s="1568"/>
      <c r="AM80" s="1568"/>
      <c r="AP80" s="1288"/>
    </row>
    <row r="81" spans="1:42" ht="15" customHeight="1">
      <c r="A81" s="35"/>
      <c r="B81" s="87" t="s">
        <v>529</v>
      </c>
      <c r="C81" s="296"/>
      <c r="D81" s="680">
        <f>_xlfn.SINGLE(ROUND(SUM(D42:D80),1))</f>
        <v>1952.8</v>
      </c>
      <c r="E81" s="269"/>
      <c r="F81" s="680">
        <f>_xlfn.SINGLE(ROUND(SUM(F42:F80),1))</f>
        <v>1773.8</v>
      </c>
      <c r="G81" s="269"/>
      <c r="H81" s="680">
        <f>_xlfn.SINGLE(ROUND(SUM(H42:H80),1))</f>
        <v>1753.1</v>
      </c>
      <c r="I81" s="269"/>
      <c r="J81" s="680">
        <f>_xlfn.SINGLE(ROUND(SUM(J42:J80),1))</f>
        <v>1961.1</v>
      </c>
      <c r="K81" s="269"/>
      <c r="L81" s="680">
        <f>_xlfn.SINGLE(ROUND(SUM(L42:L80),1))</f>
        <v>2508.5</v>
      </c>
      <c r="M81" s="269"/>
      <c r="N81" s="680">
        <f>_xlfn.SINGLE(ROUND(SUM(N42:N80),1))</f>
        <v>2326.9</v>
      </c>
      <c r="O81" s="269"/>
      <c r="P81" s="680">
        <f>_xlfn.SINGLE(ROUND(SUM(P42:P80),1))</f>
        <v>2625.7</v>
      </c>
      <c r="Q81" s="269"/>
      <c r="R81" s="680">
        <f>_xlfn.SINGLE(ROUND(SUM(R42:R80),1))</f>
        <v>2989.3</v>
      </c>
      <c r="S81" s="13"/>
      <c r="T81" s="680">
        <f>_xlfn.SINGLE(ROUND(SUM(T42:T80),1))</f>
        <v>0</v>
      </c>
      <c r="U81" s="269"/>
      <c r="V81" s="680">
        <f>_xlfn.SINGLE(ROUND(SUM(V42:V80),1))</f>
        <v>0</v>
      </c>
      <c r="W81" s="269"/>
      <c r="X81" s="680">
        <f>_xlfn.SINGLE(ROUND(SUM(X42:X80),1))</f>
        <v>0</v>
      </c>
      <c r="Y81" s="269"/>
      <c r="Z81" s="680">
        <f>_xlfn.SINGLE(ROUND(SUM(Z42:Z80),1))</f>
        <v>0</v>
      </c>
      <c r="AA81" s="269"/>
      <c r="AB81" s="529"/>
      <c r="AC81" s="680">
        <f>ROUND(SUM(AC42:AC80),1)</f>
        <v>17891.2</v>
      </c>
      <c r="AD81" s="269"/>
      <c r="AE81" s="530"/>
      <c r="AF81" s="680">
        <f>ROUND(SUM(AF42:AF80),1)</f>
        <v>14836.1</v>
      </c>
      <c r="AG81" s="525"/>
      <c r="AH81" s="269"/>
      <c r="AI81" s="680">
        <f>_xlfn.SINGLE(ROUND(SUM(AI42:AI80),1))</f>
        <v>3055.1</v>
      </c>
      <c r="AJ81" s="269"/>
      <c r="AK81" s="937">
        <f>_xlfn.SINGLE(ROUND(SUM(+AI81/AF81),3))</f>
        <v>0.20599999999999999</v>
      </c>
      <c r="AL81" s="1568"/>
      <c r="AM81" s="1568"/>
      <c r="AP81" s="1288"/>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68"/>
      <c r="AM82" s="1568"/>
      <c r="AP82" s="1288"/>
    </row>
    <row r="83" spans="1:42" ht="15" customHeight="1">
      <c r="A83" s="35"/>
      <c r="B83" s="1051" t="s">
        <v>546</v>
      </c>
      <c r="C83" s="296"/>
      <c r="D83" s="372">
        <v>0</v>
      </c>
      <c r="E83" s="269"/>
      <c r="F83" s="372">
        <v>0</v>
      </c>
      <c r="G83" s="372"/>
      <c r="H83" s="372">
        <v>0</v>
      </c>
      <c r="I83" s="269"/>
      <c r="J83" s="372">
        <v>0</v>
      </c>
      <c r="K83" s="559"/>
      <c r="L83" s="372">
        <v>0.4</v>
      </c>
      <c r="M83" s="559"/>
      <c r="N83" s="372">
        <v>0</v>
      </c>
      <c r="O83" s="559"/>
      <c r="P83" s="372">
        <v>-0.30000000000000004</v>
      </c>
      <c r="Q83" s="559"/>
      <c r="R83" s="372">
        <f>$AC83-N83-P83-L83-J83-H83-F83-D83</f>
        <v>9.9999999999999978E-2</v>
      </c>
      <c r="S83" s="559"/>
      <c r="T83" s="372"/>
      <c r="U83" s="559"/>
      <c r="V83" s="372"/>
      <c r="W83" s="559"/>
      <c r="X83" s="899"/>
      <c r="Y83" s="559"/>
      <c r="Z83" s="372"/>
      <c r="AA83" s="269"/>
      <c r="AB83" s="530"/>
      <c r="AC83" s="537">
        <v>0.2</v>
      </c>
      <c r="AD83" s="292"/>
      <c r="AE83" s="1806"/>
      <c r="AF83" s="537">
        <v>-0.5</v>
      </c>
      <c r="AG83" s="525"/>
      <c r="AH83" s="269"/>
      <c r="AI83" s="269">
        <f>_xlfn.SINGLE(ROUND(SUM(+AC83-AF83),1))</f>
        <v>0.7</v>
      </c>
      <c r="AJ83" s="269"/>
      <c r="AK83" s="548">
        <f>ROUND(IF(AF83=0,1,AI83/ABS(AF83)),3)</f>
        <v>1.4</v>
      </c>
      <c r="AL83" s="1568"/>
      <c r="AM83" s="1568"/>
      <c r="AP83" s="1288"/>
    </row>
    <row r="84" spans="1:42" ht="15" customHeight="1">
      <c r="A84" s="35"/>
      <c r="B84" s="296"/>
      <c r="C84" s="296"/>
      <c r="D84" s="622"/>
      <c r="E84" s="269"/>
      <c r="F84" s="622"/>
      <c r="G84" s="269"/>
      <c r="H84" s="622"/>
      <c r="I84" s="269"/>
      <c r="J84" s="622"/>
      <c r="K84" s="269"/>
      <c r="L84" s="622"/>
      <c r="M84" s="269"/>
      <c r="N84" s="622"/>
      <c r="O84" s="269"/>
      <c r="P84" s="622"/>
      <c r="Q84" s="269"/>
      <c r="R84" s="622"/>
      <c r="S84" s="269"/>
      <c r="T84" s="622"/>
      <c r="U84" s="269"/>
      <c r="V84" s="622"/>
      <c r="W84" s="269"/>
      <c r="X84" s="372"/>
      <c r="Y84" s="269"/>
      <c r="Z84" s="622"/>
      <c r="AA84" s="269"/>
      <c r="AB84" s="529"/>
      <c r="AC84" s="622"/>
      <c r="AD84" s="269"/>
      <c r="AE84" s="530"/>
      <c r="AF84" s="622"/>
      <c r="AG84" s="525"/>
      <c r="AH84" s="269"/>
      <c r="AI84" s="1052"/>
      <c r="AJ84" s="369"/>
      <c r="AK84" s="1053"/>
      <c r="AL84" s="1568"/>
      <c r="AM84" s="1568"/>
      <c r="AP84" s="1288"/>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2863.9</v>
      </c>
      <c r="Q85" s="13"/>
      <c r="R85" s="13">
        <f>_xlfn.SINGLE(ROUND(SUM(R38+R81+R83),1))</f>
        <v>3230.2</v>
      </c>
      <c r="S85" s="13"/>
      <c r="T85" s="13">
        <f>_xlfn.SINGLE(ROUND(SUM(T38+T81+T83),1))</f>
        <v>0</v>
      </c>
      <c r="U85" s="13"/>
      <c r="V85" s="13">
        <f>_xlfn.SINGLE(ROUND(SUM(V38+V81+V83),1))</f>
        <v>0</v>
      </c>
      <c r="W85" s="13"/>
      <c r="X85" s="362">
        <f>_xlfn.SINGLE(ROUND(SUM(X38+X81+X83),1))</f>
        <v>0</v>
      </c>
      <c r="Y85" s="13"/>
      <c r="Z85" s="13">
        <f>_xlfn.SINGLE(ROUND(SUM(Z38+Z81+Z83),1))</f>
        <v>0</v>
      </c>
      <c r="AA85" s="13"/>
      <c r="AB85" s="14"/>
      <c r="AC85" s="13">
        <f>ROUND(SUM(AC38+AC81+AC83),1)</f>
        <v>20860.7</v>
      </c>
      <c r="AD85" s="13"/>
      <c r="AE85" s="676"/>
      <c r="AF85" s="13">
        <f>ROUND(SUM(AF38+AF81+AF83),1)</f>
        <v>17943</v>
      </c>
      <c r="AG85" s="78"/>
      <c r="AH85" s="13"/>
      <c r="AI85" s="362">
        <f>_xlfn.SINGLE(ROUND(SUM(AI38+AI81+AI83),1))</f>
        <v>2917.7</v>
      </c>
      <c r="AJ85" s="79"/>
      <c r="AK85" s="373">
        <f>_xlfn.SINGLE(ROUND(SUM((AC85-AF85)/ABS(AF85)),3))</f>
        <v>0.16300000000000001</v>
      </c>
      <c r="AL85" s="1568"/>
      <c r="AM85" s="1568"/>
      <c r="AP85" s="1288"/>
    </row>
    <row r="86" spans="1:42" ht="15" customHeight="1">
      <c r="A86" s="35"/>
      <c r="B86" s="296"/>
      <c r="C86" s="296"/>
      <c r="D86" s="622"/>
      <c r="E86" s="269"/>
      <c r="F86" s="622"/>
      <c r="G86" s="269"/>
      <c r="H86" s="622"/>
      <c r="I86" s="269"/>
      <c r="J86" s="622"/>
      <c r="K86" s="269"/>
      <c r="L86" s="622"/>
      <c r="M86" s="269"/>
      <c r="N86" s="622"/>
      <c r="O86" s="269"/>
      <c r="P86" s="622"/>
      <c r="Q86" s="269"/>
      <c r="R86" s="622"/>
      <c r="S86" s="269"/>
      <c r="T86" s="622"/>
      <c r="U86" s="269"/>
      <c r="V86" s="622"/>
      <c r="W86" s="269"/>
      <c r="X86" s="372"/>
      <c r="Y86" s="269"/>
      <c r="Z86" s="622"/>
      <c r="AA86" s="269"/>
      <c r="AB86" s="529"/>
      <c r="AC86" s="622"/>
      <c r="AD86" s="269"/>
      <c r="AE86" s="530"/>
      <c r="AF86" s="622"/>
      <c r="AG86" s="525"/>
      <c r="AH86" s="269"/>
      <c r="AI86" s="269"/>
      <c r="AJ86" s="369"/>
      <c r="AK86" s="288"/>
      <c r="AL86" s="1568"/>
      <c r="AM86" s="1568"/>
      <c r="AP86" s="1288"/>
    </row>
    <row r="87" spans="1:42" ht="15" customHeight="1">
      <c r="A87" s="35"/>
      <c r="B87" s="1235"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68"/>
      <c r="AM87" s="1568"/>
      <c r="AP87" s="1288"/>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68"/>
      <c r="AM88" s="1568"/>
      <c r="AP88" s="1288"/>
    </row>
    <row r="89" spans="1:42" ht="15" customHeight="1">
      <c r="A89" s="35"/>
      <c r="B89" s="390" t="s">
        <v>124</v>
      </c>
      <c r="C89" s="296"/>
      <c r="D89" s="372">
        <v>0.1</v>
      </c>
      <c r="E89" s="269"/>
      <c r="F89" s="372">
        <v>5.4</v>
      </c>
      <c r="G89" s="372"/>
      <c r="H89" s="372">
        <v>280.2</v>
      </c>
      <c r="I89" s="269"/>
      <c r="J89" s="372">
        <v>0.30000000000003413</v>
      </c>
      <c r="K89" s="559"/>
      <c r="L89" s="372">
        <v>9.9999999999999284E-2</v>
      </c>
      <c r="M89" s="559"/>
      <c r="N89" s="372">
        <v>3876.8999999999996</v>
      </c>
      <c r="O89" s="559"/>
      <c r="P89" s="372">
        <v>169.89999999999964</v>
      </c>
      <c r="Q89" s="559"/>
      <c r="R89" s="372">
        <f>$AC89-N89-P89-L89-J89-H89-F89-D89</f>
        <v>169.80000000000052</v>
      </c>
      <c r="S89" s="559"/>
      <c r="T89" s="372"/>
      <c r="U89" s="559"/>
      <c r="V89" s="372"/>
      <c r="W89" s="559"/>
      <c r="X89" s="372"/>
      <c r="Y89" s="559"/>
      <c r="Z89" s="372"/>
      <c r="AA89" s="269"/>
      <c r="AB89" s="530"/>
      <c r="AC89" s="537">
        <v>4502.7</v>
      </c>
      <c r="AD89" s="292"/>
      <c r="AE89" s="1806"/>
      <c r="AF89" s="537">
        <v>4290</v>
      </c>
      <c r="AG89" s="525"/>
      <c r="AH89" s="269"/>
      <c r="AI89" s="269">
        <f>_xlfn.SINGLE(ROUND(SUM(+AC89-AF89),1))</f>
        <v>212.7</v>
      </c>
      <c r="AJ89" s="269"/>
      <c r="AK89" s="548">
        <f>_xlfn.SINGLE(ROUND(IF(AF89=0,1,AI89/ABS(AF89)),3))</f>
        <v>0.05</v>
      </c>
      <c r="AL89" s="1568"/>
      <c r="AM89" s="1568"/>
      <c r="AP89" s="1288"/>
    </row>
    <row r="90" spans="1:42" ht="15" customHeight="1">
      <c r="A90" s="35"/>
      <c r="B90" s="390" t="s">
        <v>1433</v>
      </c>
      <c r="C90" s="296"/>
      <c r="D90" s="372">
        <v>0</v>
      </c>
      <c r="E90" s="269"/>
      <c r="F90" s="372">
        <v>0</v>
      </c>
      <c r="G90" s="372"/>
      <c r="H90" s="372">
        <v>0.2</v>
      </c>
      <c r="I90" s="269"/>
      <c r="J90" s="372">
        <v>1.9000000000000001</v>
      </c>
      <c r="K90" s="559"/>
      <c r="L90" s="372">
        <v>0.19999999999999951</v>
      </c>
      <c r="M90" s="559"/>
      <c r="N90" s="372">
        <v>0.10000000000000026</v>
      </c>
      <c r="O90" s="559"/>
      <c r="P90" s="372">
        <v>0</v>
      </c>
      <c r="Q90" s="559"/>
      <c r="R90" s="372">
        <f t="shared" ref="R90:R98" si="7">$AC90-N90-P90-L90-J90-H90-F90-D90</f>
        <v>3.0999999999999996</v>
      </c>
      <c r="S90" s="559"/>
      <c r="T90" s="372"/>
      <c r="U90" s="559"/>
      <c r="V90" s="372"/>
      <c r="W90" s="559"/>
      <c r="X90" s="372"/>
      <c r="Y90" s="559"/>
      <c r="Z90" s="372"/>
      <c r="AA90" s="269"/>
      <c r="AB90" s="530"/>
      <c r="AC90" s="537">
        <v>5.5</v>
      </c>
      <c r="AD90" s="292"/>
      <c r="AE90" s="1806"/>
      <c r="AF90" s="537">
        <v>5.2</v>
      </c>
      <c r="AG90" s="525"/>
      <c r="AH90" s="269"/>
      <c r="AI90" s="269">
        <f>_xlfn.SINGLE(ROUND(SUM(+AC90-AF90),1))</f>
        <v>0.3</v>
      </c>
      <c r="AJ90" s="269"/>
      <c r="AK90" s="288">
        <f>_xlfn.SINGLE(ROUND(IF(AF90=0,0,AI90/ABS(AF90)),3))</f>
        <v>5.8000000000000003E-2</v>
      </c>
      <c r="AL90" s="1568"/>
      <c r="AM90" s="1568"/>
      <c r="AP90" s="1288"/>
    </row>
    <row r="91" spans="1:42" ht="15" customHeight="1">
      <c r="A91" s="35"/>
      <c r="B91" s="390" t="s">
        <v>1432</v>
      </c>
      <c r="C91" s="296"/>
      <c r="D91" s="372">
        <v>2</v>
      </c>
      <c r="E91" s="269"/>
      <c r="F91" s="372">
        <v>49.4</v>
      </c>
      <c r="G91" s="372"/>
      <c r="H91" s="372">
        <v>4.7000000000000028</v>
      </c>
      <c r="I91" s="269"/>
      <c r="J91" s="372">
        <v>5.8999999999999986</v>
      </c>
      <c r="K91" s="559"/>
      <c r="L91" s="372">
        <v>21.29999999999999</v>
      </c>
      <c r="M91" s="559"/>
      <c r="N91" s="372">
        <v>25.000000000000021</v>
      </c>
      <c r="O91" s="559"/>
      <c r="P91" s="372">
        <v>14.699999999999982</v>
      </c>
      <c r="Q91" s="559"/>
      <c r="R91" s="372">
        <f t="shared" si="7"/>
        <v>10.599999999999987</v>
      </c>
      <c r="S91" s="559"/>
      <c r="T91" s="372"/>
      <c r="U91" s="559"/>
      <c r="V91" s="372"/>
      <c r="W91" s="559"/>
      <c r="X91" s="372"/>
      <c r="Y91" s="559"/>
      <c r="Z91" s="372"/>
      <c r="AA91" s="269"/>
      <c r="AB91" s="530"/>
      <c r="AC91" s="537">
        <v>133.6</v>
      </c>
      <c r="AD91" s="292"/>
      <c r="AE91" s="1806"/>
      <c r="AF91" s="537">
        <v>173.3</v>
      </c>
      <c r="AG91" s="525"/>
      <c r="AH91" s="269"/>
      <c r="AI91" s="269">
        <f>_xlfn.SINGLE(ROUND(SUM(+AC91-AF91),1))</f>
        <v>-39.700000000000003</v>
      </c>
      <c r="AJ91" s="269"/>
      <c r="AK91" s="614">
        <f>_xlfn.SINGLE(ROUND(IF(AF91=0,0,AI91/ABS(AF91)),3))</f>
        <v>-0.22900000000000001</v>
      </c>
      <c r="AL91" s="1568"/>
      <c r="AM91" s="1568"/>
      <c r="AP91" s="1288"/>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806"/>
      <c r="AF92" s="518"/>
      <c r="AG92" s="525"/>
      <c r="AH92" s="269"/>
      <c r="AI92" s="269"/>
      <c r="AJ92" s="273"/>
      <c r="AK92" s="288"/>
      <c r="AL92" s="1568"/>
      <c r="AM92" s="1568"/>
      <c r="AP92" s="1288"/>
    </row>
    <row r="93" spans="1:42" ht="15" customHeight="1">
      <c r="A93" s="35"/>
      <c r="B93" s="1043" t="s">
        <v>128</v>
      </c>
      <c r="C93" s="296"/>
      <c r="D93" s="372">
        <v>449.1</v>
      </c>
      <c r="E93" s="269"/>
      <c r="F93" s="372">
        <v>0</v>
      </c>
      <c r="G93" s="372"/>
      <c r="H93" s="372">
        <v>789.0999999999998</v>
      </c>
      <c r="I93" s="269"/>
      <c r="J93" s="372">
        <v>555.60000000000014</v>
      </c>
      <c r="K93" s="559"/>
      <c r="L93" s="372">
        <v>439.89999999999975</v>
      </c>
      <c r="M93" s="559"/>
      <c r="N93" s="372">
        <v>522.60000000000036</v>
      </c>
      <c r="O93" s="559"/>
      <c r="P93" s="372">
        <v>524.50000000000023</v>
      </c>
      <c r="Q93" s="559"/>
      <c r="R93" s="372">
        <f t="shared" si="7"/>
        <v>523.20000000000005</v>
      </c>
      <c r="S93" s="559"/>
      <c r="T93" s="372"/>
      <c r="U93" s="559"/>
      <c r="V93" s="372"/>
      <c r="W93" s="559"/>
      <c r="X93" s="372"/>
      <c r="Y93" s="559"/>
      <c r="Z93" s="372"/>
      <c r="AA93" s="269"/>
      <c r="AB93" s="530"/>
      <c r="AC93" s="537">
        <v>3804</v>
      </c>
      <c r="AD93" s="292"/>
      <c r="AE93" s="1806"/>
      <c r="AF93" s="537">
        <v>4006.1</v>
      </c>
      <c r="AG93" s="525"/>
      <c r="AH93" s="269"/>
      <c r="AI93" s="269">
        <f t="shared" ref="AI93:AI98" si="8">_xlfn.SINGLE(ROUND(SUM(+AC93-AF93),1))</f>
        <v>-202.1</v>
      </c>
      <c r="AJ93" s="269"/>
      <c r="AK93" s="614">
        <f>_xlfn.SINGLE(ROUND(IF(AF93=0,0,AI93/ABS(AF93)),3))</f>
        <v>-0.05</v>
      </c>
      <c r="AL93" s="1568"/>
      <c r="AM93" s="1568"/>
      <c r="AP93" s="1288"/>
    </row>
    <row r="94" spans="1:42" ht="15" customHeight="1">
      <c r="A94" s="35"/>
      <c r="B94" s="390" t="s">
        <v>129</v>
      </c>
      <c r="C94" s="296"/>
      <c r="D94" s="372">
        <v>86.6</v>
      </c>
      <c r="E94" s="269"/>
      <c r="F94" s="372">
        <v>109.30000000000001</v>
      </c>
      <c r="G94" s="372"/>
      <c r="H94" s="372">
        <v>472.39999999999992</v>
      </c>
      <c r="I94" s="269"/>
      <c r="J94" s="372">
        <v>103.70000000000013</v>
      </c>
      <c r="K94" s="559"/>
      <c r="L94" s="372">
        <v>191.70000000000002</v>
      </c>
      <c r="M94" s="559"/>
      <c r="N94" s="372">
        <v>236.89999999999989</v>
      </c>
      <c r="O94" s="559"/>
      <c r="P94" s="372">
        <v>226.3000000000001</v>
      </c>
      <c r="Q94" s="559"/>
      <c r="R94" s="372">
        <f t="shared" si="7"/>
        <v>124.59999999999982</v>
      </c>
      <c r="S94" s="559"/>
      <c r="T94" s="372"/>
      <c r="U94" s="559"/>
      <c r="V94" s="372"/>
      <c r="W94" s="559"/>
      <c r="X94" s="372"/>
      <c r="Y94" s="559"/>
      <c r="Z94" s="372"/>
      <c r="AA94" s="269"/>
      <c r="AB94" s="530"/>
      <c r="AC94" s="537">
        <v>1551.5</v>
      </c>
      <c r="AD94" s="292"/>
      <c r="AE94" s="1806"/>
      <c r="AF94" s="537">
        <v>1349</v>
      </c>
      <c r="AG94" s="525"/>
      <c r="AH94" s="269"/>
      <c r="AI94" s="269">
        <f t="shared" si="8"/>
        <v>202.5</v>
      </c>
      <c r="AJ94" s="269"/>
      <c r="AK94" s="288">
        <f>_xlfn.SINGLE(ROUND(IF(AF94=0,0,AI94/ABS(AF94)),3))</f>
        <v>0.15</v>
      </c>
      <c r="AL94" s="1568"/>
      <c r="AM94" s="1568"/>
      <c r="AP94" s="1288"/>
    </row>
    <row r="95" spans="1:42" ht="15" customHeight="1">
      <c r="A95" s="35"/>
      <c r="B95" s="390" t="s">
        <v>130</v>
      </c>
      <c r="C95" s="296"/>
      <c r="D95" s="372">
        <v>32.799999999999997</v>
      </c>
      <c r="E95" s="269"/>
      <c r="F95" s="372">
        <v>36.400000000000006</v>
      </c>
      <c r="G95" s="372"/>
      <c r="H95" s="372">
        <v>35.399999999999991</v>
      </c>
      <c r="I95" s="269"/>
      <c r="J95" s="372">
        <v>43.700000000000017</v>
      </c>
      <c r="K95" s="559"/>
      <c r="L95" s="372">
        <v>32.200000000000003</v>
      </c>
      <c r="M95" s="559"/>
      <c r="N95" s="372">
        <v>20.299999999999997</v>
      </c>
      <c r="O95" s="559"/>
      <c r="P95" s="372">
        <v>36.099999999999966</v>
      </c>
      <c r="Q95" s="559"/>
      <c r="R95" s="372">
        <f t="shared" si="7"/>
        <v>29.400000000000034</v>
      </c>
      <c r="S95" s="559"/>
      <c r="T95" s="372"/>
      <c r="U95" s="559"/>
      <c r="V95" s="372"/>
      <c r="W95" s="559"/>
      <c r="X95" s="372"/>
      <c r="Y95" s="559"/>
      <c r="Z95" s="372"/>
      <c r="AA95" s="269"/>
      <c r="AB95" s="530"/>
      <c r="AC95" s="537">
        <v>266.3</v>
      </c>
      <c r="AD95" s="292"/>
      <c r="AE95" s="1806"/>
      <c r="AF95" s="537">
        <v>265.7</v>
      </c>
      <c r="AG95" s="525"/>
      <c r="AH95" s="269"/>
      <c r="AI95" s="269">
        <f t="shared" si="8"/>
        <v>0.6</v>
      </c>
      <c r="AJ95" s="269"/>
      <c r="AK95" s="288">
        <f>_xlfn.SINGLE(ROUND(IF(AF95=0,0,AI95/ABS(AF95)),3))</f>
        <v>2E-3</v>
      </c>
      <c r="AL95" s="1568"/>
      <c r="AM95" s="1568"/>
      <c r="AP95" s="1288"/>
    </row>
    <row r="96" spans="1:42" ht="15" customHeight="1">
      <c r="A96" s="35"/>
      <c r="B96" s="390" t="s">
        <v>131</v>
      </c>
      <c r="C96" s="296"/>
      <c r="D96" s="372">
        <v>3.1</v>
      </c>
      <c r="E96" s="269"/>
      <c r="F96" s="372">
        <v>4.5</v>
      </c>
      <c r="G96" s="372"/>
      <c r="H96" s="372">
        <v>2.9000000000000004</v>
      </c>
      <c r="I96" s="269"/>
      <c r="J96" s="372">
        <v>3.9999999999999996</v>
      </c>
      <c r="K96" s="559"/>
      <c r="L96" s="372">
        <v>1.6999999999999988</v>
      </c>
      <c r="M96" s="559"/>
      <c r="N96" s="372">
        <v>1.4000000000000017</v>
      </c>
      <c r="O96" s="559"/>
      <c r="P96" s="372">
        <v>2.8999999999999981</v>
      </c>
      <c r="Q96" s="559"/>
      <c r="R96" s="372">
        <f t="shared" si="7"/>
        <v>0.60000000000000098</v>
      </c>
      <c r="S96" s="559"/>
      <c r="T96" s="372"/>
      <c r="U96" s="559"/>
      <c r="V96" s="372"/>
      <c r="W96" s="559"/>
      <c r="X96" s="372"/>
      <c r="Y96" s="559"/>
      <c r="Z96" s="372"/>
      <c r="AA96" s="269"/>
      <c r="AB96" s="530"/>
      <c r="AC96" s="537">
        <v>21.1</v>
      </c>
      <c r="AD96" s="292"/>
      <c r="AE96" s="1806"/>
      <c r="AF96" s="537">
        <v>12.9</v>
      </c>
      <c r="AG96" s="525"/>
      <c r="AH96" s="269"/>
      <c r="AI96" s="269">
        <f t="shared" si="8"/>
        <v>8.1999999999999993</v>
      </c>
      <c r="AJ96" s="269"/>
      <c r="AK96" s="614">
        <f>_xlfn.SINGLE(ROUND(IF(AF96=0,1,AI96/ABS(AF96)),3))</f>
        <v>0.63600000000000001</v>
      </c>
      <c r="AL96" s="1568"/>
      <c r="AM96" s="1568"/>
      <c r="AP96" s="1288"/>
    </row>
    <row r="97" spans="1:42" ht="15" customHeight="1">
      <c r="A97" s="35"/>
      <c r="B97" s="390" t="s">
        <v>132</v>
      </c>
      <c r="C97" s="296"/>
      <c r="D97" s="372">
        <v>1</v>
      </c>
      <c r="E97" s="269"/>
      <c r="F97" s="372">
        <v>1.7999999999999998</v>
      </c>
      <c r="G97" s="372"/>
      <c r="H97" s="372">
        <v>1.9000000000000004</v>
      </c>
      <c r="I97" s="269"/>
      <c r="J97" s="372">
        <v>2.0999999999999996</v>
      </c>
      <c r="K97" s="559"/>
      <c r="L97" s="372">
        <v>5.8999999999999995</v>
      </c>
      <c r="M97" s="559"/>
      <c r="N97" s="372">
        <v>3</v>
      </c>
      <c r="O97" s="559"/>
      <c r="P97" s="372">
        <v>1.7000000000000002</v>
      </c>
      <c r="Q97" s="559"/>
      <c r="R97" s="372">
        <f t="shared" si="7"/>
        <v>26.999999999999996</v>
      </c>
      <c r="S97" s="559"/>
      <c r="T97" s="372"/>
      <c r="U97" s="559"/>
      <c r="V97" s="372"/>
      <c r="W97" s="559"/>
      <c r="X97" s="372"/>
      <c r="Y97" s="559"/>
      <c r="Z97" s="372"/>
      <c r="AA97" s="269"/>
      <c r="AB97" s="530"/>
      <c r="AC97" s="537">
        <v>44.4</v>
      </c>
      <c r="AD97" s="292"/>
      <c r="AE97" s="1806"/>
      <c r="AF97" s="537">
        <v>42</v>
      </c>
      <c r="AG97" s="525"/>
      <c r="AH97" s="269"/>
      <c r="AI97" s="269">
        <f t="shared" si="8"/>
        <v>2.4</v>
      </c>
      <c r="AJ97" s="269"/>
      <c r="AK97" s="614">
        <f>_xlfn.SINGLE(ROUND(IF(AF97=0,1,AI97/ABS(AF97)),3))</f>
        <v>5.7000000000000002E-2</v>
      </c>
      <c r="AL97" s="1568"/>
      <c r="AM97" s="1568"/>
      <c r="AP97" s="1288"/>
    </row>
    <row r="98" spans="1:42" ht="15" customHeight="1">
      <c r="A98" s="35"/>
      <c r="B98" s="390" t="s">
        <v>1451</v>
      </c>
      <c r="C98" s="296"/>
      <c r="D98" s="372">
        <v>92.7</v>
      </c>
      <c r="E98" s="269"/>
      <c r="F98" s="372">
        <v>637.69999999999993</v>
      </c>
      <c r="G98" s="372"/>
      <c r="H98" s="372">
        <v>375.30000000000007</v>
      </c>
      <c r="I98" s="269"/>
      <c r="J98" s="372">
        <v>601.49999999999989</v>
      </c>
      <c r="K98" s="559"/>
      <c r="L98" s="372">
        <v>370.2999999999999</v>
      </c>
      <c r="M98" s="559"/>
      <c r="N98" s="372">
        <v>387.40000000000026</v>
      </c>
      <c r="O98" s="559"/>
      <c r="P98" s="372">
        <v>442.2999999999999</v>
      </c>
      <c r="Q98" s="559"/>
      <c r="R98" s="372">
        <f t="shared" si="7"/>
        <v>738.50000000000011</v>
      </c>
      <c r="S98" s="559"/>
      <c r="T98" s="372"/>
      <c r="U98" s="559"/>
      <c r="V98" s="372"/>
      <c r="W98" s="559"/>
      <c r="X98" s="372"/>
      <c r="Y98" s="559"/>
      <c r="Z98" s="372"/>
      <c r="AA98" s="269"/>
      <c r="AB98" s="530"/>
      <c r="AC98" s="537">
        <v>3645.7</v>
      </c>
      <c r="AD98" s="292"/>
      <c r="AE98" s="1806"/>
      <c r="AF98" s="537">
        <v>3495.2</v>
      </c>
      <c r="AG98" s="525"/>
      <c r="AH98" s="269"/>
      <c r="AI98" s="269">
        <f t="shared" si="8"/>
        <v>150.5</v>
      </c>
      <c r="AJ98" s="269"/>
      <c r="AK98" s="288">
        <f>_xlfn.SINGLE(ROUND(IF(AF98=0,0,AI98/ABS(AF98)),3))</f>
        <v>4.2999999999999997E-2</v>
      </c>
      <c r="AL98" s="1568"/>
      <c r="AM98" s="1568"/>
      <c r="AP98" s="1288"/>
    </row>
    <row r="99" spans="1:42" ht="15" customHeight="1">
      <c r="A99" s="35"/>
      <c r="B99" s="3" t="s">
        <v>531</v>
      </c>
      <c r="C99" s="296"/>
      <c r="D99" s="623">
        <f>_xlfn.SINGLE(ROUND(SUM(D89:D98),1))</f>
        <v>667.4</v>
      </c>
      <c r="E99" s="13"/>
      <c r="F99" s="623">
        <f>_xlfn.SINGLE(ROUND(SUM(F89:F98),1))</f>
        <v>844.5</v>
      </c>
      <c r="G99" s="13"/>
      <c r="H99" s="623">
        <f>_xlfn.SINGLE(ROUND(SUM(H89:H98),1))</f>
        <v>1962.1</v>
      </c>
      <c r="I99" s="13"/>
      <c r="J99" s="623">
        <f>_xlfn.SINGLE(ROUND(SUM(J89:J98),1))</f>
        <v>1318.7</v>
      </c>
      <c r="K99" s="13"/>
      <c r="L99" s="623">
        <f>_xlfn.SINGLE(ROUND(SUM(L89:L98),1))</f>
        <v>1063.3</v>
      </c>
      <c r="M99" s="13"/>
      <c r="N99" s="623">
        <f>_xlfn.SINGLE(ROUND(SUM(N89:N98),1))</f>
        <v>5073.6000000000004</v>
      </c>
      <c r="O99" s="13"/>
      <c r="P99" s="623">
        <f>_xlfn.SINGLE(ROUND(SUM(P89:P98),1))</f>
        <v>1418.4</v>
      </c>
      <c r="Q99" s="13"/>
      <c r="R99" s="623">
        <f>_xlfn.SINGLE(ROUND(SUM(R89:R98),1))</f>
        <v>1626.8</v>
      </c>
      <c r="S99" s="13"/>
      <c r="T99" s="623">
        <f>_xlfn.SINGLE(ROUND(SUM(T89:T98),1))</f>
        <v>0</v>
      </c>
      <c r="U99" s="13"/>
      <c r="V99" s="623">
        <f>_xlfn.SINGLE(ROUND(SUM(V89:V98),1))</f>
        <v>0</v>
      </c>
      <c r="W99" s="13"/>
      <c r="X99" s="623">
        <f>_xlfn.SINGLE(ROUND(SUM(X89:X98),1))</f>
        <v>0</v>
      </c>
      <c r="Y99" s="13"/>
      <c r="Z99" s="623">
        <f>_xlfn.SINGLE(ROUND(SUM(Z89:Z98),1))</f>
        <v>0</v>
      </c>
      <c r="AA99" s="13"/>
      <c r="AB99" s="14"/>
      <c r="AC99" s="680">
        <f>ROUND(SUM(AC89:AC98),1)</f>
        <v>13974.8</v>
      </c>
      <c r="AD99" s="13"/>
      <c r="AE99" s="676"/>
      <c r="AF99" s="680">
        <f>ROUND(SUM(AF89:AF98),1)</f>
        <v>13639.4</v>
      </c>
      <c r="AG99" s="78"/>
      <c r="AH99" s="13"/>
      <c r="AI99" s="680">
        <f>_xlfn.SINGLE(ROUND(SUM(AC99-AF99),1))</f>
        <v>335.4</v>
      </c>
      <c r="AJ99" s="40"/>
      <c r="AK99" s="937">
        <f>_xlfn.SINGLE(ROUND(SUM((AC99-AF99)/ABS(AF99)),3))</f>
        <v>2.5000000000000001E-2</v>
      </c>
      <c r="AL99" s="1568"/>
      <c r="AM99" s="1568"/>
      <c r="AP99" s="1288"/>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68"/>
      <c r="AM100" s="1568"/>
      <c r="AP100" s="1288"/>
    </row>
    <row r="101" spans="1:42" ht="15" customHeight="1">
      <c r="A101" s="35"/>
      <c r="B101" s="296" t="s">
        <v>457</v>
      </c>
      <c r="C101" s="296"/>
      <c r="D101" s="372">
        <v>510.9</v>
      </c>
      <c r="E101" s="269"/>
      <c r="F101" s="372">
        <v>508.9</v>
      </c>
      <c r="G101" s="372"/>
      <c r="H101" s="372">
        <v>471</v>
      </c>
      <c r="I101" s="269"/>
      <c r="J101" s="372">
        <v>777.29999999999984</v>
      </c>
      <c r="K101" s="559"/>
      <c r="L101" s="372">
        <v>488.60000000000014</v>
      </c>
      <c r="M101" s="559"/>
      <c r="N101" s="372">
        <v>474.10000000000036</v>
      </c>
      <c r="O101" s="559"/>
      <c r="P101" s="372">
        <v>537.19999999999948</v>
      </c>
      <c r="Q101" s="559"/>
      <c r="R101" s="372">
        <f>$AC101-N101-P101-L101-J101-H101-F101-D101</f>
        <v>517.00000000000057</v>
      </c>
      <c r="S101" s="559"/>
      <c r="T101" s="372"/>
      <c r="U101" s="559"/>
      <c r="V101" s="372"/>
      <c r="W101" s="559"/>
      <c r="X101" s="372"/>
      <c r="Y101" s="559"/>
      <c r="Z101" s="372"/>
      <c r="AA101" s="269"/>
      <c r="AB101" s="530"/>
      <c r="AC101" s="537">
        <v>4285</v>
      </c>
      <c r="AD101" s="292"/>
      <c r="AE101" s="1806"/>
      <c r="AF101" s="537">
        <v>3995.4</v>
      </c>
      <c r="AG101" s="525"/>
      <c r="AH101" s="269"/>
      <c r="AI101" s="269">
        <f>_xlfn.SINGLE(ROUND(SUM(+AC101-AF101),1))</f>
        <v>289.60000000000002</v>
      </c>
      <c r="AJ101" s="269"/>
      <c r="AK101" s="288">
        <f>_xlfn.SINGLE(ROUND(IF(AF101=0,0,AI101/ABS(AF101)),3))</f>
        <v>7.1999999999999995E-2</v>
      </c>
      <c r="AL101" s="1568"/>
      <c r="AM101" s="1568"/>
      <c r="AP101" s="1288"/>
    </row>
    <row r="102" spans="1:42" ht="15" customHeight="1">
      <c r="A102" s="35"/>
      <c r="B102" s="296" t="s">
        <v>513</v>
      </c>
      <c r="C102" s="296"/>
      <c r="D102" s="372">
        <v>317.39999999999998</v>
      </c>
      <c r="E102" s="269"/>
      <c r="F102" s="372">
        <v>283.5</v>
      </c>
      <c r="G102" s="372"/>
      <c r="H102" s="372">
        <v>344.1</v>
      </c>
      <c r="I102" s="269"/>
      <c r="J102" s="372">
        <v>316.59999999999991</v>
      </c>
      <c r="K102" s="559"/>
      <c r="L102" s="372">
        <v>312.69999999999993</v>
      </c>
      <c r="M102" s="559"/>
      <c r="N102" s="372">
        <v>338.40000000000009</v>
      </c>
      <c r="O102" s="559"/>
      <c r="P102" s="372">
        <v>365.20000000000027</v>
      </c>
      <c r="Q102" s="559"/>
      <c r="R102" s="372">
        <f t="shared" ref="R102:R104" si="9">$AC102-N102-P102-L102-J102-H102-F102-D102</f>
        <v>279.69999999999982</v>
      </c>
      <c r="S102" s="559"/>
      <c r="T102" s="372"/>
      <c r="U102" s="559"/>
      <c r="V102" s="372"/>
      <c r="W102" s="559"/>
      <c r="X102" s="372"/>
      <c r="Y102" s="559"/>
      <c r="Z102" s="372"/>
      <c r="AA102" s="269"/>
      <c r="AB102" s="530"/>
      <c r="AC102" s="537">
        <v>2557.6</v>
      </c>
      <c r="AD102" s="292"/>
      <c r="AE102" s="1806"/>
      <c r="AF102" s="537">
        <v>2420.5</v>
      </c>
      <c r="AG102" s="525"/>
      <c r="AH102" s="269"/>
      <c r="AI102" s="269">
        <f>_xlfn.SINGLE(ROUND(SUM(+AC102-AF102),1))</f>
        <v>137.1</v>
      </c>
      <c r="AJ102" s="269"/>
      <c r="AK102" s="288">
        <f>_xlfn.SINGLE(ROUND(IF(AF102=0,0,AI102/ABS(AF102)),3))</f>
        <v>5.7000000000000002E-2</v>
      </c>
      <c r="AL102" s="1568"/>
      <c r="AM102" s="1568"/>
      <c r="AP102" s="1288"/>
    </row>
    <row r="103" spans="1:42" ht="15" customHeight="1">
      <c r="A103" s="35"/>
      <c r="B103" s="296" t="s">
        <v>514</v>
      </c>
      <c r="C103" s="296"/>
      <c r="D103" s="372">
        <v>45.5</v>
      </c>
      <c r="E103" s="269"/>
      <c r="F103" s="372">
        <v>154.30000000000001</v>
      </c>
      <c r="G103" s="372"/>
      <c r="H103" s="372">
        <v>93</v>
      </c>
      <c r="I103" s="269"/>
      <c r="J103" s="372">
        <v>92.399999999999977</v>
      </c>
      <c r="K103" s="559"/>
      <c r="L103" s="372">
        <v>72.699999999999989</v>
      </c>
      <c r="M103" s="559"/>
      <c r="N103" s="372">
        <v>160.70000000000005</v>
      </c>
      <c r="O103" s="559"/>
      <c r="P103" s="372">
        <v>117.69999999999987</v>
      </c>
      <c r="Q103" s="559"/>
      <c r="R103" s="372">
        <f t="shared" si="9"/>
        <v>178.8</v>
      </c>
      <c r="S103" s="559"/>
      <c r="T103" s="372"/>
      <c r="U103" s="559"/>
      <c r="V103" s="372"/>
      <c r="W103" s="559"/>
      <c r="X103" s="372"/>
      <c r="Y103" s="559"/>
      <c r="Z103" s="372"/>
      <c r="AA103" s="269"/>
      <c r="AB103" s="530"/>
      <c r="AC103" s="537">
        <v>915.1</v>
      </c>
      <c r="AD103" s="292"/>
      <c r="AE103" s="1806"/>
      <c r="AF103" s="537">
        <v>695.5</v>
      </c>
      <c r="AG103" s="525"/>
      <c r="AH103" s="269"/>
      <c r="AI103" s="269">
        <f>_xlfn.SINGLE(ROUND(SUM(+AC103-AF103),1))</f>
        <v>219.6</v>
      </c>
      <c r="AJ103" s="269"/>
      <c r="AK103" s="288">
        <f>_xlfn.SINGLE(ROUND(IF(AF103=0,0,AI103/ABS(AF103)),3))</f>
        <v>0.316</v>
      </c>
      <c r="AL103" s="1568"/>
      <c r="AM103" s="1568"/>
      <c r="AP103" s="1288"/>
    </row>
    <row r="104" spans="1:42" ht="15" customHeight="1">
      <c r="A104" s="35"/>
      <c r="B104" s="296" t="s">
        <v>516</v>
      </c>
      <c r="C104" s="296"/>
      <c r="D104" s="372">
        <v>0</v>
      </c>
      <c r="E104" s="269"/>
      <c r="F104" s="372">
        <v>0</v>
      </c>
      <c r="G104" s="372"/>
      <c r="H104" s="372">
        <v>0</v>
      </c>
      <c r="I104" s="269"/>
      <c r="J104" s="372">
        <v>0</v>
      </c>
      <c r="K104" s="559"/>
      <c r="L104" s="372">
        <v>0</v>
      </c>
      <c r="M104" s="559"/>
      <c r="N104" s="372">
        <v>0</v>
      </c>
      <c r="O104" s="559"/>
      <c r="P104" s="372">
        <v>0</v>
      </c>
      <c r="Q104" s="559"/>
      <c r="R104" s="372">
        <f t="shared" si="9"/>
        <v>0</v>
      </c>
      <c r="S104" s="559"/>
      <c r="T104" s="372"/>
      <c r="U104" s="559"/>
      <c r="V104" s="372"/>
      <c r="W104" s="559"/>
      <c r="X104" s="899"/>
      <c r="Y104" s="559"/>
      <c r="Z104" s="372"/>
      <c r="AA104" s="269"/>
      <c r="AB104" s="530"/>
      <c r="AC104" s="537">
        <v>0</v>
      </c>
      <c r="AD104" s="292"/>
      <c r="AE104" s="1806"/>
      <c r="AF104" s="537">
        <v>0</v>
      </c>
      <c r="AG104" s="525"/>
      <c r="AH104" s="269"/>
      <c r="AI104" s="269">
        <f>_xlfn.SINGLE(ROUND(SUM(+AC104-AF104),1))</f>
        <v>0</v>
      </c>
      <c r="AJ104" s="269"/>
      <c r="AK104" s="271">
        <f>_xlfn.SINGLE(ROUND(IF(AF104=0,0,AI104/ABS(AF104)),3))</f>
        <v>0</v>
      </c>
      <c r="AL104" s="1568"/>
      <c r="AM104" s="1568"/>
      <c r="AP104" s="1288"/>
    </row>
    <row r="105" spans="1:42" ht="15" customHeight="1">
      <c r="A105" s="35"/>
      <c r="B105" s="296"/>
      <c r="C105" s="296"/>
      <c r="D105" s="622"/>
      <c r="E105" s="269"/>
      <c r="F105" s="622"/>
      <c r="G105" s="269"/>
      <c r="H105" s="622"/>
      <c r="I105" s="269"/>
      <c r="J105" s="622"/>
      <c r="K105" s="269"/>
      <c r="L105" s="622"/>
      <c r="M105" s="269"/>
      <c r="N105" s="622"/>
      <c r="O105" s="269"/>
      <c r="P105" s="622"/>
      <c r="Q105" s="269"/>
      <c r="R105" s="622"/>
      <c r="S105" s="269"/>
      <c r="T105" s="622"/>
      <c r="U105" s="269"/>
      <c r="V105" s="622"/>
      <c r="W105" s="269"/>
      <c r="X105" s="372"/>
      <c r="Y105" s="269"/>
      <c r="Z105" s="622"/>
      <c r="AA105" s="269"/>
      <c r="AB105" s="529"/>
      <c r="AC105" s="622"/>
      <c r="AD105" s="269"/>
      <c r="AE105" s="530"/>
      <c r="AF105" s="622"/>
      <c r="AG105" s="525"/>
      <c r="AH105" s="269"/>
      <c r="AI105" s="1052"/>
      <c r="AJ105" s="369"/>
      <c r="AK105" s="1053"/>
      <c r="AL105" s="1568"/>
      <c r="AM105" s="1568"/>
      <c r="AP105" s="1288"/>
    </row>
    <row r="106" spans="1:42" ht="15" customHeight="1">
      <c r="A106" s="35"/>
      <c r="B106" s="3" t="s">
        <v>1452</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2438.5</v>
      </c>
      <c r="Q106" s="13"/>
      <c r="R106" s="13">
        <f>_xlfn.SINGLE(ROUND(SUM(R99:R104),1))</f>
        <v>2602.3000000000002</v>
      </c>
      <c r="S106" s="13"/>
      <c r="T106" s="13">
        <f t="shared" ref="T106" si="10">_xlfn.SINGLE(ROUND(SUM(T99:T104),1))</f>
        <v>0</v>
      </c>
      <c r="U106" s="13"/>
      <c r="V106" s="13">
        <f>_xlfn.SINGLE(ROUND(SUM(V99:V104),1))</f>
        <v>0</v>
      </c>
      <c r="W106" s="13"/>
      <c r="X106" s="362">
        <f>_xlfn.SINGLE(ROUND(SUM(X99:X104),1))</f>
        <v>0</v>
      </c>
      <c r="Y106" s="13"/>
      <c r="Z106" s="13">
        <f>_xlfn.SINGLE(ROUND(SUM(Z99:Z104),1))</f>
        <v>0</v>
      </c>
      <c r="AA106" s="13"/>
      <c r="AB106" s="14"/>
      <c r="AC106" s="13">
        <f>ROUND(SUM(AC99:AC104),1)</f>
        <v>21732.5</v>
      </c>
      <c r="AD106" s="13"/>
      <c r="AE106" s="676"/>
      <c r="AF106" s="13">
        <f>ROUND(SUM(AF99:AF104),1)</f>
        <v>20750.8</v>
      </c>
      <c r="AG106" s="78"/>
      <c r="AH106" s="13"/>
      <c r="AI106" s="362">
        <f>_xlfn.SINGLE(ROUND(SUM(AC106-AF106),1))</f>
        <v>981.7</v>
      </c>
      <c r="AJ106" s="60"/>
      <c r="AK106" s="373">
        <f>_xlfn.SINGLE(ROUND(SUM((AC106-AF106)/ABS(AF106)),3))</f>
        <v>4.7E-2</v>
      </c>
      <c r="AL106" s="1568"/>
      <c r="AM106" s="1568"/>
      <c r="AP106" s="1288"/>
    </row>
    <row r="107" spans="1:42" ht="15" customHeight="1">
      <c r="A107" s="35"/>
      <c r="B107" s="296"/>
      <c r="C107" s="296"/>
      <c r="D107" s="622"/>
      <c r="E107" s="269"/>
      <c r="F107" s="622"/>
      <c r="G107" s="269"/>
      <c r="H107" s="622"/>
      <c r="I107" s="269"/>
      <c r="J107" s="622"/>
      <c r="K107" s="269"/>
      <c r="L107" s="622"/>
      <c r="M107" s="269"/>
      <c r="N107" s="622"/>
      <c r="O107" s="269"/>
      <c r="P107" s="622"/>
      <c r="Q107" s="269"/>
      <c r="R107" s="622"/>
      <c r="S107" s="269"/>
      <c r="T107" s="622"/>
      <c r="U107" s="269"/>
      <c r="V107" s="622"/>
      <c r="W107" s="269"/>
      <c r="X107" s="372"/>
      <c r="Y107" s="269"/>
      <c r="Z107" s="622"/>
      <c r="AA107" s="269"/>
      <c r="AB107" s="529"/>
      <c r="AC107" s="622"/>
      <c r="AD107" s="269"/>
      <c r="AE107" s="530"/>
      <c r="AF107" s="622"/>
      <c r="AG107" s="525"/>
      <c r="AH107" s="269"/>
      <c r="AI107" s="269"/>
      <c r="AJ107" s="369"/>
      <c r="AK107" s="288"/>
      <c r="AL107" s="1568"/>
      <c r="AM107" s="1568"/>
      <c r="AP107" s="1288"/>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68"/>
      <c r="AM108" s="1568"/>
      <c r="AP108" s="1288"/>
    </row>
    <row r="109" spans="1:42" ht="15" customHeight="1">
      <c r="A109" s="35"/>
      <c r="B109" s="3" t="s">
        <v>1453</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425.4</v>
      </c>
      <c r="Q109" s="13"/>
      <c r="R109" s="13">
        <f>_xlfn.SINGLE(ROUND(SUM(R85-R106),1))</f>
        <v>627.9</v>
      </c>
      <c r="S109" s="13"/>
      <c r="T109" s="13">
        <f>_xlfn.SINGLE(ROUND(SUM(T85-T106),1))</f>
        <v>0</v>
      </c>
      <c r="U109" s="13"/>
      <c r="V109" s="13">
        <f>_xlfn.SINGLE(ROUND(SUM(V85-V106),1))</f>
        <v>0</v>
      </c>
      <c r="W109" s="13"/>
      <c r="X109" s="362">
        <f>_xlfn.SINGLE(ROUND(SUM(X85-X106),1))</f>
        <v>0</v>
      </c>
      <c r="Y109" s="13"/>
      <c r="Z109" s="13">
        <f>_xlfn.SINGLE(ROUND(SUM(Z85-Z106),1))</f>
        <v>0</v>
      </c>
      <c r="AA109" s="13"/>
      <c r="AB109" s="14"/>
      <c r="AC109" s="13">
        <f>ROUND(SUM(AC85-AC106),1)</f>
        <v>-871.8</v>
      </c>
      <c r="AD109" s="13"/>
      <c r="AE109" s="676"/>
      <c r="AF109" s="13">
        <f>ROUND(SUM(AF85-AF106),1)</f>
        <v>-2807.8</v>
      </c>
      <c r="AG109" s="78"/>
      <c r="AH109" s="13"/>
      <c r="AI109" s="362">
        <f>_xlfn.SINGLE(ROUND(SUM(AC109-AF109),1))</f>
        <v>1936</v>
      </c>
      <c r="AJ109" s="60"/>
      <c r="AK109" s="618">
        <f>_xlfn.SINGLE(ROUND(IF(AF109=0,0,AI109/ABS(AF109)),3))</f>
        <v>0.69</v>
      </c>
      <c r="AL109" s="1568"/>
      <c r="AM109" s="1568"/>
      <c r="AP109" s="1288"/>
    </row>
    <row r="110" spans="1:42" ht="15" customHeight="1">
      <c r="A110" s="35"/>
      <c r="B110" s="296"/>
      <c r="C110" s="296"/>
      <c r="D110" s="622"/>
      <c r="E110" s="269"/>
      <c r="F110" s="622"/>
      <c r="G110" s="269"/>
      <c r="H110" s="622"/>
      <c r="I110" s="269"/>
      <c r="J110" s="622"/>
      <c r="K110" s="269"/>
      <c r="L110" s="622"/>
      <c r="M110" s="269"/>
      <c r="N110" s="622"/>
      <c r="O110" s="269"/>
      <c r="P110" s="622"/>
      <c r="Q110" s="269"/>
      <c r="R110" s="622"/>
      <c r="S110" s="269"/>
      <c r="T110" s="622"/>
      <c r="U110" s="269"/>
      <c r="V110" s="622"/>
      <c r="W110" s="269"/>
      <c r="X110" s="372"/>
      <c r="Y110" s="269"/>
      <c r="Z110" s="622"/>
      <c r="AA110" s="269"/>
      <c r="AB110" s="529"/>
      <c r="AC110" s="622"/>
      <c r="AD110" s="269"/>
      <c r="AE110" s="530"/>
      <c r="AF110" s="622"/>
      <c r="AG110" s="525"/>
      <c r="AH110" s="269"/>
      <c r="AI110" s="269"/>
      <c r="AJ110" s="369"/>
      <c r="AK110" s="288"/>
      <c r="AL110" s="1568"/>
      <c r="AM110" s="1568"/>
      <c r="AP110" s="1288"/>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68"/>
      <c r="AM111" s="1568"/>
      <c r="AP111" s="1288"/>
    </row>
    <row r="112" spans="1:42" ht="15" customHeight="1">
      <c r="A112" s="35"/>
      <c r="B112" s="296" t="s">
        <v>532</v>
      </c>
      <c r="C112" s="296"/>
      <c r="D112" s="372">
        <v>379.4</v>
      </c>
      <c r="E112" s="269"/>
      <c r="F112" s="372">
        <v>469.80000000000007</v>
      </c>
      <c r="G112" s="372"/>
      <c r="H112" s="372">
        <v>650.00000000000011</v>
      </c>
      <c r="I112" s="269"/>
      <c r="J112" s="372">
        <v>458.89999999999964</v>
      </c>
      <c r="K112" s="559"/>
      <c r="L112" s="372">
        <v>167.80000000000041</v>
      </c>
      <c r="M112" s="559"/>
      <c r="N112" s="372">
        <v>546.69999999999959</v>
      </c>
      <c r="O112" s="559"/>
      <c r="P112" s="372">
        <v>137.9000000000002</v>
      </c>
      <c r="Q112" s="559"/>
      <c r="R112" s="372">
        <f>$AC112-N112-P112-L112-J112-H112-F112-D112</f>
        <v>422.69999999999959</v>
      </c>
      <c r="S112" s="559"/>
      <c r="T112" s="372"/>
      <c r="U112" s="559"/>
      <c r="V112" s="372"/>
      <c r="W112" s="559"/>
      <c r="X112" s="372"/>
      <c r="Y112" s="559"/>
      <c r="Z112" s="372"/>
      <c r="AA112" s="269"/>
      <c r="AB112" s="530"/>
      <c r="AC112" s="537">
        <v>3233.2</v>
      </c>
      <c r="AD112" s="292"/>
      <c r="AE112" s="1806"/>
      <c r="AF112" s="537">
        <v>3080.4</v>
      </c>
      <c r="AG112" s="525"/>
      <c r="AH112" s="269"/>
      <c r="AI112" s="269">
        <f>_xlfn.SINGLE(ROUND(SUM(+AC112-AF112),1))</f>
        <v>152.80000000000001</v>
      </c>
      <c r="AJ112" s="269"/>
      <c r="AK112" s="288">
        <f>_xlfn.SINGLE(ROUND(IF(AF112=0,0,AI112/ABS(AF112)),3))</f>
        <v>0.05</v>
      </c>
      <c r="AL112" s="1568"/>
      <c r="AM112" s="1568"/>
      <c r="AP112" s="1288"/>
    </row>
    <row r="113" spans="1:46" ht="15" customHeight="1">
      <c r="A113" s="35"/>
      <c r="B113" s="296" t="s">
        <v>519</v>
      </c>
      <c r="C113" s="296"/>
      <c r="D113" s="372">
        <v>1.4</v>
      </c>
      <c r="E113" s="269"/>
      <c r="F113" s="372">
        <v>-30.5</v>
      </c>
      <c r="G113" s="372"/>
      <c r="H113" s="372">
        <v>-64.5</v>
      </c>
      <c r="I113" s="269"/>
      <c r="J113" s="372">
        <v>-37.199999999999982</v>
      </c>
      <c r="K113" s="559"/>
      <c r="L113" s="372">
        <v>-14.50000000000003</v>
      </c>
      <c r="M113" s="559"/>
      <c r="N113" s="372">
        <v>-19.999999999999964</v>
      </c>
      <c r="O113" s="559"/>
      <c r="P113" s="372">
        <v>-1.4</v>
      </c>
      <c r="Q113" s="559"/>
      <c r="R113" s="372">
        <f>$AC113-N113-P113-L113-J113-H113-F113-D113</f>
        <v>-3.7000000000000113</v>
      </c>
      <c r="S113" s="559"/>
      <c r="T113" s="372"/>
      <c r="U113" s="559"/>
      <c r="V113" s="372"/>
      <c r="W113" s="559"/>
      <c r="X113" s="372"/>
      <c r="Y113" s="559"/>
      <c r="Z113" s="372"/>
      <c r="AA113" s="269"/>
      <c r="AB113" s="530"/>
      <c r="AC113" s="537">
        <v>-170.4</v>
      </c>
      <c r="AD113" s="292"/>
      <c r="AE113" s="1806"/>
      <c r="AF113" s="537">
        <v>-93.3</v>
      </c>
      <c r="AG113" s="525"/>
      <c r="AH113" s="269"/>
      <c r="AI113" s="269">
        <f>_xlfn.SINGLE(ROUND(SUM(+AC113-AF113)*-1,1))</f>
        <v>77.099999999999994</v>
      </c>
      <c r="AJ113" s="269"/>
      <c r="AK113" s="548">
        <f>_xlfn.SINGLE(ROUND(IF(AF113=0,0,AI113/ABS(AF113)),3))</f>
        <v>0.82599999999999996</v>
      </c>
      <c r="AL113" s="1568"/>
      <c r="AM113" s="1568"/>
      <c r="AP113" s="1288"/>
    </row>
    <row r="114" spans="1:46" ht="15" customHeight="1">
      <c r="A114" s="35"/>
      <c r="B114" s="296"/>
      <c r="C114" s="296"/>
      <c r="D114" s="622"/>
      <c r="E114" s="269"/>
      <c r="F114" s="622"/>
      <c r="G114" s="269"/>
      <c r="H114" s="622"/>
      <c r="I114" s="269"/>
      <c r="J114" s="622"/>
      <c r="K114" s="269"/>
      <c r="L114" s="622"/>
      <c r="M114" s="269"/>
      <c r="N114" s="622"/>
      <c r="O114" s="269"/>
      <c r="P114" s="622"/>
      <c r="Q114" s="269"/>
      <c r="R114" s="622"/>
      <c r="S114" s="269"/>
      <c r="T114" s="622"/>
      <c r="U114" s="269"/>
      <c r="V114" s="622"/>
      <c r="W114" s="269"/>
      <c r="X114" s="622"/>
      <c r="Y114" s="269"/>
      <c r="Z114" s="622"/>
      <c r="AA114" s="269"/>
      <c r="AB114" s="529"/>
      <c r="AC114" s="622"/>
      <c r="AD114" s="269"/>
      <c r="AE114" s="530"/>
      <c r="AF114" s="622"/>
      <c r="AG114" s="525"/>
      <c r="AH114" s="269"/>
      <c r="AI114" s="1052"/>
      <c r="AJ114" s="369"/>
      <c r="AK114" s="1053"/>
      <c r="AL114" s="1568"/>
      <c r="AM114" s="1568"/>
      <c r="AP114" s="1288"/>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136.5</v>
      </c>
      <c r="Q115" s="13"/>
      <c r="R115" s="13">
        <f>_xlfn.SINGLE(ROUND(SUM(R112:R114),1))</f>
        <v>419</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3062.8</v>
      </c>
      <c r="AD115" s="13"/>
      <c r="AE115" s="676"/>
      <c r="AF115" s="13">
        <f>ROUND(SUM(AF112:AF114),1)</f>
        <v>2987.1</v>
      </c>
      <c r="AG115" s="78"/>
      <c r="AH115" s="13"/>
      <c r="AI115" s="362">
        <f>_xlfn.SINGLE(ROUND(SUM(AC115-AF115),1))</f>
        <v>75.7</v>
      </c>
      <c r="AJ115" s="40"/>
      <c r="AK115" s="373">
        <f>_xlfn.SINGLE(ROUND(SUM((AC115-AF115)/ABS(AF115)),3))</f>
        <v>2.5000000000000001E-2</v>
      </c>
      <c r="AL115" s="1568"/>
      <c r="AM115" s="1568"/>
      <c r="AP115" s="1288"/>
    </row>
    <row r="116" spans="1:46" ht="15" customHeight="1">
      <c r="A116" s="35"/>
      <c r="B116" s="296"/>
      <c r="C116" s="296"/>
      <c r="D116" s="622"/>
      <c r="E116" s="269"/>
      <c r="F116" s="622"/>
      <c r="G116" s="269"/>
      <c r="H116" s="622"/>
      <c r="I116" s="269"/>
      <c r="J116" s="622"/>
      <c r="K116" s="269"/>
      <c r="L116" s="622"/>
      <c r="M116" s="269"/>
      <c r="N116" s="622"/>
      <c r="O116" s="269"/>
      <c r="P116" s="622"/>
      <c r="Q116" s="269"/>
      <c r="R116" s="622"/>
      <c r="S116" s="269"/>
      <c r="T116" s="622"/>
      <c r="U116" s="269"/>
      <c r="V116" s="622"/>
      <c r="W116" s="269"/>
      <c r="X116" s="622"/>
      <c r="Y116" s="269"/>
      <c r="Z116" s="622"/>
      <c r="AA116" s="269"/>
      <c r="AB116" s="529"/>
      <c r="AC116" s="622"/>
      <c r="AD116" s="269"/>
      <c r="AE116" s="530"/>
      <c r="AF116" s="622"/>
      <c r="AG116" s="525"/>
      <c r="AH116" s="269"/>
      <c r="AI116" s="269"/>
      <c r="AJ116" s="369"/>
      <c r="AK116" s="288"/>
      <c r="AL116" s="1568"/>
      <c r="AM116" s="1568"/>
      <c r="AP116" s="1288"/>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68"/>
      <c r="AM117" s="1568"/>
      <c r="AP117" s="1288"/>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68"/>
      <c r="AM118" s="1568"/>
      <c r="AP118" s="1288"/>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966.1</v>
      </c>
      <c r="M119" s="13"/>
      <c r="N119" s="362">
        <f>_xlfn.SINGLE(ROUND(SUM(N109+N115),1))</f>
        <v>-2618.1999999999998</v>
      </c>
      <c r="O119" s="13"/>
      <c r="P119" s="362">
        <f>_xlfn.SINGLE(ROUND(SUM(P109+P115),1))</f>
        <v>561.9</v>
      </c>
      <c r="Q119" s="13"/>
      <c r="R119" s="362">
        <f>_xlfn.SINGLE(ROUND(SUM(R109+R115),1))</f>
        <v>1046.9000000000001</v>
      </c>
      <c r="S119" s="13"/>
      <c r="T119" s="362">
        <f>_xlfn.SINGLE(ROUND(SUM(T109+T115),1))</f>
        <v>0</v>
      </c>
      <c r="U119" s="13"/>
      <c r="V119" s="362">
        <f>_xlfn.SINGLE(ROUND(SUM(V109+V115),1))</f>
        <v>0</v>
      </c>
      <c r="W119" s="13"/>
      <c r="X119" s="362">
        <f>_xlfn.SINGLE(ROUND(SUM(X109+X115),1))</f>
        <v>0</v>
      </c>
      <c r="Y119" s="13"/>
      <c r="Z119" s="362">
        <f>_xlfn.SINGLE(ROUND(SUM(Z109+Z115),1))</f>
        <v>0</v>
      </c>
      <c r="AA119" s="1251"/>
      <c r="AB119" s="13"/>
      <c r="AC119" s="362">
        <f>ROUND(SUM(AC109+AC115),1)</f>
        <v>2191</v>
      </c>
      <c r="AD119" s="1253"/>
      <c r="AE119" s="13"/>
      <c r="AF119" s="362">
        <f>ROUND(SUM(AF109+AF115),1)</f>
        <v>179.3</v>
      </c>
      <c r="AG119" s="525"/>
      <c r="AH119" s="13"/>
      <c r="AI119" s="362">
        <f>_xlfn.SINGLE(ROUND(SUM(AI109+AI115),1))</f>
        <v>2011.7</v>
      </c>
      <c r="AJ119" s="13"/>
      <c r="AK119" s="618">
        <f>_xlfn.SINGLE(ROUND(IF(AF119=0,0,AI119/ABS(AF119)),3))</f>
        <v>11.22</v>
      </c>
      <c r="AL119" s="1568"/>
      <c r="AM119" s="1568"/>
      <c r="AP119" s="1288"/>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60"/>
      <c r="AC120" s="273"/>
      <c r="AD120" s="273"/>
      <c r="AE120" s="1060"/>
      <c r="AF120" s="273"/>
      <c r="AG120" s="273"/>
      <c r="AH120" s="1047"/>
      <c r="AI120" s="369"/>
      <c r="AJ120" s="369"/>
      <c r="AK120" s="288"/>
      <c r="AL120" s="1568"/>
      <c r="AM120" s="1568"/>
      <c r="AP120" s="1288"/>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13489.1</v>
      </c>
      <c r="M121" s="273"/>
      <c r="N121" s="73">
        <f>_xlfn.SINGLE(ROUND(SUM(+N119+N13),1))</f>
        <v>10870.9</v>
      </c>
      <c r="O121" s="273"/>
      <c r="P121" s="73">
        <f>_xlfn.SINGLE(ROUND(SUM(+P119+P13),1))</f>
        <v>11432.8</v>
      </c>
      <c r="Q121" s="273"/>
      <c r="R121" s="73">
        <f>_xlfn.SINGLE(ROUND(SUM(+R119+R13),1))</f>
        <v>12479.7</v>
      </c>
      <c r="S121" s="273"/>
      <c r="T121" s="73">
        <f>_xlfn.SINGLE(ROUND(SUM(+T119+T13),1))</f>
        <v>0</v>
      </c>
      <c r="U121" s="273"/>
      <c r="V121" s="73">
        <f>_xlfn.SINGLE(ROUND(SUM(+V119+V13),1))</f>
        <v>0</v>
      </c>
      <c r="W121" s="273"/>
      <c r="X121" s="73">
        <f>_xlfn.SINGLE(ROUND(SUM(+X119+X13),1))</f>
        <v>0</v>
      </c>
      <c r="Y121" s="273"/>
      <c r="Z121" s="73">
        <f>_xlfn.SINGLE(ROUND(SUM(+Z119+Z13),1))</f>
        <v>0</v>
      </c>
      <c r="AA121" s="273"/>
      <c r="AB121" s="1060"/>
      <c r="AC121" s="73">
        <f>ROUND(SUM(+AC119+AC13),1)</f>
        <v>12479.7</v>
      </c>
      <c r="AD121" s="273"/>
      <c r="AE121" s="1060"/>
      <c r="AF121" s="73">
        <f>ROUND(SUM(+AF119+AF13),1)</f>
        <v>9821.1</v>
      </c>
      <c r="AG121" s="273"/>
      <c r="AH121" s="1047"/>
      <c r="AI121" s="73">
        <f>_xlfn.SINGLE(ROUND(SUM(+AI119+AI13),1))</f>
        <v>2658.6</v>
      </c>
      <c r="AJ121" s="369"/>
      <c r="AK121" s="80">
        <f>_xlfn.SINGLE(ROUND(IF(AF121=0,0,AI121/ABS(AF121)),3))</f>
        <v>0.27100000000000002</v>
      </c>
      <c r="AL121" s="1568"/>
      <c r="AM121" s="1568"/>
      <c r="AP121" s="1288"/>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88"/>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88"/>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29"/>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AK25:AK26 AK34 AK52 AK58 AK65 AK71 AK73 AK76 R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88671875" defaultRowHeight="12.75"/>
  <cols>
    <col min="1" max="1" width="1.88671875" style="66" customWidth="1"/>
    <col min="2" max="2" width="44.88671875" style="66" customWidth="1"/>
    <col min="3" max="3" width="1.88671875" style="66" customWidth="1"/>
    <col min="4" max="4" width="15.109375" style="66" bestFit="1" customWidth="1"/>
    <col min="5" max="5" width="1.88671875" style="66" customWidth="1"/>
    <col min="6" max="6" width="12" style="66" customWidth="1"/>
    <col min="7" max="7" width="1.88671875" style="66" customWidth="1"/>
    <col min="8" max="8" width="12.109375" style="66" bestFit="1" customWidth="1"/>
    <col min="9" max="9" width="1.88671875" style="66" customWidth="1"/>
    <col min="10" max="10" width="12.109375" style="66" bestFit="1" customWidth="1"/>
    <col min="11" max="11" width="1.88671875" style="66" customWidth="1"/>
    <col min="12" max="12" width="11.109375" style="66" customWidth="1"/>
    <col min="13" max="13" width="1.88671875" style="66" customWidth="1"/>
    <col min="14" max="14" width="12.109375" style="66" customWidth="1"/>
    <col min="15" max="15" width="1.88671875" style="66" customWidth="1"/>
    <col min="16" max="16" width="11" style="66" bestFit="1" customWidth="1"/>
    <col min="17" max="17" width="1.88671875" style="66" customWidth="1"/>
    <col min="18" max="18" width="11.5546875" style="66" bestFit="1" customWidth="1"/>
    <col min="19" max="19" width="1.88671875" style="66" customWidth="1"/>
    <col min="20" max="20" width="11.44140625" style="66" customWidth="1"/>
    <col min="21" max="21" width="1.88671875" style="66" customWidth="1"/>
    <col min="22" max="22" width="11.109375" style="66" customWidth="1"/>
    <col min="23" max="23" width="1.88671875" style="66" customWidth="1"/>
    <col min="24" max="24" width="11.109375" style="66" bestFit="1" customWidth="1"/>
    <col min="25" max="25" width="1.88671875" style="66" customWidth="1"/>
    <col min="26" max="26" width="10.88671875" style="66" bestFit="1" customWidth="1"/>
    <col min="27" max="28" width="1.88671875" style="66" customWidth="1"/>
    <col min="29" max="29" width="12.109375" style="66" customWidth="1"/>
    <col min="30" max="31" width="1.109375" style="66" customWidth="1"/>
    <col min="32" max="32" width="11.88671875" style="66" customWidth="1"/>
    <col min="33" max="34" width="1.109375" style="66" customWidth="1"/>
    <col min="35" max="35" width="13.109375" style="66" bestFit="1" customWidth="1"/>
    <col min="36" max="36" width="0.88671875" style="66" customWidth="1"/>
    <col min="37" max="37" width="13.88671875" style="333" bestFit="1" customWidth="1"/>
    <col min="38" max="39" width="8.88671875" style="1570"/>
    <col min="40" max="16384" width="8.88671875" style="66"/>
  </cols>
  <sheetData>
    <row r="1" spans="1:39" ht="15">
      <c r="B1" s="270" t="s">
        <v>97</v>
      </c>
    </row>
    <row r="2" spans="1:39" ht="15.7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25">
      <c r="B6" s="546" t="str">
        <f>'Cashflow Governmental'!A6</f>
        <v>FISCAL YEAR 2025-2026</v>
      </c>
      <c r="L6" s="74"/>
      <c r="M6" s="74"/>
      <c r="O6" s="74"/>
      <c r="AK6" s="334"/>
    </row>
    <row r="7" spans="1:39" ht="18">
      <c r="B7" s="68" t="s">
        <v>525</v>
      </c>
      <c r="AH7" s="35"/>
      <c r="AI7" s="35"/>
      <c r="AJ7" s="35"/>
      <c r="AK7" s="335"/>
    </row>
    <row r="8" spans="1:39" ht="13.5" customHeight="1">
      <c r="B8" s="83"/>
      <c r="D8" s="1572"/>
      <c r="AH8" s="35"/>
      <c r="AI8" s="35"/>
      <c r="AJ8" s="35"/>
      <c r="AK8" s="335"/>
    </row>
    <row r="9" spans="1:39" ht="15.75">
      <c r="D9" s="1136"/>
      <c r="L9" s="74"/>
      <c r="M9" s="74"/>
      <c r="N9" s="74"/>
      <c r="O9" s="74"/>
      <c r="AB9" s="2102" t="str">
        <f>'Exhibit G'!AD9</f>
        <v>8 Months Ended November 30</v>
      </c>
      <c r="AC9" s="2100"/>
      <c r="AD9" s="2100"/>
      <c r="AE9" s="2100"/>
      <c r="AF9" s="2100"/>
      <c r="AG9" s="2100"/>
      <c r="AH9" s="2100"/>
      <c r="AI9" s="2100"/>
      <c r="AJ9" s="2100"/>
      <c r="AK9" s="2100"/>
    </row>
    <row r="10" spans="1:39"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71"/>
    </row>
    <row r="11" spans="1:39" ht="15.7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2025</v>
      </c>
      <c r="AD11" s="319"/>
      <c r="AE11" s="3" t="s">
        <v>103</v>
      </c>
      <c r="AF11" s="319" t="str">
        <f>'Cashflow Governmental'!AE14</f>
        <v>2024</v>
      </c>
      <c r="AG11" s="319"/>
      <c r="AH11" s="60"/>
      <c r="AI11" s="421" t="s">
        <v>112</v>
      </c>
      <c r="AJ11" s="325"/>
      <c r="AK11" s="1061" t="s">
        <v>113</v>
      </c>
      <c r="AL11" s="1571"/>
    </row>
    <row r="12" spans="1:39" ht="6.75" customHeight="1">
      <c r="B12" s="369"/>
      <c r="C12" s="369"/>
      <c r="D12" s="1004"/>
      <c r="E12" s="369"/>
      <c r="F12" s="1004"/>
      <c r="G12" s="369"/>
      <c r="H12" s="1004"/>
      <c r="I12" s="369"/>
      <c r="J12" s="1004"/>
      <c r="K12" s="369"/>
      <c r="L12" s="1004"/>
      <c r="M12" s="369"/>
      <c r="N12" s="1004"/>
      <c r="O12" s="369"/>
      <c r="P12" s="1004"/>
      <c r="Q12" s="369"/>
      <c r="R12" s="1004"/>
      <c r="S12" s="369"/>
      <c r="T12" s="1004"/>
      <c r="U12" s="369"/>
      <c r="V12" s="1004"/>
      <c r="W12" s="369"/>
      <c r="X12" s="1004"/>
      <c r="Y12" s="369"/>
      <c r="Z12" s="1004"/>
      <c r="AA12" s="369"/>
      <c r="AB12" s="369"/>
      <c r="AC12" s="1004"/>
      <c r="AD12" s="1004"/>
      <c r="AE12" s="369"/>
      <c r="AF12" s="1004"/>
      <c r="AG12" s="369"/>
      <c r="AH12" s="369"/>
      <c r="AI12" s="369"/>
      <c r="AJ12" s="369"/>
      <c r="AK12" s="288"/>
    </row>
    <row r="13" spans="1:39" ht="15.75">
      <c r="B13" s="3" t="s">
        <v>526</v>
      </c>
      <c r="C13" s="369"/>
      <c r="D13" s="86">
        <v>7830.5</v>
      </c>
      <c r="E13" s="369"/>
      <c r="F13" s="20">
        <f>D94</f>
        <v>10350.700000000001</v>
      </c>
      <c r="G13" s="20"/>
      <c r="H13" s="20">
        <f>F94</f>
        <v>9316.9</v>
      </c>
      <c r="I13" s="369"/>
      <c r="J13" s="20">
        <f>H94</f>
        <v>8471.5</v>
      </c>
      <c r="K13" s="369"/>
      <c r="L13" s="20">
        <f>J94</f>
        <v>8681.7000000000007</v>
      </c>
      <c r="M13" s="369"/>
      <c r="N13" s="20">
        <f>L94</f>
        <v>9475.6</v>
      </c>
      <c r="O13" s="369"/>
      <c r="P13" s="20">
        <f>N94</f>
        <v>9209.5</v>
      </c>
      <c r="Q13" s="369"/>
      <c r="R13" s="20">
        <f>P94</f>
        <v>9808</v>
      </c>
      <c r="S13" s="20"/>
      <c r="T13" s="20"/>
      <c r="U13" s="20"/>
      <c r="V13" s="20"/>
      <c r="W13" s="20"/>
      <c r="X13" s="20"/>
      <c r="Y13" s="20"/>
      <c r="Z13" s="20"/>
      <c r="AA13" s="369"/>
      <c r="AB13" s="1057"/>
      <c r="AC13" s="20">
        <f>D13</f>
        <v>7830.5</v>
      </c>
      <c r="AD13" s="369"/>
      <c r="AE13" s="1057"/>
      <c r="AF13" s="2002">
        <v>11153</v>
      </c>
      <c r="AG13" s="369"/>
      <c r="AH13" s="1047"/>
      <c r="AI13" s="20">
        <f>+AC13-AF13</f>
        <v>-3322.5</v>
      </c>
      <c r="AJ13" s="369"/>
      <c r="AK13" s="77">
        <f>AI13/AF13</f>
        <v>-0.29790190980005382</v>
      </c>
      <c r="AL13" s="1568"/>
      <c r="AM13" s="1568"/>
    </row>
    <row r="14" spans="1:39" ht="15.7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4"/>
      <c r="AB14" s="369"/>
      <c r="AC14" s="369"/>
      <c r="AD14" s="369"/>
      <c r="AE14" s="1057"/>
      <c r="AF14" s="369"/>
      <c r="AG14" s="1049"/>
      <c r="AH14" s="369"/>
      <c r="AI14" s="369"/>
      <c r="AJ14" s="369"/>
      <c r="AK14" s="288"/>
      <c r="AL14" s="1568"/>
      <c r="AM14" s="1568"/>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48"/>
      <c r="AC15" s="369"/>
      <c r="AD15" s="369"/>
      <c r="AE15" s="1062"/>
      <c r="AF15" s="369"/>
      <c r="AG15" s="1246"/>
      <c r="AH15" s="369"/>
      <c r="AI15" s="536"/>
      <c r="AJ15" s="536"/>
      <c r="AK15" s="541"/>
      <c r="AL15" s="1568"/>
      <c r="AM15" s="1568"/>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4"/>
      <c r="AC16" s="269"/>
      <c r="AD16" s="1821"/>
      <c r="AE16" s="1063"/>
      <c r="AF16" s="280"/>
      <c r="AG16" s="1246"/>
      <c r="AH16" s="369"/>
      <c r="AI16" s="269"/>
      <c r="AJ16" s="269"/>
      <c r="AK16" s="379"/>
      <c r="AL16" s="1568"/>
      <c r="AM16" s="1568"/>
    </row>
    <row r="17" spans="1:39" ht="15" customHeight="1">
      <c r="A17" s="35"/>
      <c r="B17" s="1235"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4"/>
      <c r="AC17" s="269"/>
      <c r="AD17" s="269"/>
      <c r="AE17" s="530"/>
      <c r="AF17" s="269"/>
      <c r="AG17" s="525"/>
      <c r="AH17" s="269"/>
      <c r="AI17" s="269"/>
      <c r="AJ17" s="269"/>
      <c r="AK17" s="288"/>
      <c r="AL17" s="1568"/>
      <c r="AM17" s="1568"/>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4"/>
      <c r="AC18" s="269"/>
      <c r="AD18" s="269"/>
      <c r="AE18" s="530"/>
      <c r="AF18" s="269"/>
      <c r="AG18" s="525"/>
      <c r="AH18" s="269"/>
      <c r="AI18" s="269"/>
      <c r="AJ18" s="269"/>
      <c r="AK18" s="288"/>
      <c r="AL18" s="1568"/>
      <c r="AM18" s="1568"/>
    </row>
    <row r="19" spans="1:39" ht="15" customHeight="1">
      <c r="A19" s="35"/>
      <c r="B19" s="355" t="s">
        <v>1415</v>
      </c>
      <c r="C19" s="296"/>
      <c r="D19" s="292">
        <v>0</v>
      </c>
      <c r="E19" s="292"/>
      <c r="F19" s="292">
        <v>0</v>
      </c>
      <c r="G19" s="292"/>
      <c r="H19" s="292">
        <v>0</v>
      </c>
      <c r="I19" s="269"/>
      <c r="J19" s="292">
        <v>0</v>
      </c>
      <c r="K19" s="559"/>
      <c r="L19" s="292">
        <v>0</v>
      </c>
      <c r="M19" s="559"/>
      <c r="N19" s="292">
        <v>0</v>
      </c>
      <c r="O19" s="613"/>
      <c r="P19" s="292">
        <v>0</v>
      </c>
      <c r="Q19" s="613"/>
      <c r="R19" s="292">
        <f>$AC19-N19-P19-L19-J19-H19-F19-D19</f>
        <v>0</v>
      </c>
      <c r="S19" s="292"/>
      <c r="T19" s="292"/>
      <c r="U19" s="292"/>
      <c r="V19" s="292"/>
      <c r="W19" s="613"/>
      <c r="X19" s="292"/>
      <c r="Y19" s="292"/>
      <c r="Z19" s="292"/>
      <c r="AA19" s="273"/>
      <c r="AB19" s="674"/>
      <c r="AC19" s="537">
        <v>0</v>
      </c>
      <c r="AD19" s="292"/>
      <c r="AE19" s="1806"/>
      <c r="AF19" s="537">
        <v>0</v>
      </c>
      <c r="AG19" s="525"/>
      <c r="AH19" s="269"/>
      <c r="AI19" s="269">
        <f>ROUND(SUM(+AC19-AF19),1)</f>
        <v>0</v>
      </c>
      <c r="AJ19" s="269"/>
      <c r="AK19" s="271">
        <f>ROUND(IF(AF19=0,0,AI19/ABS(AF19)),3)</f>
        <v>0</v>
      </c>
      <c r="AL19" s="1568"/>
      <c r="AM19" s="1568"/>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4"/>
      <c r="AC20" s="269" t="s">
        <v>103</v>
      </c>
      <c r="AD20" s="269"/>
      <c r="AE20" s="530"/>
      <c r="AF20" s="269" t="s">
        <v>103</v>
      </c>
      <c r="AG20" s="525"/>
      <c r="AH20" s="269"/>
      <c r="AI20" s="269"/>
      <c r="AJ20" s="269"/>
      <c r="AK20" s="288"/>
      <c r="AL20" s="1568"/>
      <c r="AM20" s="1568"/>
    </row>
    <row r="21" spans="1:39" ht="15" customHeight="1">
      <c r="A21" s="35"/>
      <c r="B21" s="355" t="s">
        <v>1416</v>
      </c>
      <c r="C21" s="296"/>
      <c r="D21" s="292">
        <v>7.5</v>
      </c>
      <c r="E21" s="273"/>
      <c r="F21" s="292">
        <v>15.899999999999999</v>
      </c>
      <c r="G21" s="292"/>
      <c r="H21" s="292">
        <v>29.4</v>
      </c>
      <c r="I21" s="273"/>
      <c r="J21" s="292">
        <v>3.5</v>
      </c>
      <c r="K21" s="559"/>
      <c r="L21" s="292">
        <v>7.9000000000000057</v>
      </c>
      <c r="M21" s="559"/>
      <c r="N21" s="292">
        <v>4.7999999999999972</v>
      </c>
      <c r="O21" s="559"/>
      <c r="P21" s="292">
        <v>1.7000000000000028</v>
      </c>
      <c r="Q21" s="559"/>
      <c r="R21" s="292">
        <f t="shared" ref="R21:R51" si="0">$AC21-N21-P21-L21-J21-H21-F21-D21</f>
        <v>8.2999999999999972</v>
      </c>
      <c r="S21" s="559"/>
      <c r="T21" s="292"/>
      <c r="U21" s="559"/>
      <c r="V21" s="292"/>
      <c r="W21" s="559"/>
      <c r="X21" s="292"/>
      <c r="Y21" s="559"/>
      <c r="Z21" s="292"/>
      <c r="AA21" s="269"/>
      <c r="AB21" s="529"/>
      <c r="AC21" s="537">
        <v>79</v>
      </c>
      <c r="AD21" s="292"/>
      <c r="AE21" s="1806"/>
      <c r="AF21" s="537">
        <v>74.900000000000006</v>
      </c>
      <c r="AG21" s="525"/>
      <c r="AH21" s="269"/>
      <c r="AI21" s="269">
        <f>ROUND(SUM(+AC21-AF21),1)</f>
        <v>4.0999999999999996</v>
      </c>
      <c r="AJ21" s="269"/>
      <c r="AK21" s="271">
        <f>ROUND(IF(AF21=0,0,AI21/ABS(AF21)),3)</f>
        <v>5.5E-2</v>
      </c>
      <c r="AL21" s="1568"/>
      <c r="AM21" s="1568"/>
    </row>
    <row r="22" spans="1:39" ht="15" customHeight="1">
      <c r="A22" s="35"/>
      <c r="B22" s="355" t="s">
        <v>1417</v>
      </c>
      <c r="C22" s="296"/>
      <c r="D22" s="292">
        <v>0</v>
      </c>
      <c r="E22" s="273"/>
      <c r="F22" s="292">
        <v>0</v>
      </c>
      <c r="G22" s="292"/>
      <c r="H22" s="292">
        <v>0</v>
      </c>
      <c r="I22" s="273"/>
      <c r="J22" s="292">
        <v>0</v>
      </c>
      <c r="K22" s="559"/>
      <c r="L22" s="292">
        <v>0</v>
      </c>
      <c r="M22" s="559"/>
      <c r="N22" s="292">
        <v>0</v>
      </c>
      <c r="O22" s="559"/>
      <c r="P22" s="292">
        <v>0</v>
      </c>
      <c r="Q22" s="559"/>
      <c r="R22" s="292">
        <f t="shared" si="0"/>
        <v>0</v>
      </c>
      <c r="S22" s="559"/>
      <c r="T22" s="292"/>
      <c r="U22" s="559"/>
      <c r="V22" s="292"/>
      <c r="W22" s="559"/>
      <c r="X22" s="292"/>
      <c r="Y22" s="559"/>
      <c r="Z22" s="292"/>
      <c r="AA22" s="269"/>
      <c r="AB22" s="529"/>
      <c r="AC22" s="537">
        <v>0</v>
      </c>
      <c r="AD22" s="292"/>
      <c r="AE22" s="1806"/>
      <c r="AF22" s="537">
        <v>0</v>
      </c>
      <c r="AG22" s="525"/>
      <c r="AH22" s="269"/>
      <c r="AI22" s="269">
        <f t="shared" ref="AI22:AI51" si="1">ROUND(SUM(+AC22-AF22),1)</f>
        <v>0</v>
      </c>
      <c r="AJ22" s="269"/>
      <c r="AK22" s="271">
        <f>ROUND(IF(AF22=0,0,AI22/ABS(AF22)),3)</f>
        <v>0</v>
      </c>
      <c r="AL22" s="1568"/>
      <c r="AM22" s="1568"/>
    </row>
    <row r="23" spans="1:39" ht="15" customHeight="1">
      <c r="A23" s="35"/>
      <c r="B23" s="355" t="s">
        <v>1418</v>
      </c>
      <c r="C23" s="296"/>
      <c r="D23" s="292">
        <v>0</v>
      </c>
      <c r="E23" s="273"/>
      <c r="F23" s="292">
        <v>0</v>
      </c>
      <c r="G23" s="292"/>
      <c r="H23" s="292">
        <v>0</v>
      </c>
      <c r="I23" s="273"/>
      <c r="J23" s="292">
        <v>0</v>
      </c>
      <c r="K23" s="559"/>
      <c r="L23" s="292">
        <v>0</v>
      </c>
      <c r="M23" s="559"/>
      <c r="N23" s="292">
        <v>0</v>
      </c>
      <c r="O23" s="559"/>
      <c r="P23" s="292">
        <v>0</v>
      </c>
      <c r="Q23" s="559"/>
      <c r="R23" s="292">
        <f t="shared" si="0"/>
        <v>0</v>
      </c>
      <c r="S23" s="559"/>
      <c r="T23" s="292"/>
      <c r="U23" s="559"/>
      <c r="V23" s="292"/>
      <c r="W23" s="559"/>
      <c r="X23" s="292"/>
      <c r="Y23" s="559"/>
      <c r="Z23" s="292"/>
      <c r="AA23" s="269"/>
      <c r="AB23" s="529"/>
      <c r="AC23" s="537">
        <v>0</v>
      </c>
      <c r="AD23" s="292"/>
      <c r="AE23" s="1806"/>
      <c r="AF23" s="537">
        <v>0</v>
      </c>
      <c r="AG23" s="525"/>
      <c r="AH23" s="269"/>
      <c r="AI23" s="269">
        <f t="shared" si="1"/>
        <v>0</v>
      </c>
      <c r="AJ23" s="269"/>
      <c r="AK23" s="271">
        <f>ROUND(IF(AF23=0,0,AI23/ABS(AF23)),3)</f>
        <v>0</v>
      </c>
      <c r="AL23" s="1568"/>
      <c r="AM23" s="1568"/>
    </row>
    <row r="24" spans="1:39" ht="15" customHeight="1">
      <c r="A24" s="35"/>
      <c r="B24" s="355" t="s">
        <v>487</v>
      </c>
      <c r="C24" s="296"/>
      <c r="D24" s="292">
        <v>0</v>
      </c>
      <c r="E24" s="273"/>
      <c r="F24" s="292">
        <v>0</v>
      </c>
      <c r="G24" s="292"/>
      <c r="H24" s="292">
        <v>0</v>
      </c>
      <c r="I24" s="273"/>
      <c r="J24" s="292">
        <v>0</v>
      </c>
      <c r="K24" s="559"/>
      <c r="L24" s="292">
        <v>0</v>
      </c>
      <c r="M24" s="559"/>
      <c r="N24" s="292">
        <v>0</v>
      </c>
      <c r="O24" s="559"/>
      <c r="P24" s="292">
        <v>0</v>
      </c>
      <c r="Q24" s="559"/>
      <c r="R24" s="292">
        <f t="shared" si="0"/>
        <v>0</v>
      </c>
      <c r="S24" s="559"/>
      <c r="T24" s="292"/>
      <c r="U24" s="559"/>
      <c r="V24" s="292"/>
      <c r="W24" s="559"/>
      <c r="X24" s="292"/>
      <c r="Y24" s="559"/>
      <c r="Z24" s="292"/>
      <c r="AA24" s="269"/>
      <c r="AB24" s="529"/>
      <c r="AC24" s="537">
        <v>0</v>
      </c>
      <c r="AD24" s="292"/>
      <c r="AE24" s="1806"/>
      <c r="AF24" s="537">
        <v>0</v>
      </c>
      <c r="AG24" s="525"/>
      <c r="AH24" s="269"/>
      <c r="AI24" s="269">
        <f t="shared" si="1"/>
        <v>0</v>
      </c>
      <c r="AJ24" s="269"/>
      <c r="AK24" s="271">
        <f>ROUND(IF(AF24=0,0,AI24/ABS(AF24)),3)</f>
        <v>0</v>
      </c>
      <c r="AL24" s="1568"/>
      <c r="AM24" s="1568"/>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4"/>
      <c r="AC25" s="269" t="s">
        <v>103</v>
      </c>
      <c r="AD25" s="269"/>
      <c r="AE25" s="530"/>
      <c r="AF25" s="269" t="s">
        <v>103</v>
      </c>
      <c r="AG25" s="525"/>
      <c r="AH25" s="269"/>
      <c r="AI25" s="269"/>
      <c r="AJ25" s="269"/>
      <c r="AK25" s="271"/>
      <c r="AL25" s="1568"/>
      <c r="AM25" s="1568"/>
    </row>
    <row r="26" spans="1:39" ht="15" customHeight="1">
      <c r="A26" s="35"/>
      <c r="B26" s="355" t="s">
        <v>1420</v>
      </c>
      <c r="C26" s="296"/>
      <c r="D26" s="292">
        <v>0</v>
      </c>
      <c r="E26" s="273"/>
      <c r="F26" s="292">
        <v>0</v>
      </c>
      <c r="G26" s="292"/>
      <c r="H26" s="292">
        <v>0</v>
      </c>
      <c r="I26" s="273"/>
      <c r="J26" s="292">
        <v>0</v>
      </c>
      <c r="K26" s="559"/>
      <c r="L26" s="292">
        <v>0</v>
      </c>
      <c r="M26" s="559"/>
      <c r="N26" s="292">
        <v>0</v>
      </c>
      <c r="O26" s="559"/>
      <c r="P26" s="292">
        <v>0</v>
      </c>
      <c r="Q26" s="559"/>
      <c r="R26" s="292">
        <f t="shared" si="0"/>
        <v>0</v>
      </c>
      <c r="S26" s="559"/>
      <c r="T26" s="292"/>
      <c r="U26" s="559"/>
      <c r="V26" s="292"/>
      <c r="W26" s="559"/>
      <c r="X26" s="292"/>
      <c r="Y26" s="559"/>
      <c r="Z26" s="292"/>
      <c r="AA26" s="269"/>
      <c r="AB26" s="529"/>
      <c r="AC26" s="537">
        <v>0</v>
      </c>
      <c r="AD26" s="292"/>
      <c r="AE26" s="1806"/>
      <c r="AF26" s="537">
        <v>0</v>
      </c>
      <c r="AG26" s="525"/>
      <c r="AH26" s="269"/>
      <c r="AI26" s="269">
        <f t="shared" si="1"/>
        <v>0</v>
      </c>
      <c r="AJ26" s="269"/>
      <c r="AK26" s="271">
        <f t="shared" ref="AK26:AK32" si="2">ROUND(IF(AF26=0,0,AI26/ABS(AF26)),3)</f>
        <v>0</v>
      </c>
      <c r="AL26" s="1568"/>
      <c r="AM26" s="1568"/>
    </row>
    <row r="27" spans="1:39" ht="15" customHeight="1">
      <c r="A27" s="35"/>
      <c r="B27" s="355" t="s">
        <v>490</v>
      </c>
      <c r="C27" s="296"/>
      <c r="D27" s="292">
        <v>0</v>
      </c>
      <c r="E27" s="273"/>
      <c r="F27" s="292">
        <v>0</v>
      </c>
      <c r="G27" s="292"/>
      <c r="H27" s="292">
        <v>0</v>
      </c>
      <c r="I27" s="273"/>
      <c r="J27" s="292">
        <v>0</v>
      </c>
      <c r="K27" s="559"/>
      <c r="L27" s="292">
        <v>0</v>
      </c>
      <c r="M27" s="559"/>
      <c r="N27" s="292">
        <v>0</v>
      </c>
      <c r="O27" s="559"/>
      <c r="P27" s="292">
        <v>0</v>
      </c>
      <c r="Q27" s="559"/>
      <c r="R27" s="292">
        <f t="shared" si="0"/>
        <v>0</v>
      </c>
      <c r="S27" s="559"/>
      <c r="T27" s="292"/>
      <c r="U27" s="559"/>
      <c r="V27" s="292"/>
      <c r="W27" s="559"/>
      <c r="X27" s="292"/>
      <c r="Y27" s="559"/>
      <c r="Z27" s="292"/>
      <c r="AA27" s="269"/>
      <c r="AB27" s="529"/>
      <c r="AC27" s="537">
        <v>0</v>
      </c>
      <c r="AD27" s="292"/>
      <c r="AE27" s="1806"/>
      <c r="AF27" s="537">
        <v>0</v>
      </c>
      <c r="AG27" s="525"/>
      <c r="AH27" s="269"/>
      <c r="AI27" s="269">
        <f t="shared" si="1"/>
        <v>0</v>
      </c>
      <c r="AJ27" s="269"/>
      <c r="AK27" s="271">
        <f t="shared" si="2"/>
        <v>0</v>
      </c>
      <c r="AL27" s="1568"/>
      <c r="AM27" s="1568"/>
    </row>
    <row r="28" spans="1:39" ht="15" customHeight="1">
      <c r="A28" s="35"/>
      <c r="B28" s="355" t="s">
        <v>491</v>
      </c>
      <c r="C28" s="296"/>
      <c r="D28" s="292">
        <v>0</v>
      </c>
      <c r="E28" s="273"/>
      <c r="F28" s="292">
        <v>0</v>
      </c>
      <c r="G28" s="292"/>
      <c r="H28" s="292">
        <v>0</v>
      </c>
      <c r="I28" s="273"/>
      <c r="J28" s="292">
        <v>0</v>
      </c>
      <c r="K28" s="559"/>
      <c r="L28" s="292">
        <v>0</v>
      </c>
      <c r="M28" s="559"/>
      <c r="N28" s="292">
        <v>0</v>
      </c>
      <c r="O28" s="559"/>
      <c r="P28" s="292">
        <v>0</v>
      </c>
      <c r="Q28" s="559"/>
      <c r="R28" s="292">
        <f t="shared" si="0"/>
        <v>0</v>
      </c>
      <c r="S28" s="559"/>
      <c r="T28" s="292"/>
      <c r="U28" s="559"/>
      <c r="V28" s="292"/>
      <c r="W28" s="559"/>
      <c r="X28" s="292"/>
      <c r="Y28" s="559"/>
      <c r="Z28" s="292"/>
      <c r="AA28" s="269"/>
      <c r="AB28" s="529"/>
      <c r="AC28" s="537">
        <v>0</v>
      </c>
      <c r="AD28" s="292"/>
      <c r="AE28" s="1806"/>
      <c r="AF28" s="537">
        <v>0</v>
      </c>
      <c r="AG28" s="525"/>
      <c r="AH28" s="269"/>
      <c r="AI28" s="269">
        <f t="shared" si="1"/>
        <v>0</v>
      </c>
      <c r="AJ28" s="269"/>
      <c r="AK28" s="271">
        <f t="shared" si="2"/>
        <v>0</v>
      </c>
      <c r="AL28" s="1568"/>
      <c r="AM28" s="1568"/>
    </row>
    <row r="29" spans="1:39" ht="15" customHeight="1">
      <c r="A29" s="35"/>
      <c r="B29" s="355" t="s">
        <v>1421</v>
      </c>
      <c r="C29" s="296"/>
      <c r="D29" s="292">
        <v>0</v>
      </c>
      <c r="E29" s="273"/>
      <c r="F29" s="292">
        <v>0</v>
      </c>
      <c r="G29" s="292"/>
      <c r="H29" s="292">
        <v>0</v>
      </c>
      <c r="I29" s="273"/>
      <c r="J29" s="292">
        <v>0</v>
      </c>
      <c r="K29" s="559"/>
      <c r="L29" s="292">
        <v>0</v>
      </c>
      <c r="M29" s="559"/>
      <c r="N29" s="292">
        <v>0</v>
      </c>
      <c r="O29" s="559"/>
      <c r="P29" s="292">
        <v>0</v>
      </c>
      <c r="Q29" s="559"/>
      <c r="R29" s="292">
        <f t="shared" si="0"/>
        <v>0</v>
      </c>
      <c r="S29" s="559"/>
      <c r="T29" s="292"/>
      <c r="U29" s="559"/>
      <c r="V29" s="292"/>
      <c r="W29" s="559"/>
      <c r="X29" s="292"/>
      <c r="Y29" s="559"/>
      <c r="Z29" s="292"/>
      <c r="AA29" s="269"/>
      <c r="AB29" s="529"/>
      <c r="AC29" s="537">
        <v>0</v>
      </c>
      <c r="AD29" s="292"/>
      <c r="AE29" s="1806"/>
      <c r="AF29" s="537">
        <v>0</v>
      </c>
      <c r="AG29" s="525"/>
      <c r="AH29" s="269"/>
      <c r="AI29" s="269">
        <f t="shared" si="1"/>
        <v>0</v>
      </c>
      <c r="AJ29" s="269"/>
      <c r="AK29" s="271">
        <f t="shared" si="2"/>
        <v>0</v>
      </c>
      <c r="AL29" s="1568"/>
      <c r="AM29" s="1568"/>
    </row>
    <row r="30" spans="1:39" ht="15" customHeight="1">
      <c r="A30" s="35"/>
      <c r="B30" s="355" t="s">
        <v>1422</v>
      </c>
      <c r="C30" s="296"/>
      <c r="D30" s="292">
        <v>0</v>
      </c>
      <c r="E30" s="273"/>
      <c r="F30" s="292">
        <v>0</v>
      </c>
      <c r="G30" s="292"/>
      <c r="H30" s="292">
        <v>0</v>
      </c>
      <c r="I30" s="273"/>
      <c r="J30" s="292">
        <v>0</v>
      </c>
      <c r="K30" s="559"/>
      <c r="L30" s="292">
        <v>0</v>
      </c>
      <c r="M30" s="559"/>
      <c r="N30" s="292">
        <v>0</v>
      </c>
      <c r="O30" s="559"/>
      <c r="P30" s="292">
        <v>0</v>
      </c>
      <c r="Q30" s="559"/>
      <c r="R30" s="292">
        <f t="shared" si="0"/>
        <v>0</v>
      </c>
      <c r="S30" s="559"/>
      <c r="T30" s="292"/>
      <c r="U30" s="559"/>
      <c r="V30" s="292"/>
      <c r="W30" s="559"/>
      <c r="X30" s="292"/>
      <c r="Y30" s="559"/>
      <c r="Z30" s="292"/>
      <c r="AA30" s="269"/>
      <c r="AB30" s="529"/>
      <c r="AC30" s="537">
        <v>0</v>
      </c>
      <c r="AD30" s="292"/>
      <c r="AE30" s="1806"/>
      <c r="AF30" s="537">
        <v>0</v>
      </c>
      <c r="AG30" s="525"/>
      <c r="AH30" s="269"/>
      <c r="AI30" s="269">
        <f t="shared" si="1"/>
        <v>0</v>
      </c>
      <c r="AJ30" s="269"/>
      <c r="AK30" s="271">
        <f t="shared" si="2"/>
        <v>0</v>
      </c>
      <c r="AL30" s="1568"/>
      <c r="AM30" s="1568"/>
    </row>
    <row r="31" spans="1:39" ht="15" customHeight="1">
      <c r="A31" s="35"/>
      <c r="B31" s="355" t="s">
        <v>1423</v>
      </c>
      <c r="C31" s="296"/>
      <c r="D31" s="292">
        <v>1.2</v>
      </c>
      <c r="E31" s="273"/>
      <c r="F31" s="292">
        <v>0.8</v>
      </c>
      <c r="G31" s="292"/>
      <c r="H31" s="292">
        <v>0.79999999999999982</v>
      </c>
      <c r="I31" s="273"/>
      <c r="J31" s="292">
        <v>0.8</v>
      </c>
      <c r="K31" s="559"/>
      <c r="L31" s="292">
        <v>0.60000000000000053</v>
      </c>
      <c r="M31" s="559"/>
      <c r="N31" s="292">
        <v>1.0000000000000002</v>
      </c>
      <c r="O31" s="559"/>
      <c r="P31" s="292">
        <v>1.0000000000000002</v>
      </c>
      <c r="Q31" s="559"/>
      <c r="R31" s="292">
        <f t="shared" si="0"/>
        <v>0.70000000000000018</v>
      </c>
      <c r="S31" s="559"/>
      <c r="T31" s="292"/>
      <c r="U31" s="559"/>
      <c r="V31" s="292"/>
      <c r="W31" s="559"/>
      <c r="X31" s="292"/>
      <c r="Y31" s="559"/>
      <c r="Z31" s="292"/>
      <c r="AA31" s="269"/>
      <c r="AB31" s="529"/>
      <c r="AC31" s="537">
        <v>6.9</v>
      </c>
      <c r="AD31" s="292"/>
      <c r="AE31" s="1806"/>
      <c r="AF31" s="537">
        <v>7.3</v>
      </c>
      <c r="AG31" s="525"/>
      <c r="AH31" s="269"/>
      <c r="AI31" s="269">
        <f>ROUND(SUM(+AC31-AF31),1)</f>
        <v>-0.4</v>
      </c>
      <c r="AJ31" s="269"/>
      <c r="AK31" s="271">
        <f t="shared" si="2"/>
        <v>-5.5E-2</v>
      </c>
      <c r="AL31" s="1568"/>
      <c r="AM31" s="1568"/>
    </row>
    <row r="32" spans="1:39" ht="15" customHeight="1">
      <c r="A32" s="35"/>
      <c r="B32" s="355" t="s">
        <v>1446</v>
      </c>
      <c r="C32" s="296"/>
      <c r="D32" s="292">
        <v>37.200000000000003</v>
      </c>
      <c r="E32" s="273"/>
      <c r="F32" s="292">
        <v>35.399999999999991</v>
      </c>
      <c r="G32" s="292"/>
      <c r="H32" s="292">
        <v>36.300000000000011</v>
      </c>
      <c r="I32" s="273"/>
      <c r="J32" s="292">
        <v>35.900000000000006</v>
      </c>
      <c r="K32" s="559"/>
      <c r="L32" s="292">
        <v>38</v>
      </c>
      <c r="M32" s="559"/>
      <c r="N32" s="292">
        <v>37.099999999999994</v>
      </c>
      <c r="O32" s="559"/>
      <c r="P32" s="292">
        <v>35.199999999999989</v>
      </c>
      <c r="Q32" s="559"/>
      <c r="R32" s="292">
        <f t="shared" si="0"/>
        <v>35.599999999999994</v>
      </c>
      <c r="S32" s="559"/>
      <c r="T32" s="292"/>
      <c r="U32" s="559"/>
      <c r="V32" s="292"/>
      <c r="W32" s="559"/>
      <c r="X32" s="292"/>
      <c r="Y32" s="559"/>
      <c r="Z32" s="292"/>
      <c r="AA32" s="269"/>
      <c r="AB32" s="529"/>
      <c r="AC32" s="537">
        <v>290.7</v>
      </c>
      <c r="AD32" s="292"/>
      <c r="AE32" s="1806"/>
      <c r="AF32" s="537">
        <v>495.8</v>
      </c>
      <c r="AG32" s="525"/>
      <c r="AH32" s="269"/>
      <c r="AI32" s="269">
        <f t="shared" si="1"/>
        <v>-205.1</v>
      </c>
      <c r="AJ32" s="269"/>
      <c r="AK32" s="271">
        <f t="shared" si="2"/>
        <v>-0.41399999999999998</v>
      </c>
      <c r="AL32" s="1568"/>
      <c r="AM32" s="1568"/>
    </row>
    <row r="33" spans="1:39" ht="15" customHeight="1">
      <c r="A33" s="35"/>
      <c r="B33" s="355" t="s">
        <v>1424</v>
      </c>
      <c r="C33" s="296"/>
      <c r="D33" s="292">
        <v>0</v>
      </c>
      <c r="E33" s="273"/>
      <c r="F33" s="292">
        <v>0</v>
      </c>
      <c r="G33" s="292"/>
      <c r="H33" s="292">
        <v>0</v>
      </c>
      <c r="I33" s="273"/>
      <c r="J33" s="292">
        <v>0</v>
      </c>
      <c r="K33" s="559"/>
      <c r="L33" s="292">
        <v>0</v>
      </c>
      <c r="M33" s="559"/>
      <c r="N33" s="292">
        <v>0</v>
      </c>
      <c r="O33" s="559"/>
      <c r="P33" s="292">
        <v>0</v>
      </c>
      <c r="Q33" s="559"/>
      <c r="R33" s="292">
        <f t="shared" si="0"/>
        <v>0</v>
      </c>
      <c r="S33" s="559"/>
      <c r="T33" s="292"/>
      <c r="U33" s="559"/>
      <c r="V33" s="292"/>
      <c r="W33" s="559"/>
      <c r="X33" s="292"/>
      <c r="Y33" s="559"/>
      <c r="Z33" s="292"/>
      <c r="AA33" s="269"/>
      <c r="AB33" s="529"/>
      <c r="AC33" s="537">
        <v>0</v>
      </c>
      <c r="AD33" s="292"/>
      <c r="AE33" s="1806"/>
      <c r="AF33" s="537">
        <v>0</v>
      </c>
      <c r="AG33" s="525"/>
      <c r="AH33" s="269"/>
      <c r="AI33" s="269">
        <f>ROUND(SUM(+AC33-AF33),1)</f>
        <v>0</v>
      </c>
      <c r="AJ33" s="269"/>
      <c r="AK33" s="271">
        <f>ROUND(IF(AF33=0,0,AI33/ABS(AF33)),3)</f>
        <v>0</v>
      </c>
      <c r="AL33" s="1568"/>
      <c r="AM33" s="1568"/>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4"/>
      <c r="AC34" s="269" t="s">
        <v>103</v>
      </c>
      <c r="AD34" s="269"/>
      <c r="AE34" s="530"/>
      <c r="AF34" s="269" t="s">
        <v>103</v>
      </c>
      <c r="AG34" s="525"/>
      <c r="AH34" s="269"/>
      <c r="AI34" s="269"/>
      <c r="AJ34" s="269"/>
      <c r="AK34" s="288"/>
      <c r="AL34" s="1568"/>
      <c r="AM34" s="1568"/>
    </row>
    <row r="35" spans="1:39" ht="15" customHeight="1">
      <c r="A35" s="35"/>
      <c r="B35" s="355" t="s">
        <v>1454</v>
      </c>
      <c r="C35" s="296"/>
      <c r="D35" s="292">
        <v>0</v>
      </c>
      <c r="E35" s="273"/>
      <c r="F35" s="292">
        <v>0</v>
      </c>
      <c r="G35" s="292"/>
      <c r="H35" s="292">
        <v>0</v>
      </c>
      <c r="I35" s="273"/>
      <c r="J35" s="292">
        <v>0</v>
      </c>
      <c r="K35" s="559"/>
      <c r="L35" s="292">
        <v>0</v>
      </c>
      <c r="M35" s="559"/>
      <c r="N35" s="292">
        <v>0</v>
      </c>
      <c r="O35" s="559"/>
      <c r="P35" s="292">
        <v>0</v>
      </c>
      <c r="Q35" s="559"/>
      <c r="R35" s="292">
        <f t="shared" si="0"/>
        <v>0</v>
      </c>
      <c r="S35" s="559"/>
      <c r="T35" s="292"/>
      <c r="U35" s="559"/>
      <c r="V35" s="292"/>
      <c r="W35" s="559"/>
      <c r="X35" s="292"/>
      <c r="Y35" s="559"/>
      <c r="Z35" s="292"/>
      <c r="AA35" s="269"/>
      <c r="AB35" s="529"/>
      <c r="AC35" s="537">
        <v>0</v>
      </c>
      <c r="AD35" s="292"/>
      <c r="AE35" s="1806"/>
      <c r="AF35" s="537">
        <v>0</v>
      </c>
      <c r="AG35" s="525"/>
      <c r="AH35" s="269"/>
      <c r="AI35" s="269">
        <f t="shared" si="1"/>
        <v>0</v>
      </c>
      <c r="AJ35" s="269"/>
      <c r="AK35" s="271">
        <f t="shared" ref="AK35:AK39" si="3">ROUND(IF(AF35=0,0,AI35/ABS(AF35)),3)</f>
        <v>0</v>
      </c>
      <c r="AL35" s="1568"/>
      <c r="AM35" s="1568"/>
    </row>
    <row r="36" spans="1:39" ht="15" customHeight="1">
      <c r="A36" s="35"/>
      <c r="B36" s="355" t="s">
        <v>1447</v>
      </c>
      <c r="C36" s="296"/>
      <c r="D36" s="292">
        <v>0</v>
      </c>
      <c r="E36" s="273"/>
      <c r="F36" s="292">
        <v>0</v>
      </c>
      <c r="G36" s="292"/>
      <c r="H36" s="292">
        <v>0</v>
      </c>
      <c r="I36" s="273"/>
      <c r="J36" s="292">
        <v>0</v>
      </c>
      <c r="K36" s="559"/>
      <c r="L36" s="292">
        <v>0</v>
      </c>
      <c r="M36" s="559"/>
      <c r="N36" s="292">
        <v>0</v>
      </c>
      <c r="O36" s="559"/>
      <c r="P36" s="292">
        <v>0</v>
      </c>
      <c r="Q36" s="559"/>
      <c r="R36" s="292">
        <f t="shared" si="0"/>
        <v>0</v>
      </c>
      <c r="S36" s="559"/>
      <c r="T36" s="292"/>
      <c r="U36" s="559"/>
      <c r="V36" s="292"/>
      <c r="W36" s="559"/>
      <c r="X36" s="292"/>
      <c r="Y36" s="559"/>
      <c r="Z36" s="292"/>
      <c r="AA36" s="269"/>
      <c r="AB36" s="529"/>
      <c r="AC36" s="537">
        <v>0</v>
      </c>
      <c r="AD36" s="292"/>
      <c r="AE36" s="1806"/>
      <c r="AF36" s="537">
        <v>0</v>
      </c>
      <c r="AG36" s="525"/>
      <c r="AH36" s="269"/>
      <c r="AI36" s="269">
        <f t="shared" si="1"/>
        <v>0</v>
      </c>
      <c r="AJ36" s="269"/>
      <c r="AK36" s="271">
        <f t="shared" si="3"/>
        <v>0</v>
      </c>
      <c r="AL36" s="1568"/>
      <c r="AM36" s="1568"/>
    </row>
    <row r="37" spans="1:39" ht="15" customHeight="1">
      <c r="A37" s="35"/>
      <c r="B37" s="355" t="s">
        <v>1425</v>
      </c>
      <c r="C37" s="296"/>
      <c r="D37" s="292">
        <v>0</v>
      </c>
      <c r="E37" s="273"/>
      <c r="F37" s="292">
        <v>0</v>
      </c>
      <c r="G37" s="292"/>
      <c r="H37" s="292">
        <v>0</v>
      </c>
      <c r="I37" s="273"/>
      <c r="J37" s="292">
        <v>0</v>
      </c>
      <c r="K37" s="559"/>
      <c r="L37" s="292">
        <v>0</v>
      </c>
      <c r="M37" s="559"/>
      <c r="N37" s="292">
        <v>0</v>
      </c>
      <c r="O37" s="559"/>
      <c r="P37" s="292">
        <v>0</v>
      </c>
      <c r="Q37" s="559"/>
      <c r="R37" s="292">
        <f t="shared" si="0"/>
        <v>0</v>
      </c>
      <c r="S37" s="559"/>
      <c r="T37" s="292"/>
      <c r="U37" s="559"/>
      <c r="V37" s="292"/>
      <c r="W37" s="559"/>
      <c r="X37" s="292"/>
      <c r="Y37" s="559"/>
      <c r="Z37" s="292"/>
      <c r="AA37" s="269"/>
      <c r="AB37" s="529"/>
      <c r="AC37" s="537">
        <v>0</v>
      </c>
      <c r="AD37" s="292"/>
      <c r="AE37" s="1806"/>
      <c r="AF37" s="537">
        <v>0</v>
      </c>
      <c r="AG37" s="525"/>
      <c r="AH37" s="269"/>
      <c r="AI37" s="269">
        <f t="shared" si="1"/>
        <v>0</v>
      </c>
      <c r="AJ37" s="269"/>
      <c r="AK37" s="271">
        <f t="shared" si="3"/>
        <v>0</v>
      </c>
      <c r="AL37" s="1568"/>
      <c r="AM37" s="1568"/>
    </row>
    <row r="38" spans="1:39" ht="15" customHeight="1">
      <c r="A38" s="35"/>
      <c r="B38" s="355" t="s">
        <v>500</v>
      </c>
      <c r="C38" s="296"/>
      <c r="D38" s="292">
        <v>0</v>
      </c>
      <c r="E38" s="273"/>
      <c r="F38" s="292">
        <v>0</v>
      </c>
      <c r="G38" s="292"/>
      <c r="H38" s="292">
        <v>0</v>
      </c>
      <c r="I38" s="273"/>
      <c r="J38" s="292">
        <v>0</v>
      </c>
      <c r="K38" s="559"/>
      <c r="L38" s="292">
        <v>0</v>
      </c>
      <c r="M38" s="559"/>
      <c r="N38" s="292">
        <v>0</v>
      </c>
      <c r="O38" s="559"/>
      <c r="P38" s="292">
        <v>0</v>
      </c>
      <c r="Q38" s="559"/>
      <c r="R38" s="292">
        <f t="shared" si="0"/>
        <v>0</v>
      </c>
      <c r="S38" s="559"/>
      <c r="T38" s="292"/>
      <c r="U38" s="559"/>
      <c r="V38" s="292"/>
      <c r="W38" s="559"/>
      <c r="X38" s="292"/>
      <c r="Y38" s="559"/>
      <c r="Z38" s="292"/>
      <c r="AA38" s="269"/>
      <c r="AB38" s="529"/>
      <c r="AC38" s="537">
        <v>0</v>
      </c>
      <c r="AD38" s="292"/>
      <c r="AE38" s="1806"/>
      <c r="AF38" s="537">
        <v>0</v>
      </c>
      <c r="AG38" s="525"/>
      <c r="AH38" s="269"/>
      <c r="AI38" s="269">
        <f t="shared" si="1"/>
        <v>0</v>
      </c>
      <c r="AJ38" s="269"/>
      <c r="AK38" s="271">
        <f t="shared" si="3"/>
        <v>0</v>
      </c>
      <c r="AL38" s="1568"/>
      <c r="AM38" s="1568"/>
    </row>
    <row r="39" spans="1:39" ht="15" customHeight="1">
      <c r="A39" s="35"/>
      <c r="B39" s="355" t="s">
        <v>416</v>
      </c>
      <c r="C39" s="296"/>
      <c r="D39" s="292">
        <v>0</v>
      </c>
      <c r="E39" s="273"/>
      <c r="F39" s="292">
        <v>0</v>
      </c>
      <c r="G39" s="292"/>
      <c r="H39" s="292">
        <v>0</v>
      </c>
      <c r="I39" s="273"/>
      <c r="J39" s="292">
        <v>0</v>
      </c>
      <c r="K39" s="559"/>
      <c r="L39" s="292">
        <v>0</v>
      </c>
      <c r="M39" s="559"/>
      <c r="N39" s="292">
        <v>0</v>
      </c>
      <c r="O39" s="559"/>
      <c r="P39" s="292">
        <v>0</v>
      </c>
      <c r="Q39" s="559"/>
      <c r="R39" s="292">
        <f t="shared" si="0"/>
        <v>0</v>
      </c>
      <c r="S39" s="559"/>
      <c r="T39" s="292"/>
      <c r="U39" s="559"/>
      <c r="V39" s="292"/>
      <c r="W39" s="559"/>
      <c r="X39" s="292"/>
      <c r="Y39" s="559"/>
      <c r="Z39" s="292"/>
      <c r="AA39" s="269"/>
      <c r="AB39" s="529"/>
      <c r="AC39" s="537">
        <v>0</v>
      </c>
      <c r="AD39" s="292"/>
      <c r="AE39" s="1806"/>
      <c r="AF39" s="537">
        <v>0</v>
      </c>
      <c r="AG39" s="525"/>
      <c r="AH39" s="269"/>
      <c r="AI39" s="269">
        <f t="shared" si="1"/>
        <v>0</v>
      </c>
      <c r="AJ39" s="269"/>
      <c r="AK39" s="271">
        <f t="shared" si="3"/>
        <v>0</v>
      </c>
      <c r="AL39" s="1568"/>
      <c r="AM39" s="1568"/>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4"/>
      <c r="AC40" s="269" t="s">
        <v>103</v>
      </c>
      <c r="AD40" s="269"/>
      <c r="AE40" s="530"/>
      <c r="AF40" s="269" t="s">
        <v>103</v>
      </c>
      <c r="AG40" s="525"/>
      <c r="AH40" s="269"/>
      <c r="AI40" s="269"/>
      <c r="AJ40" s="269"/>
      <c r="AK40" s="288"/>
      <c r="AL40" s="1568"/>
      <c r="AM40" s="1568"/>
    </row>
    <row r="41" spans="1:39" ht="15" customHeight="1">
      <c r="A41" s="35"/>
      <c r="B41" s="355" t="s">
        <v>1426</v>
      </c>
      <c r="C41" s="296"/>
      <c r="D41" s="292">
        <v>0</v>
      </c>
      <c r="E41" s="273"/>
      <c r="F41" s="292">
        <v>0</v>
      </c>
      <c r="G41" s="292"/>
      <c r="H41" s="292">
        <v>0</v>
      </c>
      <c r="I41" s="273"/>
      <c r="J41" s="292">
        <v>0</v>
      </c>
      <c r="K41" s="559"/>
      <c r="L41" s="292">
        <v>0</v>
      </c>
      <c r="M41" s="559"/>
      <c r="N41" s="292">
        <v>0</v>
      </c>
      <c r="O41" s="559"/>
      <c r="P41" s="292">
        <v>0</v>
      </c>
      <c r="Q41" s="559"/>
      <c r="R41" s="292">
        <f t="shared" si="0"/>
        <v>0</v>
      </c>
      <c r="S41" s="559"/>
      <c r="T41" s="292"/>
      <c r="U41" s="559"/>
      <c r="V41" s="292"/>
      <c r="W41" s="559"/>
      <c r="X41" s="292"/>
      <c r="Y41" s="559"/>
      <c r="Z41" s="292"/>
      <c r="AA41" s="269"/>
      <c r="AB41" s="529"/>
      <c r="AC41" s="537">
        <v>0</v>
      </c>
      <c r="AD41" s="292"/>
      <c r="AE41" s="1806"/>
      <c r="AF41" s="537">
        <v>0</v>
      </c>
      <c r="AG41" s="525"/>
      <c r="AH41" s="269"/>
      <c r="AI41" s="269">
        <f t="shared" si="1"/>
        <v>0</v>
      </c>
      <c r="AJ41" s="269"/>
      <c r="AK41" s="271">
        <f>ROUND(IF(AF41=0,0,AI41/ABS(AF41)),3)</f>
        <v>0</v>
      </c>
      <c r="AL41" s="1568"/>
      <c r="AM41" s="1568"/>
    </row>
    <row r="42" spans="1:39" ht="15" customHeight="1">
      <c r="A42" s="35"/>
      <c r="B42" s="355" t="s">
        <v>502</v>
      </c>
      <c r="C42" s="296"/>
      <c r="D42" s="292">
        <v>0</v>
      </c>
      <c r="E42" s="273"/>
      <c r="F42" s="292">
        <v>0</v>
      </c>
      <c r="G42" s="292"/>
      <c r="H42" s="292">
        <v>0</v>
      </c>
      <c r="I42" s="273"/>
      <c r="J42" s="292">
        <v>0</v>
      </c>
      <c r="K42" s="559"/>
      <c r="L42" s="292">
        <v>0</v>
      </c>
      <c r="M42" s="559"/>
      <c r="N42" s="292">
        <v>0</v>
      </c>
      <c r="O42" s="559"/>
      <c r="P42" s="292">
        <v>0</v>
      </c>
      <c r="Q42" s="559"/>
      <c r="R42" s="292">
        <f t="shared" si="0"/>
        <v>0</v>
      </c>
      <c r="S42" s="559"/>
      <c r="T42" s="292"/>
      <c r="U42" s="559"/>
      <c r="V42" s="292"/>
      <c r="W42" s="559"/>
      <c r="X42" s="292"/>
      <c r="Y42" s="559"/>
      <c r="Z42" s="292"/>
      <c r="AA42" s="269"/>
      <c r="AB42" s="529"/>
      <c r="AC42" s="537">
        <v>0</v>
      </c>
      <c r="AD42" s="292"/>
      <c r="AE42" s="1806"/>
      <c r="AF42" s="537">
        <v>0</v>
      </c>
      <c r="AG42" s="525"/>
      <c r="AH42" s="269"/>
      <c r="AI42" s="269">
        <f t="shared" si="1"/>
        <v>0</v>
      </c>
      <c r="AJ42" s="269"/>
      <c r="AK42" s="271">
        <f t="shared" ref="AK42:AK48" si="4">ROUND(IF(AF42=0,0,AI42/ABS(AF42)),3)</f>
        <v>0</v>
      </c>
      <c r="AL42" s="1568"/>
      <c r="AM42" s="1568"/>
    </row>
    <row r="43" spans="1:39" ht="15" customHeight="1">
      <c r="A43" s="35"/>
      <c r="B43" s="355" t="s">
        <v>1427</v>
      </c>
      <c r="C43" s="296"/>
      <c r="D43" s="292">
        <v>0</v>
      </c>
      <c r="E43" s="273"/>
      <c r="F43" s="292">
        <v>0</v>
      </c>
      <c r="G43" s="292"/>
      <c r="H43" s="292">
        <v>0.2</v>
      </c>
      <c r="I43" s="273"/>
      <c r="J43" s="292">
        <v>9.9999999999999978E-2</v>
      </c>
      <c r="K43" s="559"/>
      <c r="L43" s="292">
        <v>0</v>
      </c>
      <c r="M43" s="559"/>
      <c r="N43" s="292">
        <v>0</v>
      </c>
      <c r="O43" s="559"/>
      <c r="P43" s="292">
        <v>0</v>
      </c>
      <c r="Q43" s="559"/>
      <c r="R43" s="292">
        <f t="shared" si="0"/>
        <v>0</v>
      </c>
      <c r="S43" s="559"/>
      <c r="T43" s="292"/>
      <c r="U43" s="559"/>
      <c r="V43" s="292"/>
      <c r="W43" s="559"/>
      <c r="X43" s="292"/>
      <c r="Y43" s="559"/>
      <c r="Z43" s="292"/>
      <c r="AA43" s="269"/>
      <c r="AB43" s="529"/>
      <c r="AC43" s="537">
        <v>0.3</v>
      </c>
      <c r="AD43" s="292"/>
      <c r="AE43" s="1806"/>
      <c r="AF43" s="537">
        <v>0.4</v>
      </c>
      <c r="AG43" s="525"/>
      <c r="AH43" s="269"/>
      <c r="AI43" s="269">
        <f t="shared" si="1"/>
        <v>-0.1</v>
      </c>
      <c r="AJ43" s="269"/>
      <c r="AK43" s="271">
        <f>ROUND(IF(AF43=0,1,AI43/ABS(AF43)),3)</f>
        <v>-0.25</v>
      </c>
      <c r="AL43" s="1568"/>
      <c r="AM43" s="1568"/>
    </row>
    <row r="44" spans="1:39" ht="15" customHeight="1">
      <c r="A44" s="35"/>
      <c r="B44" s="355" t="s">
        <v>1428</v>
      </c>
      <c r="C44" s="296"/>
      <c r="D44" s="292">
        <v>0</v>
      </c>
      <c r="E44" s="273"/>
      <c r="F44" s="292">
        <v>0</v>
      </c>
      <c r="G44" s="292"/>
      <c r="H44" s="292">
        <v>0</v>
      </c>
      <c r="I44" s="273"/>
      <c r="J44" s="292">
        <v>0</v>
      </c>
      <c r="K44" s="559"/>
      <c r="L44" s="292">
        <v>0</v>
      </c>
      <c r="M44" s="559"/>
      <c r="N44" s="292">
        <v>0</v>
      </c>
      <c r="O44" s="559"/>
      <c r="P44" s="292">
        <v>0</v>
      </c>
      <c r="Q44" s="559"/>
      <c r="R44" s="292">
        <f t="shared" si="0"/>
        <v>0</v>
      </c>
      <c r="S44" s="559"/>
      <c r="T44" s="292"/>
      <c r="U44" s="559"/>
      <c r="V44" s="292"/>
      <c r="W44" s="559"/>
      <c r="X44" s="292"/>
      <c r="Y44" s="559"/>
      <c r="Z44" s="292"/>
      <c r="AA44" s="269"/>
      <c r="AB44" s="529"/>
      <c r="AC44" s="537">
        <v>0</v>
      </c>
      <c r="AD44" s="292"/>
      <c r="AE44" s="1806"/>
      <c r="AF44" s="537">
        <v>0</v>
      </c>
      <c r="AG44" s="525"/>
      <c r="AH44" s="269"/>
      <c r="AI44" s="269">
        <f t="shared" si="1"/>
        <v>0</v>
      </c>
      <c r="AJ44" s="269"/>
      <c r="AK44" s="271">
        <f t="shared" si="4"/>
        <v>0</v>
      </c>
      <c r="AL44" s="1568"/>
      <c r="AM44" s="1568"/>
    </row>
    <row r="45" spans="1:39" ht="15" customHeight="1">
      <c r="A45" s="35"/>
      <c r="B45" s="355" t="s">
        <v>505</v>
      </c>
      <c r="C45" s="296"/>
      <c r="D45" s="292">
        <v>0</v>
      </c>
      <c r="E45" s="273"/>
      <c r="F45" s="292">
        <v>0</v>
      </c>
      <c r="G45" s="292"/>
      <c r="H45" s="292">
        <v>0</v>
      </c>
      <c r="I45" s="273"/>
      <c r="J45" s="292">
        <v>0</v>
      </c>
      <c r="K45" s="559"/>
      <c r="L45" s="292">
        <v>0</v>
      </c>
      <c r="M45" s="559"/>
      <c r="N45" s="292">
        <v>0</v>
      </c>
      <c r="O45" s="559"/>
      <c r="P45" s="292">
        <v>0</v>
      </c>
      <c r="Q45" s="559"/>
      <c r="R45" s="292">
        <f t="shared" si="0"/>
        <v>0</v>
      </c>
      <c r="S45" s="559"/>
      <c r="T45" s="292"/>
      <c r="U45" s="559"/>
      <c r="V45" s="292"/>
      <c r="W45" s="559"/>
      <c r="X45" s="292"/>
      <c r="Y45" s="559"/>
      <c r="Z45" s="292"/>
      <c r="AA45" s="269"/>
      <c r="AB45" s="529"/>
      <c r="AC45" s="537">
        <v>0</v>
      </c>
      <c r="AD45" s="292"/>
      <c r="AE45" s="1806"/>
      <c r="AF45" s="537">
        <v>0</v>
      </c>
      <c r="AG45" s="525"/>
      <c r="AH45" s="269"/>
      <c r="AI45" s="269">
        <f t="shared" si="1"/>
        <v>0</v>
      </c>
      <c r="AJ45" s="269"/>
      <c r="AK45" s="271">
        <f t="shared" si="4"/>
        <v>0</v>
      </c>
      <c r="AL45" s="1568"/>
      <c r="AM45" s="1568"/>
    </row>
    <row r="46" spans="1:39" ht="15" customHeight="1">
      <c r="A46" s="35"/>
      <c r="B46" s="355" t="s">
        <v>1449</v>
      </c>
      <c r="C46" s="296"/>
      <c r="D46" s="292">
        <v>8.8000000000000007</v>
      </c>
      <c r="E46" s="273"/>
      <c r="F46" s="292">
        <v>10</v>
      </c>
      <c r="G46" s="292"/>
      <c r="H46" s="292">
        <v>9.3000000000000007</v>
      </c>
      <c r="I46" s="273"/>
      <c r="J46" s="292">
        <v>9.6000000000000014</v>
      </c>
      <c r="K46" s="559"/>
      <c r="L46" s="292">
        <v>9.0999999999999979</v>
      </c>
      <c r="M46" s="559"/>
      <c r="N46" s="292">
        <v>9.4999999999999929</v>
      </c>
      <c r="O46" s="559"/>
      <c r="P46" s="292">
        <v>0.20000000000000995</v>
      </c>
      <c r="Q46" s="559"/>
      <c r="R46" s="292">
        <f t="shared" si="0"/>
        <v>18.299999999999994</v>
      </c>
      <c r="S46" s="559"/>
      <c r="T46" s="292"/>
      <c r="U46" s="559"/>
      <c r="V46" s="292"/>
      <c r="W46" s="559"/>
      <c r="X46" s="292"/>
      <c r="Y46" s="559"/>
      <c r="Z46" s="292"/>
      <c r="AA46" s="269"/>
      <c r="AB46" s="529"/>
      <c r="AC46" s="537">
        <v>74.8</v>
      </c>
      <c r="AD46" s="292"/>
      <c r="AE46" s="1806"/>
      <c r="AF46" s="537">
        <v>70.2</v>
      </c>
      <c r="AG46" s="525"/>
      <c r="AH46" s="269"/>
      <c r="AI46" s="269">
        <f t="shared" si="1"/>
        <v>4.5999999999999996</v>
      </c>
      <c r="AJ46" s="269"/>
      <c r="AK46" s="271">
        <f t="shared" si="4"/>
        <v>6.6000000000000003E-2</v>
      </c>
      <c r="AL46" s="1568"/>
      <c r="AM46" s="1568"/>
    </row>
    <row r="47" spans="1:39" ht="15" customHeight="1">
      <c r="A47" s="35"/>
      <c r="B47" s="355" t="s">
        <v>1430</v>
      </c>
      <c r="C47" s="296"/>
      <c r="D47" s="292">
        <v>0</v>
      </c>
      <c r="E47" s="273"/>
      <c r="F47" s="292">
        <v>0</v>
      </c>
      <c r="G47" s="292"/>
      <c r="H47" s="292">
        <v>0</v>
      </c>
      <c r="I47" s="273"/>
      <c r="J47" s="292">
        <v>0</v>
      </c>
      <c r="K47" s="559"/>
      <c r="L47" s="292">
        <v>0</v>
      </c>
      <c r="M47" s="559"/>
      <c r="N47" s="292">
        <v>0</v>
      </c>
      <c r="O47" s="559"/>
      <c r="P47" s="292">
        <v>0</v>
      </c>
      <c r="Q47" s="559"/>
      <c r="R47" s="292">
        <f t="shared" si="0"/>
        <v>0</v>
      </c>
      <c r="S47" s="559"/>
      <c r="T47" s="292"/>
      <c r="U47" s="559"/>
      <c r="V47" s="292"/>
      <c r="W47" s="559"/>
      <c r="X47" s="292"/>
      <c r="Y47" s="559"/>
      <c r="Z47" s="292"/>
      <c r="AA47" s="269"/>
      <c r="AB47" s="529"/>
      <c r="AC47" s="537">
        <v>0</v>
      </c>
      <c r="AD47" s="292"/>
      <c r="AE47" s="1806"/>
      <c r="AF47" s="537">
        <v>0</v>
      </c>
      <c r="AG47" s="525"/>
      <c r="AH47" s="269"/>
      <c r="AI47" s="269">
        <f t="shared" si="1"/>
        <v>0</v>
      </c>
      <c r="AJ47" s="269"/>
      <c r="AK47" s="271">
        <f t="shared" si="4"/>
        <v>0</v>
      </c>
      <c r="AL47" s="1568"/>
      <c r="AM47" s="1568"/>
    </row>
    <row r="48" spans="1:39" ht="15" customHeight="1">
      <c r="A48" s="35"/>
      <c r="B48" s="355" t="s">
        <v>1457</v>
      </c>
      <c r="C48" s="296"/>
      <c r="D48" s="292">
        <v>0</v>
      </c>
      <c r="E48" s="273"/>
      <c r="F48" s="292">
        <v>0</v>
      </c>
      <c r="G48" s="292"/>
      <c r="H48" s="292">
        <v>0</v>
      </c>
      <c r="I48" s="273"/>
      <c r="J48" s="292">
        <v>0</v>
      </c>
      <c r="K48" s="559"/>
      <c r="L48" s="292">
        <v>0</v>
      </c>
      <c r="M48" s="559"/>
      <c r="N48" s="292">
        <v>0</v>
      </c>
      <c r="O48" s="559"/>
      <c r="P48" s="292">
        <v>0</v>
      </c>
      <c r="Q48" s="559"/>
      <c r="R48" s="292">
        <f t="shared" si="0"/>
        <v>0</v>
      </c>
      <c r="S48" s="559"/>
      <c r="T48" s="292"/>
      <c r="U48" s="559"/>
      <c r="V48" s="292"/>
      <c r="W48" s="559"/>
      <c r="X48" s="292"/>
      <c r="Y48" s="559"/>
      <c r="Z48" s="292"/>
      <c r="AA48" s="269"/>
      <c r="AB48" s="529"/>
      <c r="AC48" s="537">
        <v>0</v>
      </c>
      <c r="AD48" s="292"/>
      <c r="AE48" s="1806"/>
      <c r="AF48" s="537">
        <v>0</v>
      </c>
      <c r="AG48" s="525"/>
      <c r="AH48" s="269"/>
      <c r="AI48" s="269">
        <f t="shared" si="1"/>
        <v>0</v>
      </c>
      <c r="AJ48" s="269"/>
      <c r="AK48" s="271">
        <f t="shared" si="4"/>
        <v>0</v>
      </c>
      <c r="AL48" s="1568"/>
      <c r="AM48" s="1568"/>
    </row>
    <row r="49" spans="1:39" ht="15" customHeight="1">
      <c r="A49" s="35"/>
      <c r="B49" s="355" t="s">
        <v>508</v>
      </c>
      <c r="C49" s="296"/>
      <c r="D49" s="292">
        <v>0.3</v>
      </c>
      <c r="E49" s="273"/>
      <c r="F49" s="292">
        <v>0.39999999999999997</v>
      </c>
      <c r="G49" s="292"/>
      <c r="H49" s="292">
        <v>0.10000000000000003</v>
      </c>
      <c r="I49" s="273"/>
      <c r="J49" s="292">
        <v>0.5</v>
      </c>
      <c r="K49" s="559"/>
      <c r="L49" s="292">
        <v>0</v>
      </c>
      <c r="M49" s="559"/>
      <c r="N49" s="292">
        <v>9.9999999999999867E-2</v>
      </c>
      <c r="O49" s="559"/>
      <c r="P49" s="292">
        <v>0.40000000000000019</v>
      </c>
      <c r="Q49" s="559"/>
      <c r="R49" s="292">
        <f t="shared" si="0"/>
        <v>0</v>
      </c>
      <c r="S49" s="559"/>
      <c r="T49" s="292"/>
      <c r="U49" s="559"/>
      <c r="V49" s="292"/>
      <c r="W49" s="559"/>
      <c r="X49" s="292"/>
      <c r="Y49" s="559"/>
      <c r="Z49" s="292"/>
      <c r="AA49" s="269"/>
      <c r="AB49" s="529"/>
      <c r="AC49" s="537">
        <v>1.8</v>
      </c>
      <c r="AD49" s="269"/>
      <c r="AE49" s="530"/>
      <c r="AF49" s="537">
        <v>4.3</v>
      </c>
      <c r="AG49" s="525"/>
      <c r="AH49" s="269"/>
      <c r="AI49" s="269">
        <f t="shared" si="1"/>
        <v>-2.5</v>
      </c>
      <c r="AJ49" s="269"/>
      <c r="AK49" s="271">
        <f>ROUND(IF(AF49=0,1,AI49/ABS(AF49)),3)</f>
        <v>-0.58099999999999996</v>
      </c>
      <c r="AL49" s="1568"/>
      <c r="AM49" s="1568"/>
    </row>
    <row r="50" spans="1:39" ht="15" customHeight="1">
      <c r="A50" s="35"/>
      <c r="B50" s="355" t="s">
        <v>427</v>
      </c>
      <c r="C50" s="296"/>
      <c r="D50" s="292">
        <v>0</v>
      </c>
      <c r="E50" s="273"/>
      <c r="F50" s="292">
        <v>0</v>
      </c>
      <c r="G50" s="292"/>
      <c r="H50" s="292">
        <v>0</v>
      </c>
      <c r="I50" s="273"/>
      <c r="J50" s="292">
        <v>0</v>
      </c>
      <c r="K50" s="559"/>
      <c r="L50" s="292">
        <v>0</v>
      </c>
      <c r="M50" s="559"/>
      <c r="N50" s="292">
        <v>0</v>
      </c>
      <c r="O50" s="559"/>
      <c r="P50" s="292">
        <v>0</v>
      </c>
      <c r="Q50" s="559"/>
      <c r="R50" s="292">
        <f t="shared" si="0"/>
        <v>0</v>
      </c>
      <c r="S50" s="559"/>
      <c r="T50" s="292"/>
      <c r="U50" s="559"/>
      <c r="V50" s="292"/>
      <c r="W50" s="559"/>
      <c r="X50" s="292"/>
      <c r="Y50" s="559"/>
      <c r="Z50" s="292"/>
      <c r="AA50" s="269"/>
      <c r="AB50" s="529"/>
      <c r="AC50" s="537">
        <v>0</v>
      </c>
      <c r="AD50" s="269"/>
      <c r="AE50" s="530"/>
      <c r="AF50" s="537">
        <v>0</v>
      </c>
      <c r="AG50" s="525"/>
      <c r="AH50" s="269"/>
      <c r="AI50" s="269">
        <f t="shared" si="1"/>
        <v>0</v>
      </c>
      <c r="AJ50" s="269"/>
      <c r="AK50" s="271">
        <f>ROUND(IF(AF50=0,0,AI50/ABS(AF50)),3)</f>
        <v>0</v>
      </c>
      <c r="AL50" s="1568"/>
      <c r="AM50" s="1568"/>
    </row>
    <row r="51" spans="1:39" ht="15" customHeight="1">
      <c r="A51" s="35"/>
      <c r="B51" s="355" t="s">
        <v>428</v>
      </c>
      <c r="C51" s="296"/>
      <c r="D51" s="292">
        <v>0</v>
      </c>
      <c r="E51" s="273"/>
      <c r="F51" s="292">
        <v>0</v>
      </c>
      <c r="G51" s="292"/>
      <c r="H51" s="292">
        <v>0</v>
      </c>
      <c r="I51" s="273"/>
      <c r="J51" s="292">
        <v>0</v>
      </c>
      <c r="K51" s="559"/>
      <c r="L51" s="292">
        <v>0</v>
      </c>
      <c r="M51" s="559"/>
      <c r="N51" s="292">
        <v>0</v>
      </c>
      <c r="O51" s="559"/>
      <c r="P51" s="292">
        <v>0</v>
      </c>
      <c r="Q51" s="559"/>
      <c r="R51" s="292">
        <f t="shared" si="0"/>
        <v>0</v>
      </c>
      <c r="S51" s="559"/>
      <c r="T51" s="292"/>
      <c r="U51" s="559"/>
      <c r="V51" s="292"/>
      <c r="W51" s="559"/>
      <c r="X51" s="292"/>
      <c r="Y51" s="559"/>
      <c r="Z51" s="292"/>
      <c r="AA51" s="269"/>
      <c r="AB51" s="529"/>
      <c r="AC51" s="537">
        <v>0</v>
      </c>
      <c r="AD51" s="292"/>
      <c r="AE51" s="1806"/>
      <c r="AF51" s="537">
        <v>0</v>
      </c>
      <c r="AG51" s="525"/>
      <c r="AH51" s="269"/>
      <c r="AI51" s="269">
        <f t="shared" si="1"/>
        <v>0</v>
      </c>
      <c r="AJ51" s="269"/>
      <c r="AK51" s="271">
        <f>ROUND(IF(AF51=0,0,AI51/ABS(AF51)),3)</f>
        <v>0</v>
      </c>
      <c r="AL51" s="1568"/>
      <c r="AM51" s="1568"/>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55.6</v>
      </c>
      <c r="M52" s="273"/>
      <c r="N52" s="425">
        <f>ROUND(SUM(N19:N51),1)</f>
        <v>52.5</v>
      </c>
      <c r="O52" s="273"/>
      <c r="P52" s="425">
        <f>ROUND(SUM(P19:P51),1)</f>
        <v>38.5</v>
      </c>
      <c r="Q52" s="273"/>
      <c r="R52" s="425">
        <f>ROUND(SUM(R19:R51),1)</f>
        <v>62.9</v>
      </c>
      <c r="S52" s="18"/>
      <c r="T52" s="425">
        <f>ROUND(SUM(T19:T51),1)</f>
        <v>0</v>
      </c>
      <c r="U52" s="273"/>
      <c r="V52" s="425">
        <f>ROUND(SUM(V19:V51),1)</f>
        <v>0</v>
      </c>
      <c r="W52" s="269"/>
      <c r="X52" s="425">
        <f>ROUND(SUM(X19:X51),1)</f>
        <v>0</v>
      </c>
      <c r="Y52" s="269"/>
      <c r="Z52" s="425">
        <f>ROUND(SUM(Z19:Z51),1)</f>
        <v>0</v>
      </c>
      <c r="AA52" s="273"/>
      <c r="AB52" s="674"/>
      <c r="AC52" s="425">
        <f>ROUND(SUM(AC19:AC51),1)</f>
        <v>453.5</v>
      </c>
      <c r="AD52" s="269"/>
      <c r="AE52" s="530"/>
      <c r="AF52" s="425">
        <f>ROUND(SUM(AF19:AF51),1)</f>
        <v>652.9</v>
      </c>
      <c r="AG52" s="525"/>
      <c r="AH52" s="269"/>
      <c r="AI52" s="425">
        <f>ROUND(SUM(AI19:AI51),1)</f>
        <v>-199.4</v>
      </c>
      <c r="AJ52" s="269"/>
      <c r="AK52" s="1064">
        <f>ROUND(SUM((AC52-AF52)/ABS(AF52)),3)</f>
        <v>-0.30499999999999999</v>
      </c>
      <c r="AL52" s="1568"/>
      <c r="AM52" s="1568"/>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4"/>
      <c r="AC53" s="269"/>
      <c r="AD53" s="269"/>
      <c r="AE53" s="530"/>
      <c r="AF53" s="269"/>
      <c r="AG53" s="525"/>
      <c r="AH53" s="269"/>
      <c r="AI53" s="269"/>
      <c r="AJ53" s="269"/>
      <c r="AK53" s="288"/>
      <c r="AL53" s="1568"/>
      <c r="AM53" s="1568"/>
    </row>
    <row r="54" spans="1:39" ht="15" customHeight="1">
      <c r="A54" s="35"/>
      <c r="B54" s="1051" t="s">
        <v>510</v>
      </c>
      <c r="C54" s="296"/>
      <c r="D54" s="292">
        <v>10312.799999999999</v>
      </c>
      <c r="E54" s="273"/>
      <c r="F54" s="292">
        <v>6665.2999999999993</v>
      </c>
      <c r="G54" s="292"/>
      <c r="H54" s="292">
        <v>7597.5</v>
      </c>
      <c r="I54" s="273"/>
      <c r="J54" s="292">
        <v>8620.9000000000015</v>
      </c>
      <c r="K54" s="559"/>
      <c r="L54" s="292">
        <v>8912.0999999999985</v>
      </c>
      <c r="M54" s="559"/>
      <c r="N54" s="292">
        <v>7067.2000000000044</v>
      </c>
      <c r="O54" s="559"/>
      <c r="P54" s="292">
        <v>9245</v>
      </c>
      <c r="Q54" s="559"/>
      <c r="R54" s="292">
        <f>$AC54-N54-P54-L54-J54-H54-F54-D54</f>
        <v>7678.8999999999942</v>
      </c>
      <c r="S54" s="559"/>
      <c r="T54" s="292"/>
      <c r="U54" s="559"/>
      <c r="V54" s="292"/>
      <c r="W54" s="559"/>
      <c r="X54" s="292"/>
      <c r="Y54" s="559"/>
      <c r="Z54" s="292"/>
      <c r="AA54" s="269"/>
      <c r="AB54" s="529"/>
      <c r="AC54" s="537">
        <v>66099.7</v>
      </c>
      <c r="AD54" s="292"/>
      <c r="AE54" s="1806"/>
      <c r="AF54" s="537">
        <v>62939.7</v>
      </c>
      <c r="AG54" s="525"/>
      <c r="AH54" s="269"/>
      <c r="AI54" s="269">
        <f>ROUND(SUM(+AC54-AF54),1)</f>
        <v>3160</v>
      </c>
      <c r="AJ54" s="269"/>
      <c r="AK54" s="540">
        <f>ROUND(SUM((AC54-AF54)/ABS(AF54)),3)</f>
        <v>0.05</v>
      </c>
      <c r="AL54" s="1568"/>
      <c r="AM54" s="1568"/>
    </row>
    <row r="55" spans="1:39" ht="15" customHeight="1">
      <c r="A55" s="35"/>
      <c r="B55" s="296"/>
      <c r="C55" s="296"/>
      <c r="D55" s="1045"/>
      <c r="E55" s="273"/>
      <c r="F55" s="1045"/>
      <c r="G55" s="273"/>
      <c r="H55" s="1045"/>
      <c r="I55" s="273"/>
      <c r="J55" s="1045"/>
      <c r="K55" s="273"/>
      <c r="L55" s="1045"/>
      <c r="M55" s="273"/>
      <c r="N55" s="1045"/>
      <c r="O55" s="273"/>
      <c r="P55" s="1045"/>
      <c r="Q55" s="273"/>
      <c r="R55" s="1045"/>
      <c r="S55" s="273"/>
      <c r="T55" s="622"/>
      <c r="U55" s="273"/>
      <c r="V55" s="622"/>
      <c r="W55" s="269"/>
      <c r="X55" s="622"/>
      <c r="Y55" s="269"/>
      <c r="Z55" s="622"/>
      <c r="AA55" s="273"/>
      <c r="AB55" s="674"/>
      <c r="AC55" s="622"/>
      <c r="AD55" s="269"/>
      <c r="AE55" s="530"/>
      <c r="AF55" s="622"/>
      <c r="AG55" s="525"/>
      <c r="AH55" s="269"/>
      <c r="AI55" s="1065"/>
      <c r="AJ55" s="536"/>
      <c r="AK55" s="541"/>
      <c r="AL55" s="1568"/>
      <c r="AM55" s="1568"/>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9283.5</v>
      </c>
      <c r="Q56" s="40"/>
      <c r="R56" s="13">
        <f>ROUND(SUM(+R52+R54),2)</f>
        <v>7741.8</v>
      </c>
      <c r="S56" s="13"/>
      <c r="T56" s="13">
        <f>ROUND(SUM(+T52+T54),2)</f>
        <v>0</v>
      </c>
      <c r="U56" s="40"/>
      <c r="V56" s="13">
        <f>ROUND(SUM(+V52+V54),2)</f>
        <v>0</v>
      </c>
      <c r="W56" s="13"/>
      <c r="X56" s="13">
        <f>ROUND(SUM(+X52+X54),2)</f>
        <v>0</v>
      </c>
      <c r="Y56" s="13"/>
      <c r="Z56" s="13">
        <f>ROUND(SUM(+Z52+Z54),2)</f>
        <v>0</v>
      </c>
      <c r="AA56" s="40"/>
      <c r="AB56" s="675"/>
      <c r="AC56" s="13">
        <f>ROUND(SUM(+AC52+AC54),2)</f>
        <v>66553.2</v>
      </c>
      <c r="AD56" s="13"/>
      <c r="AE56" s="676"/>
      <c r="AF56" s="13">
        <f>ROUND(SUM(+AF52+AF54),2)</f>
        <v>63592.6</v>
      </c>
      <c r="AG56" s="78"/>
      <c r="AH56" s="13"/>
      <c r="AI56" s="362">
        <f>ROUND(SUM(+AI52+AI54),1)</f>
        <v>2960.6</v>
      </c>
      <c r="AJ56" s="79"/>
      <c r="AK56" s="542">
        <f>ROUND(SUM((AC56-AF56)/ABS(AF56)),3)</f>
        <v>4.7E-2</v>
      </c>
      <c r="AL56" s="1568"/>
      <c r="AM56" s="1568"/>
    </row>
    <row r="57" spans="1:39" ht="15" customHeight="1">
      <c r="A57" s="35"/>
      <c r="B57" s="296"/>
      <c r="C57" s="296"/>
      <c r="D57" s="1045"/>
      <c r="E57" s="273"/>
      <c r="F57" s="622"/>
      <c r="G57" s="273"/>
      <c r="H57" s="622"/>
      <c r="I57" s="273"/>
      <c r="J57" s="622"/>
      <c r="K57" s="273"/>
      <c r="L57" s="622"/>
      <c r="M57" s="273"/>
      <c r="N57" s="622"/>
      <c r="O57" s="273"/>
      <c r="P57" s="622"/>
      <c r="Q57" s="273"/>
      <c r="R57" s="622"/>
      <c r="S57" s="273"/>
      <c r="T57" s="622"/>
      <c r="U57" s="273"/>
      <c r="V57" s="622"/>
      <c r="W57" s="269"/>
      <c r="X57" s="622"/>
      <c r="Y57" s="269"/>
      <c r="Z57" s="622"/>
      <c r="AA57" s="273"/>
      <c r="AB57" s="674"/>
      <c r="AC57" s="1045"/>
      <c r="AD57" s="273"/>
      <c r="AE57" s="1063"/>
      <c r="AF57" s="1045"/>
      <c r="AG57" s="1247"/>
      <c r="AH57" s="369"/>
      <c r="AI57" s="536"/>
      <c r="AJ57" s="536"/>
      <c r="AK57" s="541"/>
      <c r="AL57" s="1568"/>
      <c r="AM57" s="1568"/>
    </row>
    <row r="58" spans="1:39" ht="15" customHeight="1">
      <c r="A58" s="35"/>
      <c r="B58" s="1235"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4"/>
      <c r="AC58" s="273"/>
      <c r="AD58" s="273"/>
      <c r="AE58" s="1063"/>
      <c r="AF58" s="273"/>
      <c r="AG58" s="1247"/>
      <c r="AH58" s="369"/>
      <c r="AI58" s="536"/>
      <c r="AJ58" s="536"/>
      <c r="AK58" s="541"/>
      <c r="AL58" s="1568"/>
      <c r="AM58" s="1568"/>
    </row>
    <row r="59" spans="1:39" ht="15" customHeight="1">
      <c r="A59" s="35"/>
      <c r="B59" s="296" t="s">
        <v>454</v>
      </c>
      <c r="C59" s="296"/>
      <c r="D59" s="292"/>
      <c r="E59" s="273"/>
      <c r="F59" s="292"/>
      <c r="G59" s="273"/>
      <c r="H59" s="292"/>
      <c r="I59" s="273"/>
      <c r="J59" s="292"/>
      <c r="K59" s="273"/>
      <c r="L59" s="292"/>
      <c r="M59" s="273"/>
      <c r="N59" s="292"/>
      <c r="O59" s="273"/>
      <c r="P59" s="1296"/>
      <c r="Q59" s="273"/>
      <c r="R59" s="292"/>
      <c r="S59" s="273"/>
      <c r="T59" s="292"/>
      <c r="U59" s="273"/>
      <c r="V59" s="269"/>
      <c r="W59" s="269"/>
      <c r="X59" s="269"/>
      <c r="Y59" s="269"/>
      <c r="Z59" s="269"/>
      <c r="AA59" s="273"/>
      <c r="AB59" s="674"/>
      <c r="AC59" s="273"/>
      <c r="AD59" s="273"/>
      <c r="AE59" s="1063"/>
      <c r="AF59" s="273"/>
      <c r="AG59" s="1247"/>
      <c r="AH59" s="369"/>
      <c r="AI59" s="389"/>
      <c r="AJ59" s="536"/>
      <c r="AK59" s="541"/>
      <c r="AL59" s="1568"/>
      <c r="AM59" s="1568"/>
    </row>
    <row r="60" spans="1:39" s="1136" customFormat="1" ht="15" customHeight="1">
      <c r="A60" s="1133"/>
      <c r="B60" s="1244" t="s">
        <v>124</v>
      </c>
      <c r="C60" s="1220"/>
      <c r="D60" s="292">
        <v>689.2</v>
      </c>
      <c r="E60" s="1245"/>
      <c r="F60" s="292">
        <v>413.5</v>
      </c>
      <c r="G60" s="1214"/>
      <c r="H60" s="292">
        <v>362.20000000000005</v>
      </c>
      <c r="I60" s="1149"/>
      <c r="J60" s="292">
        <v>267</v>
      </c>
      <c r="K60" s="1134"/>
      <c r="L60" s="292">
        <v>145.39999999999986</v>
      </c>
      <c r="M60" s="1134"/>
      <c r="N60" s="292">
        <v>192.60000000000014</v>
      </c>
      <c r="O60" s="1142"/>
      <c r="P60" s="292">
        <v>210.19999999999959</v>
      </c>
      <c r="Q60" s="1134"/>
      <c r="R60" s="292">
        <f>$AC60-N60-P60-L60-J60-H60-F60-D60</f>
        <v>180.89999999999986</v>
      </c>
      <c r="S60" s="1134"/>
      <c r="T60" s="292"/>
      <c r="U60" s="1134"/>
      <c r="V60" s="292"/>
      <c r="W60" s="1134"/>
      <c r="X60" s="292"/>
      <c r="Y60" s="1134"/>
      <c r="Z60" s="292"/>
      <c r="AA60" s="617"/>
      <c r="AB60" s="1141"/>
      <c r="AC60" s="537">
        <v>2461</v>
      </c>
      <c r="AD60" s="292"/>
      <c r="AE60" s="1806"/>
      <c r="AF60" s="537">
        <v>6245.1</v>
      </c>
      <c r="AG60" s="1230"/>
      <c r="AH60" s="1212"/>
      <c r="AI60" s="1212">
        <f>ROUND(SUM(+AC60-AF60),1)</f>
        <v>-3784.1</v>
      </c>
      <c r="AJ60" s="1212"/>
      <c r="AK60" s="1210">
        <f>ROUND(IF(AF60=0,0,AI60/ABS(AF60)),3)</f>
        <v>-0.60599999999999998</v>
      </c>
      <c r="AL60" s="1568"/>
      <c r="AM60" s="1568"/>
    </row>
    <row r="61" spans="1:39" ht="15" customHeight="1">
      <c r="A61" s="35"/>
      <c r="B61" s="390" t="s">
        <v>125</v>
      </c>
      <c r="C61" s="296"/>
      <c r="D61" s="292">
        <v>0.2</v>
      </c>
      <c r="E61" s="273"/>
      <c r="F61" s="292">
        <v>0</v>
      </c>
      <c r="G61" s="292"/>
      <c r="H61" s="292">
        <v>9.9999999999999978E-2</v>
      </c>
      <c r="I61" s="273"/>
      <c r="J61" s="292">
        <v>0</v>
      </c>
      <c r="K61" s="559"/>
      <c r="L61" s="292">
        <v>0.10000000000000003</v>
      </c>
      <c r="M61" s="559"/>
      <c r="N61" s="292">
        <v>9.9999999999999978E-2</v>
      </c>
      <c r="O61" s="559"/>
      <c r="P61" s="292">
        <v>1.9999999999999998</v>
      </c>
      <c r="Q61" s="559"/>
      <c r="R61" s="292">
        <f t="shared" ref="R61:R69" si="5">$AC61-N61-P61-L61-J61-H61-F61-D61</f>
        <v>0.39999999999999997</v>
      </c>
      <c r="S61" s="559"/>
      <c r="T61" s="292"/>
      <c r="U61" s="559"/>
      <c r="V61" s="292"/>
      <c r="W61" s="559"/>
      <c r="X61" s="292"/>
      <c r="Y61" s="559"/>
      <c r="Z61" s="292"/>
      <c r="AA61" s="269"/>
      <c r="AB61" s="529"/>
      <c r="AC61" s="537">
        <v>2.9</v>
      </c>
      <c r="AD61" s="292"/>
      <c r="AE61" s="1806"/>
      <c r="AF61" s="537">
        <v>2.2999999999999998</v>
      </c>
      <c r="AG61" s="525"/>
      <c r="AH61" s="269"/>
      <c r="AI61" s="269">
        <f>ROUND(SUM(+AC61-AF61),1)</f>
        <v>0.6</v>
      </c>
      <c r="AJ61" s="269"/>
      <c r="AK61" s="614">
        <f>ROUND(IF(AF61=0,1,AI61/ABS(AF61)),3)</f>
        <v>0.26100000000000001</v>
      </c>
      <c r="AL61" s="1568"/>
      <c r="AM61" s="1568"/>
    </row>
    <row r="62" spans="1:39" ht="15" customHeight="1">
      <c r="A62" s="35"/>
      <c r="B62" s="390" t="s">
        <v>126</v>
      </c>
      <c r="C62" s="296"/>
      <c r="D62" s="292">
        <v>1.5999999999999999</v>
      </c>
      <c r="E62" s="273"/>
      <c r="F62" s="292">
        <v>1.6000000000000003</v>
      </c>
      <c r="G62" s="292"/>
      <c r="H62" s="292">
        <v>4.7</v>
      </c>
      <c r="I62" s="273"/>
      <c r="J62" s="292">
        <v>1.5999999999999994</v>
      </c>
      <c r="K62" s="559"/>
      <c r="L62" s="292">
        <v>3.3000000000000016</v>
      </c>
      <c r="M62" s="559"/>
      <c r="N62" s="292">
        <v>10.600000000000001</v>
      </c>
      <c r="O62" s="559"/>
      <c r="P62" s="292">
        <v>0.39999999999999858</v>
      </c>
      <c r="Q62" s="559"/>
      <c r="R62" s="292">
        <f t="shared" si="5"/>
        <v>1.1999999999999991</v>
      </c>
      <c r="S62" s="559"/>
      <c r="T62" s="292"/>
      <c r="U62" s="559"/>
      <c r="V62" s="292"/>
      <c r="W62" s="559"/>
      <c r="X62" s="292"/>
      <c r="Y62" s="559"/>
      <c r="Z62" s="292"/>
      <c r="AA62" s="269"/>
      <c r="AB62" s="529"/>
      <c r="AC62" s="537">
        <v>25</v>
      </c>
      <c r="AD62" s="292"/>
      <c r="AE62" s="1806"/>
      <c r="AF62" s="537">
        <v>26.5</v>
      </c>
      <c r="AG62" s="525"/>
      <c r="AH62" s="269"/>
      <c r="AI62" s="269">
        <f>ROUND(SUM(+AC62-AF62),1)</f>
        <v>-1.5</v>
      </c>
      <c r="AJ62" s="269"/>
      <c r="AK62" s="271">
        <f>ROUND(IF(AF62=0,0,AI62/ABS(AF62)),3)</f>
        <v>-5.7000000000000002E-2</v>
      </c>
      <c r="AL62" s="1568"/>
      <c r="AM62" s="1568"/>
    </row>
    <row r="63" spans="1:39" ht="15" customHeight="1">
      <c r="A63" s="35"/>
      <c r="B63" s="390" t="s">
        <v>127</v>
      </c>
      <c r="C63" s="296"/>
      <c r="D63" s="292" t="s">
        <v>103</v>
      </c>
      <c r="E63" s="273"/>
      <c r="F63" s="292" t="s">
        <v>103</v>
      </c>
      <c r="G63" s="292"/>
      <c r="H63" s="292" t="s">
        <v>103</v>
      </c>
      <c r="I63" s="273" t="s">
        <v>103</v>
      </c>
      <c r="J63" s="292" t="s">
        <v>103</v>
      </c>
      <c r="K63" s="559" t="s">
        <v>103</v>
      </c>
      <c r="L63" s="292" t="s">
        <v>103</v>
      </c>
      <c r="M63" s="559"/>
      <c r="N63" s="292"/>
      <c r="O63" s="559"/>
      <c r="P63" s="292"/>
      <c r="Q63" s="559"/>
      <c r="R63" s="292"/>
      <c r="S63" s="559"/>
      <c r="T63" s="292"/>
      <c r="U63" s="559"/>
      <c r="V63" s="292"/>
      <c r="W63" s="559"/>
      <c r="X63" s="292"/>
      <c r="Y63" s="559"/>
      <c r="Z63" s="292"/>
      <c r="AA63" s="269"/>
      <c r="AB63" s="529"/>
      <c r="AC63" s="518"/>
      <c r="AD63" s="292"/>
      <c r="AE63" s="1806"/>
      <c r="AF63" s="518"/>
      <c r="AG63" s="525"/>
      <c r="AH63" s="269"/>
      <c r="AI63" s="292"/>
      <c r="AJ63" s="389"/>
      <c r="AK63" s="541"/>
      <c r="AL63" s="1568"/>
      <c r="AM63" s="1568"/>
    </row>
    <row r="64" spans="1:39" ht="15" customHeight="1">
      <c r="A64" s="35"/>
      <c r="B64" s="1043" t="s">
        <v>128</v>
      </c>
      <c r="C64" s="296"/>
      <c r="D64" s="292">
        <v>4905.8</v>
      </c>
      <c r="E64" s="273"/>
      <c r="F64" s="292">
        <v>4726.0999999999995</v>
      </c>
      <c r="G64" s="292"/>
      <c r="H64" s="292">
        <v>4351.9000000000005</v>
      </c>
      <c r="I64" s="273"/>
      <c r="J64" s="292">
        <v>4971.7999999999984</v>
      </c>
      <c r="K64" s="559"/>
      <c r="L64" s="292">
        <v>4786.7</v>
      </c>
      <c r="M64" s="559"/>
      <c r="N64" s="292">
        <v>3879.7999999999984</v>
      </c>
      <c r="O64" s="559"/>
      <c r="P64" s="292">
        <v>6314.5999999999976</v>
      </c>
      <c r="Q64" s="559"/>
      <c r="R64" s="292">
        <f t="shared" si="5"/>
        <v>5310.8000000000056</v>
      </c>
      <c r="S64" s="559"/>
      <c r="T64" s="292"/>
      <c r="U64" s="559"/>
      <c r="V64" s="292"/>
      <c r="W64" s="559"/>
      <c r="X64" s="292"/>
      <c r="Y64" s="559"/>
      <c r="Z64" s="292"/>
      <c r="AA64" s="269"/>
      <c r="AB64" s="529"/>
      <c r="AC64" s="537">
        <v>39247.5</v>
      </c>
      <c r="AD64" s="292"/>
      <c r="AE64" s="1806"/>
      <c r="AF64" s="537">
        <v>35015.1</v>
      </c>
      <c r="AG64" s="525"/>
      <c r="AH64" s="269"/>
      <c r="AI64" s="269">
        <f t="shared" ref="AI64:AI69" si="6">ROUND(SUM(+AC64-AF64),1)</f>
        <v>4232.3999999999996</v>
      </c>
      <c r="AJ64" s="269"/>
      <c r="AK64" s="271">
        <f t="shared" ref="AK64:AK69" si="7">ROUND(IF(AF64=0,0,AI64/ABS(AF64)),3)</f>
        <v>0.121</v>
      </c>
      <c r="AL64" s="1568"/>
      <c r="AM64" s="1568"/>
    </row>
    <row r="65" spans="1:39" ht="15" customHeight="1">
      <c r="A65" s="35"/>
      <c r="B65" s="390" t="s">
        <v>129</v>
      </c>
      <c r="C65" s="296"/>
      <c r="D65" s="292">
        <v>1343.9</v>
      </c>
      <c r="E65" s="273"/>
      <c r="F65" s="292">
        <v>1377.5</v>
      </c>
      <c r="G65" s="292"/>
      <c r="H65" s="292">
        <v>1615.7000000000003</v>
      </c>
      <c r="I65" s="273"/>
      <c r="J65" s="292">
        <v>1382.2999999999993</v>
      </c>
      <c r="K65" s="559"/>
      <c r="L65" s="292">
        <v>1461.900000000001</v>
      </c>
      <c r="M65" s="559"/>
      <c r="N65" s="292">
        <v>1627.3999999999992</v>
      </c>
      <c r="O65" s="559"/>
      <c r="P65" s="292">
        <v>1005.1999999999989</v>
      </c>
      <c r="Q65" s="559"/>
      <c r="R65" s="292">
        <f t="shared" si="5"/>
        <v>1319.8000000000011</v>
      </c>
      <c r="S65" s="559"/>
      <c r="T65" s="292"/>
      <c r="U65" s="559"/>
      <c r="V65" s="292"/>
      <c r="W65" s="559"/>
      <c r="X65" s="292"/>
      <c r="Y65" s="559"/>
      <c r="Z65" s="292"/>
      <c r="AA65" s="269"/>
      <c r="AB65" s="529"/>
      <c r="AC65" s="537">
        <v>11133.7</v>
      </c>
      <c r="AD65" s="292"/>
      <c r="AE65" s="1806"/>
      <c r="AF65" s="537">
        <v>10163.1</v>
      </c>
      <c r="AG65" s="525"/>
      <c r="AH65" s="269"/>
      <c r="AI65" s="269">
        <f t="shared" si="6"/>
        <v>970.6</v>
      </c>
      <c r="AJ65" s="269"/>
      <c r="AK65" s="271">
        <f t="shared" si="7"/>
        <v>9.6000000000000002E-2</v>
      </c>
      <c r="AL65" s="1568"/>
      <c r="AM65" s="1568"/>
    </row>
    <row r="66" spans="1:39" ht="15" customHeight="1">
      <c r="A66" s="35"/>
      <c r="B66" s="390" t="s">
        <v>130</v>
      </c>
      <c r="C66" s="296"/>
      <c r="D66" s="292">
        <v>149.80000000000001</v>
      </c>
      <c r="E66" s="273"/>
      <c r="F66" s="292">
        <v>494.7</v>
      </c>
      <c r="G66" s="292"/>
      <c r="H66" s="292">
        <v>472.7000000000001</v>
      </c>
      <c r="I66" s="273"/>
      <c r="J66" s="292">
        <v>478.09999999999985</v>
      </c>
      <c r="K66" s="559"/>
      <c r="L66" s="292">
        <v>263</v>
      </c>
      <c r="M66" s="559"/>
      <c r="N66" s="292">
        <v>167.60000000000014</v>
      </c>
      <c r="O66" s="559"/>
      <c r="P66" s="292">
        <v>102.09999999999991</v>
      </c>
      <c r="Q66" s="559"/>
      <c r="R66" s="292">
        <f t="shared" si="5"/>
        <v>275.10000000000014</v>
      </c>
      <c r="S66" s="559"/>
      <c r="T66" s="292"/>
      <c r="U66" s="559"/>
      <c r="V66" s="292"/>
      <c r="W66" s="559"/>
      <c r="X66" s="292"/>
      <c r="Y66" s="559"/>
      <c r="Z66" s="292"/>
      <c r="AA66" s="269"/>
      <c r="AB66" s="529"/>
      <c r="AC66" s="537">
        <v>2403.1</v>
      </c>
      <c r="AD66" s="292"/>
      <c r="AE66" s="1806"/>
      <c r="AF66" s="537">
        <v>1667</v>
      </c>
      <c r="AG66" s="525"/>
      <c r="AH66" s="269"/>
      <c r="AI66" s="269">
        <f t="shared" si="6"/>
        <v>736.1</v>
      </c>
      <c r="AJ66" s="269"/>
      <c r="AK66" s="548">
        <f t="shared" si="7"/>
        <v>0.442</v>
      </c>
      <c r="AL66" s="1568"/>
      <c r="AM66" s="1568"/>
    </row>
    <row r="67" spans="1:39" ht="15" customHeight="1">
      <c r="A67" s="35"/>
      <c r="B67" s="390" t="s">
        <v>131</v>
      </c>
      <c r="C67" s="296"/>
      <c r="D67" s="292">
        <v>411</v>
      </c>
      <c r="E67" s="273"/>
      <c r="F67" s="292">
        <v>247</v>
      </c>
      <c r="G67" s="292"/>
      <c r="H67" s="292">
        <v>1229.9000000000001</v>
      </c>
      <c r="I67" s="273"/>
      <c r="J67" s="292">
        <v>422.90000000000009</v>
      </c>
      <c r="K67" s="559"/>
      <c r="L67" s="292">
        <v>400.79999999999973</v>
      </c>
      <c r="M67" s="559"/>
      <c r="N67" s="292">
        <v>823.20000000000027</v>
      </c>
      <c r="O67" s="559"/>
      <c r="P67" s="292">
        <v>547.39999999999964</v>
      </c>
      <c r="Q67" s="559"/>
      <c r="R67" s="292">
        <f t="shared" si="5"/>
        <v>262.30000000000018</v>
      </c>
      <c r="S67" s="559"/>
      <c r="T67" s="292"/>
      <c r="U67" s="559"/>
      <c r="V67" s="292"/>
      <c r="W67" s="559"/>
      <c r="X67" s="292"/>
      <c r="Y67" s="559"/>
      <c r="Z67" s="292"/>
      <c r="AA67" s="269"/>
      <c r="AB67" s="529"/>
      <c r="AC67" s="537">
        <v>4344.5</v>
      </c>
      <c r="AD67" s="292"/>
      <c r="AE67" s="1806"/>
      <c r="AF67" s="537">
        <v>4374.8999999999996</v>
      </c>
      <c r="AG67" s="525"/>
      <c r="AH67" s="269"/>
      <c r="AI67" s="269">
        <f t="shared" si="6"/>
        <v>-30.4</v>
      </c>
      <c r="AJ67" s="269"/>
      <c r="AK67" s="271">
        <f t="shared" si="7"/>
        <v>-7.0000000000000001E-3</v>
      </c>
      <c r="AL67" s="1568"/>
      <c r="AM67" s="1568"/>
    </row>
    <row r="68" spans="1:39" ht="15" customHeight="1">
      <c r="A68" s="35"/>
      <c r="B68" s="390" t="s">
        <v>132</v>
      </c>
      <c r="C68" s="296"/>
      <c r="D68" s="292">
        <v>0.3</v>
      </c>
      <c r="E68" s="273"/>
      <c r="F68" s="292">
        <v>0.5</v>
      </c>
      <c r="G68" s="292"/>
      <c r="H68" s="292">
        <v>2</v>
      </c>
      <c r="I68" s="273"/>
      <c r="J68" s="292">
        <v>173.6</v>
      </c>
      <c r="K68" s="559"/>
      <c r="L68" s="292">
        <v>0.90000000000001701</v>
      </c>
      <c r="M68" s="559"/>
      <c r="N68" s="292">
        <v>0.59999999999999409</v>
      </c>
      <c r="O68" s="559"/>
      <c r="P68" s="292">
        <v>0.2</v>
      </c>
      <c r="Q68" s="559"/>
      <c r="R68" s="292">
        <f t="shared" si="5"/>
        <v>0.60000000000000564</v>
      </c>
      <c r="S68" s="559"/>
      <c r="T68" s="292"/>
      <c r="U68" s="559"/>
      <c r="V68" s="292"/>
      <c r="W68" s="559"/>
      <c r="X68" s="292"/>
      <c r="Y68" s="559"/>
      <c r="Z68" s="292"/>
      <c r="AA68" s="269"/>
      <c r="AB68" s="529"/>
      <c r="AC68" s="537">
        <v>178.7</v>
      </c>
      <c r="AD68" s="292"/>
      <c r="AE68" s="1806"/>
      <c r="AF68" s="537">
        <v>5.9</v>
      </c>
      <c r="AG68" s="525"/>
      <c r="AH68" s="269"/>
      <c r="AI68" s="269">
        <f t="shared" si="6"/>
        <v>172.8</v>
      </c>
      <c r="AJ68" s="269"/>
      <c r="AK68" s="945">
        <f>ROUND(IF(AF68=0,1,AI68/ABS(AF68)),3)</f>
        <v>29.288</v>
      </c>
      <c r="AL68" s="1568"/>
      <c r="AM68" s="1568"/>
    </row>
    <row r="69" spans="1:39" ht="15" customHeight="1">
      <c r="A69" s="35"/>
      <c r="B69" s="390" t="s">
        <v>133</v>
      </c>
      <c r="C69" s="296"/>
      <c r="D69" s="292">
        <v>3.7</v>
      </c>
      <c r="E69" s="273"/>
      <c r="F69" s="292">
        <v>6.4999999999999991</v>
      </c>
      <c r="G69" s="292"/>
      <c r="H69" s="292">
        <v>13.3</v>
      </c>
      <c r="I69" s="273"/>
      <c r="J69" s="292">
        <v>4.3999999999999977</v>
      </c>
      <c r="K69" s="559"/>
      <c r="L69" s="292">
        <v>10</v>
      </c>
      <c r="M69" s="559"/>
      <c r="N69" s="292">
        <v>9.5</v>
      </c>
      <c r="O69" s="559"/>
      <c r="P69" s="292">
        <v>14.800000000000004</v>
      </c>
      <c r="Q69" s="559"/>
      <c r="R69" s="292">
        <f t="shared" si="5"/>
        <v>5.8999999999999906</v>
      </c>
      <c r="S69" s="559"/>
      <c r="T69" s="292"/>
      <c r="U69" s="559"/>
      <c r="V69" s="292"/>
      <c r="W69" s="559"/>
      <c r="X69" s="292"/>
      <c r="Y69" s="559"/>
      <c r="Z69" s="292"/>
      <c r="AA69" s="269"/>
      <c r="AB69" s="529"/>
      <c r="AC69" s="537">
        <v>68.099999999999994</v>
      </c>
      <c r="AD69" s="292"/>
      <c r="AE69" s="1806"/>
      <c r="AF69" s="537">
        <v>60.8</v>
      </c>
      <c r="AG69" s="525"/>
      <c r="AH69" s="269"/>
      <c r="AI69" s="269">
        <f t="shared" si="6"/>
        <v>7.3</v>
      </c>
      <c r="AJ69" s="269"/>
      <c r="AK69" s="539">
        <f t="shared" si="7"/>
        <v>0.12</v>
      </c>
      <c r="AL69" s="1568"/>
      <c r="AM69" s="1568"/>
    </row>
    <row r="70" spans="1:39" ht="15" customHeight="1">
      <c r="A70" s="35"/>
      <c r="B70" s="3" t="s">
        <v>537</v>
      </c>
      <c r="C70" s="296"/>
      <c r="D70" s="623">
        <f>ROUND(SUM(D60:D69),2)</f>
        <v>7505.5</v>
      </c>
      <c r="E70" s="40"/>
      <c r="F70" s="623">
        <f>ROUND(SUM(F60:F69),2)</f>
        <v>7267.4</v>
      </c>
      <c r="G70" s="40"/>
      <c r="H70" s="623">
        <f>ROUND(SUM(H60:H69),2)</f>
        <v>8052.5</v>
      </c>
      <c r="I70" s="40"/>
      <c r="J70" s="623">
        <f>ROUND(SUM(J60:J69),2)</f>
        <v>7701.7</v>
      </c>
      <c r="K70" s="40"/>
      <c r="L70" s="623">
        <f>ROUND(SUM(L60:L69),2)</f>
        <v>7072.1</v>
      </c>
      <c r="M70" s="40"/>
      <c r="N70" s="623">
        <f>ROUND(SUM(N60:N69),2)</f>
        <v>6711.4</v>
      </c>
      <c r="O70" s="40"/>
      <c r="P70" s="623">
        <f>ROUND(SUM(P60:P69),2)</f>
        <v>8196.9</v>
      </c>
      <c r="Q70" s="40"/>
      <c r="R70" s="623">
        <f>ROUND(SUM(R60:R69),2)</f>
        <v>7357</v>
      </c>
      <c r="S70" s="13"/>
      <c r="T70" s="623">
        <f>ROUND(SUM(T60:T69),2)</f>
        <v>0</v>
      </c>
      <c r="U70" s="40"/>
      <c r="V70" s="623">
        <f>ROUND(SUM(V60:V69),2)</f>
        <v>0</v>
      </c>
      <c r="W70" s="13"/>
      <c r="X70" s="623">
        <f>ROUND(SUM(X60:X69),2)</f>
        <v>0</v>
      </c>
      <c r="Y70" s="13"/>
      <c r="Z70" s="623">
        <f>ROUND(SUM(Z60:Z69),2)</f>
        <v>0</v>
      </c>
      <c r="AA70" s="40"/>
      <c r="AB70" s="675"/>
      <c r="AC70" s="680">
        <f>ROUND(SUM(AC60:AC69),2)</f>
        <v>59864.5</v>
      </c>
      <c r="AD70" s="13"/>
      <c r="AE70" s="676"/>
      <c r="AF70" s="680">
        <f>ROUND(SUM(AF60:AF69),2)</f>
        <v>57560.7</v>
      </c>
      <c r="AG70" s="78"/>
      <c r="AH70" s="13"/>
      <c r="AI70" s="980">
        <f>ROUND(SUM(AC70-AF70),1)</f>
        <v>2303.8000000000002</v>
      </c>
      <c r="AJ70" s="79"/>
      <c r="AK70" s="1064">
        <f>ROUND(SUM((AC70-AF70)/ABS(AF70)),3)</f>
        <v>0.04</v>
      </c>
      <c r="AL70" s="1568"/>
      <c r="AM70" s="1568"/>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4"/>
      <c r="AC71" s="273"/>
      <c r="AD71" s="273"/>
      <c r="AE71" s="1063"/>
      <c r="AF71" s="273"/>
      <c r="AG71" s="1247"/>
      <c r="AH71" s="369"/>
      <c r="AI71" s="536"/>
      <c r="AJ71" s="536"/>
      <c r="AK71" s="541"/>
      <c r="AL71" s="1568"/>
      <c r="AM71" s="1568"/>
    </row>
    <row r="72" spans="1:39" ht="15" customHeight="1">
      <c r="A72" s="35"/>
      <c r="B72" s="296" t="s">
        <v>457</v>
      </c>
      <c r="C72" s="296"/>
      <c r="D72" s="292">
        <v>70.099999999999994</v>
      </c>
      <c r="E72" s="273"/>
      <c r="F72" s="292">
        <v>63.300000000000011</v>
      </c>
      <c r="G72" s="273"/>
      <c r="H72" s="292">
        <v>90.699999999999989</v>
      </c>
      <c r="I72" s="273"/>
      <c r="J72" s="292">
        <v>90.200000000000017</v>
      </c>
      <c r="K72" s="559"/>
      <c r="L72" s="292">
        <v>66.099999999999966</v>
      </c>
      <c r="M72" s="559"/>
      <c r="N72" s="292">
        <v>62.700000000000017</v>
      </c>
      <c r="O72" s="559"/>
      <c r="P72" s="292">
        <v>72.000000000000028</v>
      </c>
      <c r="Q72" s="559"/>
      <c r="R72" s="292">
        <f>$AC72-N72-P72-L72-J72-H72-F72-D72</f>
        <v>70.799999999999983</v>
      </c>
      <c r="S72" s="559"/>
      <c r="T72" s="292"/>
      <c r="U72" s="559"/>
      <c r="V72" s="292"/>
      <c r="W72" s="559"/>
      <c r="X72" s="292"/>
      <c r="Y72" s="559"/>
      <c r="Z72" s="292"/>
      <c r="AA72" s="269"/>
      <c r="AB72" s="1351"/>
      <c r="AC72" s="537">
        <v>585.9</v>
      </c>
      <c r="AD72" s="292"/>
      <c r="AE72" s="1806"/>
      <c r="AF72" s="537">
        <v>516.5</v>
      </c>
      <c r="AG72" s="525"/>
      <c r="AH72" s="269"/>
      <c r="AI72" s="269">
        <f>ROUND(SUM(+AC72-AF72),1)</f>
        <v>69.400000000000006</v>
      </c>
      <c r="AJ72" s="269"/>
      <c r="AK72" s="271">
        <f>ROUND(IF(AF72=0,0,AI72/ABS(AF72)),3)</f>
        <v>0.13400000000000001</v>
      </c>
      <c r="AL72" s="1568"/>
      <c r="AM72" s="1568"/>
    </row>
    <row r="73" spans="1:39" ht="15" customHeight="1">
      <c r="A73" s="35"/>
      <c r="B73" s="296" t="s">
        <v>538</v>
      </c>
      <c r="C73" s="296"/>
      <c r="D73" s="292">
        <v>68.099999999999994</v>
      </c>
      <c r="E73" s="273"/>
      <c r="F73" s="292">
        <v>136.80000000000001</v>
      </c>
      <c r="G73" s="273"/>
      <c r="H73" s="292">
        <v>119.59999999999997</v>
      </c>
      <c r="I73" s="273"/>
      <c r="J73" s="292">
        <v>123.80000000000004</v>
      </c>
      <c r="K73" s="559"/>
      <c r="L73" s="292">
        <v>167.90000000000006</v>
      </c>
      <c r="M73" s="559"/>
      <c r="N73" s="292">
        <v>313.49999999999989</v>
      </c>
      <c r="O73" s="559"/>
      <c r="P73" s="292">
        <v>152.59999999999994</v>
      </c>
      <c r="Q73" s="559"/>
      <c r="R73" s="292">
        <f t="shared" ref="R73:R77" si="8">$AC73-N73-P73-L73-J73-H73-F73-D73</f>
        <v>162.10000000000016</v>
      </c>
      <c r="S73" s="559"/>
      <c r="T73" s="292"/>
      <c r="U73" s="559"/>
      <c r="V73" s="292"/>
      <c r="W73" s="559"/>
      <c r="X73" s="292"/>
      <c r="Y73" s="559"/>
      <c r="Z73" s="292"/>
      <c r="AA73" s="269"/>
      <c r="AB73" s="1351"/>
      <c r="AC73" s="537">
        <v>1244.4000000000001</v>
      </c>
      <c r="AD73" s="292"/>
      <c r="AE73" s="1806"/>
      <c r="AF73" s="537">
        <v>1605.3</v>
      </c>
      <c r="AG73" s="525"/>
      <c r="AH73" s="269"/>
      <c r="AI73" s="269">
        <f>ROUND(SUM(+AC73-AF73),1)</f>
        <v>-360.9</v>
      </c>
      <c r="AJ73" s="269"/>
      <c r="AK73" s="271">
        <f>ROUND(IF(AF73=0,0,AI73/ABS(AF73)),3)</f>
        <v>-0.22500000000000001</v>
      </c>
      <c r="AL73" s="1568"/>
      <c r="AM73" s="1568"/>
    </row>
    <row r="74" spans="1:39" ht="15" customHeight="1">
      <c r="A74" s="35"/>
      <c r="B74" s="296" t="s">
        <v>459</v>
      </c>
      <c r="C74" s="296"/>
      <c r="D74" s="292">
        <v>0</v>
      </c>
      <c r="E74" s="273"/>
      <c r="F74" s="292">
        <v>67.2</v>
      </c>
      <c r="G74" s="273"/>
      <c r="H74" s="292">
        <v>36.5</v>
      </c>
      <c r="I74" s="273"/>
      <c r="J74" s="292">
        <v>37.999999999999986</v>
      </c>
      <c r="K74" s="559"/>
      <c r="L74" s="292">
        <v>37</v>
      </c>
      <c r="M74" s="559"/>
      <c r="N74" s="292">
        <v>30.700000000000031</v>
      </c>
      <c r="O74" s="559"/>
      <c r="P74" s="292">
        <v>47.099999999999952</v>
      </c>
      <c r="Q74" s="559"/>
      <c r="R74" s="292">
        <f t="shared" si="8"/>
        <v>35.699999999999974</v>
      </c>
      <c r="S74" s="559"/>
      <c r="T74" s="292"/>
      <c r="U74" s="559"/>
      <c r="V74" s="292"/>
      <c r="W74" s="559"/>
      <c r="X74" s="292"/>
      <c r="Y74" s="559"/>
      <c r="Z74" s="292"/>
      <c r="AA74" s="269"/>
      <c r="AB74" s="1351"/>
      <c r="AC74" s="537">
        <v>292.2</v>
      </c>
      <c r="AD74" s="292"/>
      <c r="AE74" s="1806"/>
      <c r="AF74" s="537">
        <v>290.89999999999998</v>
      </c>
      <c r="AG74" s="525"/>
      <c r="AH74" s="269"/>
      <c r="AI74" s="269">
        <f>ROUND(SUM(+AC74-AF74),1)</f>
        <v>1.3</v>
      </c>
      <c r="AJ74" s="269"/>
      <c r="AK74" s="271">
        <f>ROUND(IF(AF74=0,1,AI74/ABS(AF74)),3)</f>
        <v>4.0000000000000001E-3</v>
      </c>
      <c r="AL74" s="1568"/>
      <c r="AM74" s="1568"/>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68"/>
      <c r="AM75" s="1568"/>
    </row>
    <row r="76" spans="1:39" ht="15" customHeight="1">
      <c r="A76" s="35"/>
      <c r="B76" s="65" t="s">
        <v>1474</v>
      </c>
      <c r="C76" s="296"/>
      <c r="D76" s="292">
        <v>0</v>
      </c>
      <c r="E76" s="273"/>
      <c r="F76" s="292">
        <v>0</v>
      </c>
      <c r="G76" s="273"/>
      <c r="H76" s="292">
        <v>0</v>
      </c>
      <c r="I76" s="273"/>
      <c r="J76" s="292">
        <v>0</v>
      </c>
      <c r="K76" s="559"/>
      <c r="L76" s="292">
        <v>0</v>
      </c>
      <c r="M76" s="559"/>
      <c r="N76" s="292">
        <v>0</v>
      </c>
      <c r="O76" s="559"/>
      <c r="P76" s="292">
        <v>0</v>
      </c>
      <c r="Q76" s="559"/>
      <c r="R76" s="292">
        <f t="shared" si="8"/>
        <v>0</v>
      </c>
      <c r="S76" s="559"/>
      <c r="T76" s="292"/>
      <c r="U76" s="559"/>
      <c r="V76" s="292"/>
      <c r="W76" s="559"/>
      <c r="X76" s="292"/>
      <c r="Y76" s="559"/>
      <c r="Z76" s="292"/>
      <c r="AA76" s="269"/>
      <c r="AB76" s="529"/>
      <c r="AC76" s="537">
        <v>0</v>
      </c>
      <c r="AD76" s="292"/>
      <c r="AE76" s="1806"/>
      <c r="AF76" s="537">
        <v>0</v>
      </c>
      <c r="AG76" s="525"/>
      <c r="AH76" s="269"/>
      <c r="AI76" s="269">
        <f>ROUND(SUM(+AC76-AF76),1)</f>
        <v>0</v>
      </c>
      <c r="AJ76" s="269"/>
      <c r="AK76" s="271">
        <f>ROUND(IF(AF76=0,0,AI76/ABS(AF76)),3)</f>
        <v>0</v>
      </c>
      <c r="AL76" s="1568"/>
      <c r="AM76" s="1568"/>
    </row>
    <row r="77" spans="1:39" ht="15" customHeight="1">
      <c r="A77" s="35"/>
      <c r="B77" s="296" t="s">
        <v>539</v>
      </c>
      <c r="C77" s="296"/>
      <c r="D77" s="292">
        <v>0</v>
      </c>
      <c r="E77" s="273"/>
      <c r="F77" s="292">
        <v>0</v>
      </c>
      <c r="G77" s="273"/>
      <c r="H77" s="292">
        <v>0</v>
      </c>
      <c r="I77" s="273"/>
      <c r="J77" s="292">
        <v>0</v>
      </c>
      <c r="K77" s="559"/>
      <c r="L77" s="292">
        <v>0</v>
      </c>
      <c r="M77" s="559"/>
      <c r="N77" s="292">
        <v>0</v>
      </c>
      <c r="O77" s="559"/>
      <c r="P77" s="292">
        <v>0</v>
      </c>
      <c r="Q77" s="559"/>
      <c r="R77" s="292">
        <f t="shared" si="8"/>
        <v>0</v>
      </c>
      <c r="S77" s="559"/>
      <c r="T77" s="292"/>
      <c r="U77" s="559"/>
      <c r="V77" s="292"/>
      <c r="W77" s="559"/>
      <c r="X77" s="292"/>
      <c r="Y77" s="559"/>
      <c r="Z77" s="292"/>
      <c r="AA77" s="269"/>
      <c r="AB77" s="529"/>
      <c r="AC77" s="537">
        <v>0</v>
      </c>
      <c r="AD77" s="292"/>
      <c r="AE77" s="1806"/>
      <c r="AF77" s="537">
        <v>0</v>
      </c>
      <c r="AG77" s="525"/>
      <c r="AH77" s="269"/>
      <c r="AI77" s="269">
        <f>ROUND(SUM(+AC77-AF77),1)</f>
        <v>0</v>
      </c>
      <c r="AJ77" s="269"/>
      <c r="AK77" s="539">
        <f>ROUND(IF(AF77=0,0,AI77/ABS(AF77)),3)</f>
        <v>0</v>
      </c>
      <c r="AL77" s="1568"/>
      <c r="AM77" s="1568"/>
    </row>
    <row r="78" spans="1:39" ht="15" customHeight="1">
      <c r="A78" s="35"/>
      <c r="B78" s="296"/>
      <c r="C78" s="296"/>
      <c r="D78" s="1045"/>
      <c r="E78" s="273"/>
      <c r="F78" s="622"/>
      <c r="G78" s="273"/>
      <c r="H78" s="622"/>
      <c r="I78" s="273"/>
      <c r="J78" s="622"/>
      <c r="K78" s="273"/>
      <c r="L78" s="622"/>
      <c r="M78" s="273"/>
      <c r="N78" s="622"/>
      <c r="O78" s="273"/>
      <c r="P78" s="622"/>
      <c r="Q78" s="273"/>
      <c r="R78" s="622"/>
      <c r="S78" s="273"/>
      <c r="T78" s="622"/>
      <c r="U78" s="273"/>
      <c r="V78" s="622"/>
      <c r="W78" s="269"/>
      <c r="X78" s="622"/>
      <c r="Y78" s="269"/>
      <c r="Z78" s="622"/>
      <c r="AA78" s="273"/>
      <c r="AB78" s="674"/>
      <c r="AC78" s="622"/>
      <c r="AD78" s="269"/>
      <c r="AE78" s="530"/>
      <c r="AF78" s="622"/>
      <c r="AG78" s="525"/>
      <c r="AH78" s="269"/>
      <c r="AI78" s="622"/>
      <c r="AJ78" s="536"/>
      <c r="AK78" s="288"/>
      <c r="AL78" s="1568"/>
      <c r="AM78" s="1568"/>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8468.6</v>
      </c>
      <c r="Q79" s="40"/>
      <c r="R79" s="13">
        <f>ROUND(SUM(R70:R77),1)</f>
        <v>7625.6</v>
      </c>
      <c r="S79" s="13"/>
      <c r="T79" s="13">
        <f>ROUND(SUM(T70:T77),1)</f>
        <v>0</v>
      </c>
      <c r="U79" s="40"/>
      <c r="V79" s="13">
        <f>ROUND(SUM(V70:V77),1)</f>
        <v>0</v>
      </c>
      <c r="W79" s="13"/>
      <c r="X79" s="13">
        <f>ROUND(SUM(X70:X77),1)</f>
        <v>0</v>
      </c>
      <c r="Y79" s="13"/>
      <c r="Z79" s="13">
        <f>ROUND(SUM(Z70:Z77),1)</f>
        <v>0</v>
      </c>
      <c r="AA79" s="40"/>
      <c r="AB79" s="675"/>
      <c r="AC79" s="13">
        <f>ROUND(SUM(AC70:AC77),1)</f>
        <v>61987</v>
      </c>
      <c r="AD79" s="13"/>
      <c r="AE79" s="676"/>
      <c r="AF79" s="13">
        <f>ROUND(SUM(AF70:AF77),1)</f>
        <v>59973.4</v>
      </c>
      <c r="AG79" s="78"/>
      <c r="AH79" s="13"/>
      <c r="AI79" s="1000">
        <f>ROUND(SUM(AC79-AF79),1)</f>
        <v>2013.6</v>
      </c>
      <c r="AJ79" s="695"/>
      <c r="AK79" s="542">
        <f>ROUND(SUM((AC79-AF79)/ABS(AF79)),3)</f>
        <v>3.4000000000000002E-2</v>
      </c>
      <c r="AL79" s="1568"/>
      <c r="AM79" s="1568"/>
    </row>
    <row r="80" spans="1:39" ht="15" customHeight="1">
      <c r="A80" s="35"/>
      <c r="B80" s="296"/>
      <c r="C80" s="296"/>
      <c r="D80" s="1045"/>
      <c r="E80" s="273"/>
      <c r="F80" s="622"/>
      <c r="G80" s="273"/>
      <c r="H80" s="622"/>
      <c r="I80" s="273"/>
      <c r="J80" s="622"/>
      <c r="K80" s="273"/>
      <c r="L80" s="622"/>
      <c r="M80" s="273"/>
      <c r="N80" s="622"/>
      <c r="O80" s="273"/>
      <c r="P80" s="622"/>
      <c r="Q80" s="273"/>
      <c r="R80" s="622"/>
      <c r="S80" s="273"/>
      <c r="T80" s="622"/>
      <c r="U80" s="273"/>
      <c r="V80" s="622"/>
      <c r="W80" s="269"/>
      <c r="X80" s="622"/>
      <c r="Y80" s="269"/>
      <c r="Z80" s="622"/>
      <c r="AA80" s="273"/>
      <c r="AB80" s="674"/>
      <c r="AC80" s="622"/>
      <c r="AD80" s="269"/>
      <c r="AE80" s="530"/>
      <c r="AF80" s="622"/>
      <c r="AG80" s="525"/>
      <c r="AH80" s="428"/>
      <c r="AI80" s="292"/>
      <c r="AJ80" s="536"/>
      <c r="AK80" s="541"/>
      <c r="AL80" s="1568"/>
      <c r="AM80" s="1568"/>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4"/>
      <c r="AC81" s="269"/>
      <c r="AD81" s="1251"/>
      <c r="AE81" s="1822"/>
      <c r="AF81" s="269"/>
      <c r="AG81" s="525"/>
      <c r="AH81" s="428"/>
      <c r="AI81" s="292"/>
      <c r="AJ81" s="536"/>
      <c r="AK81" s="541"/>
      <c r="AL81" s="1568"/>
      <c r="AM81" s="1568"/>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814.9</v>
      </c>
      <c r="Q82" s="40"/>
      <c r="R82" s="13">
        <f>ROUND(SUM(R56-R79),1)</f>
        <v>116.2</v>
      </c>
      <c r="S82" s="13"/>
      <c r="T82" s="13">
        <f>ROUND(SUM(T56-T79),1)</f>
        <v>0</v>
      </c>
      <c r="U82" s="40"/>
      <c r="V82" s="13">
        <f>ROUND(SUM(V56-V79),1)</f>
        <v>0</v>
      </c>
      <c r="W82" s="13"/>
      <c r="X82" s="13">
        <f>ROUND(SUM(X56-X79),1)</f>
        <v>0</v>
      </c>
      <c r="Y82" s="13"/>
      <c r="Z82" s="13">
        <f>ROUND(SUM(Z56-Z79),1)</f>
        <v>0</v>
      </c>
      <c r="AA82" s="40"/>
      <c r="AB82" s="675"/>
      <c r="AC82" s="13">
        <f>ROUND(SUM(AC56-AC79),1)</f>
        <v>4566.2</v>
      </c>
      <c r="AD82" s="13"/>
      <c r="AE82" s="676"/>
      <c r="AF82" s="13">
        <f>ROUND(SUM(AF56-AF79),1)</f>
        <v>3619.2</v>
      </c>
      <c r="AG82" s="78"/>
      <c r="AH82" s="13"/>
      <c r="AI82" s="1000">
        <f>ROUND(SUM(AC82-AF82),1)</f>
        <v>947</v>
      </c>
      <c r="AJ82" s="695"/>
      <c r="AK82" s="1066">
        <f>ROUND(SUM((AC82-AF82)/ABS(AF82)),3)</f>
        <v>0.26200000000000001</v>
      </c>
      <c r="AL82" s="1568"/>
      <c r="AM82" s="1568"/>
    </row>
    <row r="83" spans="1:48" ht="15" customHeight="1">
      <c r="A83" s="35"/>
      <c r="B83" s="296"/>
      <c r="C83" s="296"/>
      <c r="D83" s="1045"/>
      <c r="E83" s="273"/>
      <c r="F83" s="622"/>
      <c r="G83" s="273"/>
      <c r="H83" s="622"/>
      <c r="I83" s="273"/>
      <c r="J83" s="622"/>
      <c r="K83" s="273"/>
      <c r="L83" s="622"/>
      <c r="M83" s="273"/>
      <c r="N83" s="622"/>
      <c r="O83" s="273"/>
      <c r="P83" s="622"/>
      <c r="Q83" s="273"/>
      <c r="R83" s="622"/>
      <c r="S83" s="273"/>
      <c r="T83" s="622"/>
      <c r="U83" s="273"/>
      <c r="V83" s="622"/>
      <c r="W83" s="269"/>
      <c r="X83" s="622"/>
      <c r="Y83" s="269"/>
      <c r="Z83" s="622"/>
      <c r="AA83" s="273"/>
      <c r="AB83" s="674"/>
      <c r="AC83" s="622"/>
      <c r="AD83" s="269"/>
      <c r="AE83" s="530"/>
      <c r="AF83" s="622"/>
      <c r="AG83" s="525"/>
      <c r="AH83" s="269"/>
      <c r="AI83" s="292"/>
      <c r="AJ83" s="536"/>
      <c r="AK83" s="541"/>
      <c r="AL83" s="1568"/>
      <c r="AM83" s="1568"/>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4"/>
      <c r="AC84" s="269"/>
      <c r="AD84" s="269"/>
      <c r="AE84" s="530"/>
      <c r="AF84" s="269"/>
      <c r="AG84" s="525"/>
      <c r="AH84" s="269"/>
      <c r="AI84" s="292"/>
      <c r="AJ84" s="536"/>
      <c r="AK84" s="541"/>
      <c r="AL84" s="1568"/>
      <c r="AM84" s="1568"/>
    </row>
    <row r="85" spans="1:48" ht="15" customHeight="1">
      <c r="A85" s="35"/>
      <c r="B85" s="296" t="s">
        <v>540</v>
      </c>
      <c r="C85" s="296"/>
      <c r="D85" s="292">
        <v>0</v>
      </c>
      <c r="E85" s="273"/>
      <c r="F85" s="292">
        <v>0</v>
      </c>
      <c r="G85" s="273"/>
      <c r="H85" s="292">
        <v>0</v>
      </c>
      <c r="I85" s="273"/>
      <c r="J85" s="292">
        <v>0</v>
      </c>
      <c r="K85" s="559"/>
      <c r="L85" s="292">
        <v>0</v>
      </c>
      <c r="M85" s="559"/>
      <c r="N85" s="292">
        <v>0</v>
      </c>
      <c r="O85" s="559"/>
      <c r="P85" s="292">
        <v>0</v>
      </c>
      <c r="Q85" s="559"/>
      <c r="R85" s="292">
        <f>$AC85-N85-P85-L85-J85-H85-F85-D85</f>
        <v>0</v>
      </c>
      <c r="S85" s="559"/>
      <c r="T85" s="292"/>
      <c r="U85" s="559"/>
      <c r="V85" s="292"/>
      <c r="W85" s="559"/>
      <c r="X85" s="292"/>
      <c r="Y85" s="559"/>
      <c r="Z85" s="292"/>
      <c r="AA85" s="269"/>
      <c r="AB85" s="529"/>
      <c r="AC85" s="537">
        <v>0</v>
      </c>
      <c r="AD85" s="269"/>
      <c r="AE85" s="530"/>
      <c r="AF85" s="537">
        <v>0</v>
      </c>
      <c r="AG85" s="525"/>
      <c r="AH85" s="269"/>
      <c r="AI85" s="294">
        <f>ROUND(SUM(+AC85-AF85),1)</f>
        <v>0</v>
      </c>
      <c r="AJ85" s="269"/>
      <c r="AK85" s="271">
        <f>ROUND(IF(AF85=0,0,AI85/ABS(AF85)),3)</f>
        <v>0</v>
      </c>
      <c r="AL85" s="1568"/>
      <c r="AM85" s="1568"/>
    </row>
    <row r="86" spans="1:48" ht="15" customHeight="1">
      <c r="A86" s="35"/>
      <c r="B86" s="296" t="s">
        <v>541</v>
      </c>
      <c r="C86" s="296"/>
      <c r="D86" s="292">
        <v>-203.9</v>
      </c>
      <c r="E86" s="273"/>
      <c r="F86" s="292">
        <v>-226.9</v>
      </c>
      <c r="G86" s="273"/>
      <c r="H86" s="292">
        <v>-219.70000000000002</v>
      </c>
      <c r="I86" s="273"/>
      <c r="J86" s="292">
        <v>-507.40000000000009</v>
      </c>
      <c r="K86" s="559"/>
      <c r="L86" s="292">
        <v>-830.6999999999997</v>
      </c>
      <c r="M86" s="559"/>
      <c r="N86" s="292">
        <v>-267.50000000000011</v>
      </c>
      <c r="O86" s="559"/>
      <c r="P86" s="292">
        <v>-216.40000000000006</v>
      </c>
      <c r="Q86" s="559"/>
      <c r="R86" s="292">
        <f>$AC86-N86-P86-L86-J86-H86-F86-D86</f>
        <v>-44.900000000000034</v>
      </c>
      <c r="S86" s="559"/>
      <c r="T86" s="292"/>
      <c r="U86" s="559"/>
      <c r="V86" s="292"/>
      <c r="W86" s="559"/>
      <c r="X86" s="292"/>
      <c r="Y86" s="559"/>
      <c r="Z86" s="292"/>
      <c r="AA86" s="269"/>
      <c r="AB86" s="529"/>
      <c r="AC86" s="537">
        <v>-2517.4</v>
      </c>
      <c r="AD86" s="292"/>
      <c r="AE86" s="1806"/>
      <c r="AF86" s="1001">
        <v>-1589.9</v>
      </c>
      <c r="AG86" s="525"/>
      <c r="AH86" s="269"/>
      <c r="AI86" s="269">
        <f>ROUND(SUM(+AC86-AF86)*-1,1)</f>
        <v>927.5</v>
      </c>
      <c r="AJ86" s="269"/>
      <c r="AK86" s="271">
        <f>ROUND(IF(AF86=0,0,AI86/ABS(AF86)),3)</f>
        <v>0.58299999999999996</v>
      </c>
      <c r="AL86" s="1568"/>
      <c r="AM86" s="1568"/>
    </row>
    <row r="87" spans="1:48" ht="15" customHeight="1">
      <c r="A87" s="35"/>
      <c r="B87" s="296"/>
      <c r="C87" s="296"/>
      <c r="D87" s="1045"/>
      <c r="E87" s="273"/>
      <c r="F87" s="622"/>
      <c r="G87" s="273"/>
      <c r="H87" s="622"/>
      <c r="I87" s="273"/>
      <c r="J87" s="622"/>
      <c r="K87" s="273"/>
      <c r="L87" s="622"/>
      <c r="M87" s="273"/>
      <c r="N87" s="622"/>
      <c r="O87" s="273"/>
      <c r="P87" s="622"/>
      <c r="Q87" s="273"/>
      <c r="R87" s="622"/>
      <c r="S87" s="273"/>
      <c r="T87" s="622"/>
      <c r="U87" s="273"/>
      <c r="V87" s="622"/>
      <c r="W87" s="269"/>
      <c r="X87" s="622"/>
      <c r="Y87" s="269"/>
      <c r="Z87" s="622"/>
      <c r="AA87" s="273"/>
      <c r="AB87" s="674"/>
      <c r="AC87" s="622"/>
      <c r="AD87" s="269"/>
      <c r="AE87" s="530"/>
      <c r="AF87" s="269"/>
      <c r="AG87" s="525"/>
      <c r="AH87" s="269"/>
      <c r="AI87" s="1065"/>
      <c r="AJ87" s="536"/>
      <c r="AK87" s="1067"/>
      <c r="AL87" s="1568"/>
      <c r="AM87" s="1568"/>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-216.4</v>
      </c>
      <c r="Q88" s="40"/>
      <c r="R88" s="13">
        <f>ROUND(SUM(R85:R87),1)</f>
        <v>-44.9</v>
      </c>
      <c r="S88" s="13"/>
      <c r="T88" s="13">
        <f>ROUND(SUM(T85:T87),1)</f>
        <v>0</v>
      </c>
      <c r="U88" s="40"/>
      <c r="V88" s="13">
        <f>ROUND(SUM(V85:V87),1)</f>
        <v>0</v>
      </c>
      <c r="W88" s="13"/>
      <c r="X88" s="13">
        <f>ROUND(SUM(X85:X87),1)</f>
        <v>0</v>
      </c>
      <c r="Y88" s="13"/>
      <c r="Z88" s="13">
        <f>ROUND(SUM(Z85:Z87),1)</f>
        <v>0</v>
      </c>
      <c r="AA88" s="40"/>
      <c r="AB88" s="675"/>
      <c r="AC88" s="13">
        <f>ROUND(SUM(AC85:AC87),1)</f>
        <v>-2517.4</v>
      </c>
      <c r="AD88" s="13"/>
      <c r="AE88" s="676"/>
      <c r="AF88" s="13">
        <f>ROUND(SUM(AF85:AF86),1)</f>
        <v>-1589.9</v>
      </c>
      <c r="AG88" s="78"/>
      <c r="AH88" s="13"/>
      <c r="AI88" s="1000">
        <f>-ROUND(SUM(AC88-AF88),1)</f>
        <v>927.5</v>
      </c>
      <c r="AJ88" s="79"/>
      <c r="AK88" s="542">
        <f>ROUND(SUM((AC88-AF88)/(AF88)),3)</f>
        <v>0.58299999999999996</v>
      </c>
      <c r="AL88" s="1568"/>
      <c r="AM88" s="1568"/>
    </row>
    <row r="89" spans="1:48" ht="15" customHeight="1">
      <c r="A89" s="35"/>
      <c r="B89" s="296"/>
      <c r="C89" s="296"/>
      <c r="D89" s="1045"/>
      <c r="E89" s="273"/>
      <c r="F89" s="1045"/>
      <c r="G89" s="273"/>
      <c r="H89" s="1045"/>
      <c r="I89" s="273"/>
      <c r="J89" s="1045"/>
      <c r="K89" s="273"/>
      <c r="L89" s="1045"/>
      <c r="M89" s="273"/>
      <c r="N89" s="1045"/>
      <c r="O89" s="273"/>
      <c r="P89" s="1045"/>
      <c r="Q89" s="273"/>
      <c r="R89" s="1045"/>
      <c r="S89" s="273"/>
      <c r="T89" s="1045"/>
      <c r="U89" s="273"/>
      <c r="V89" s="622"/>
      <c r="W89" s="269"/>
      <c r="X89" s="622"/>
      <c r="Y89" s="269"/>
      <c r="Z89" s="622"/>
      <c r="AA89" s="273"/>
      <c r="AB89" s="674"/>
      <c r="AC89" s="622"/>
      <c r="AD89" s="269"/>
      <c r="AE89" s="530"/>
      <c r="AF89" s="622"/>
      <c r="AG89" s="525"/>
      <c r="AH89" s="269"/>
      <c r="AI89" s="292"/>
      <c r="AJ89" s="536"/>
      <c r="AK89" s="541"/>
      <c r="AL89" s="1568"/>
      <c r="AM89" s="1568"/>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4"/>
      <c r="AC90" s="273"/>
      <c r="AD90" s="273"/>
      <c r="AE90" s="1063"/>
      <c r="AF90" s="273"/>
      <c r="AG90" s="1247"/>
      <c r="AH90" s="369"/>
      <c r="AI90" s="536"/>
      <c r="AJ90" s="536"/>
      <c r="AK90" s="541"/>
      <c r="AL90" s="1568"/>
      <c r="AM90" s="1568"/>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4"/>
      <c r="AC91" s="273"/>
      <c r="AD91" s="273"/>
      <c r="AE91" s="1063"/>
      <c r="AF91" s="20"/>
      <c r="AG91" s="1247"/>
      <c r="AH91" s="369"/>
      <c r="AI91" s="536"/>
      <c r="AJ91" s="536"/>
      <c r="AK91" s="541"/>
      <c r="AL91" s="1568"/>
      <c r="AM91" s="1568"/>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793.9</v>
      </c>
      <c r="M92" s="269"/>
      <c r="N92" s="362">
        <f>ROUND(SUM(N82+N88),1)</f>
        <v>-266.10000000000002</v>
      </c>
      <c r="O92" s="269"/>
      <c r="P92" s="362">
        <f>ROUND(SUM(P82+P88),1)</f>
        <v>598.5</v>
      </c>
      <c r="Q92" s="269"/>
      <c r="R92" s="362">
        <f>ROUND(SUM(R82+R88),1)</f>
        <v>71.3</v>
      </c>
      <c r="S92" s="269"/>
      <c r="T92" s="362">
        <f>ROUND(SUM(T82+T88),1)</f>
        <v>0</v>
      </c>
      <c r="U92" s="269"/>
      <c r="V92" s="362">
        <f>ROUND(SUM(V82+V88),1)</f>
        <v>0</v>
      </c>
      <c r="W92" s="269"/>
      <c r="X92" s="362">
        <f>ROUND(SUM(X82+X88),1)</f>
        <v>0</v>
      </c>
      <c r="Y92" s="269"/>
      <c r="Z92" s="362">
        <f>ROUND(SUM(Z82+Z88),1)</f>
        <v>0</v>
      </c>
      <c r="AA92" s="1251"/>
      <c r="AB92" s="269"/>
      <c r="AC92" s="362">
        <f>ROUND(SUM(AC82+AC88),1)</f>
        <v>2048.8000000000002</v>
      </c>
      <c r="AD92" s="1823"/>
      <c r="AE92" s="269"/>
      <c r="AF92" s="362">
        <f>ROUND(SUM(AF82+AF88),1)</f>
        <v>2029.3</v>
      </c>
      <c r="AG92" s="1247"/>
      <c r="AH92" s="269"/>
      <c r="AI92" s="362">
        <f>ROUND(SUM(AI82-AI88),1)</f>
        <v>19.5</v>
      </c>
      <c r="AJ92" s="292"/>
      <c r="AK92" s="618">
        <f>ROUND(SUM((AC92-AF92)/ABS(AF92)),3)</f>
        <v>0.01</v>
      </c>
      <c r="AL92" s="1568"/>
      <c r="AM92" s="1568"/>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3"/>
      <c r="AC93" s="369"/>
      <c r="AD93" s="369"/>
      <c r="AE93" s="1063"/>
      <c r="AF93" s="369"/>
      <c r="AG93" s="369"/>
      <c r="AH93" s="1047"/>
      <c r="AI93" s="536"/>
      <c r="AJ93" s="536"/>
      <c r="AK93" s="541" t="s">
        <v>103</v>
      </c>
      <c r="AL93" s="1568"/>
      <c r="AM93" s="1568"/>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9475.6</v>
      </c>
      <c r="M94" s="369"/>
      <c r="N94" s="73">
        <f>ROUND(SUM(+N13+N92),1)</f>
        <v>9209.5</v>
      </c>
      <c r="O94" s="369"/>
      <c r="P94" s="73">
        <f>ROUND(SUM(+P13+P92),1)</f>
        <v>9808</v>
      </c>
      <c r="Q94" s="369"/>
      <c r="R94" s="73">
        <f>ROUND(SUM(+R13+R92),1)</f>
        <v>9879.2999999999993</v>
      </c>
      <c r="S94" s="369"/>
      <c r="T94" s="73">
        <f>ROUND(SUM(+T13+T92),1)</f>
        <v>0</v>
      </c>
      <c r="U94" s="369"/>
      <c r="V94" s="73">
        <f>ROUND(SUM(+V13+V92),1)</f>
        <v>0</v>
      </c>
      <c r="W94" s="369"/>
      <c r="X94" s="73">
        <f>ROUND(SUM(+X13+X92),1)</f>
        <v>0</v>
      </c>
      <c r="Y94" s="369"/>
      <c r="Z94" s="73">
        <f>ROUND(SUM(+Z13+Z92),1)</f>
        <v>0</v>
      </c>
      <c r="AA94" s="369"/>
      <c r="AB94" s="1063"/>
      <c r="AC94" s="73">
        <f>ROUND(SUM(+AC13+AC92),1)</f>
        <v>9879.2999999999993</v>
      </c>
      <c r="AD94" s="369"/>
      <c r="AE94" s="1063"/>
      <c r="AF94" s="73">
        <f>ROUND(SUM(+AF13+AF92),1)</f>
        <v>13182.3</v>
      </c>
      <c r="AG94" s="369"/>
      <c r="AH94" s="1047"/>
      <c r="AI94" s="73">
        <f>ROUND(SUM(+AI13+AI92),1)</f>
        <v>-3303</v>
      </c>
      <c r="AJ94" s="536"/>
      <c r="AK94" s="1068">
        <f>ROUND(+AI94/ABS(AF94),3)</f>
        <v>-0.251</v>
      </c>
      <c r="AL94" s="1568"/>
      <c r="AM94" s="1568"/>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43 AK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90" workbookViewId="0"/>
  </sheetViews>
  <sheetFormatPr defaultRowHeight="12.75"/>
  <cols>
    <col min="1" max="1" width="40.44140625" style="84" customWidth="1"/>
    <col min="2" max="2" width="10.44140625" style="84" customWidth="1"/>
    <col min="3" max="3" width="1.109375" style="84" customWidth="1"/>
    <col min="4" max="4" width="10" style="84" customWidth="1"/>
    <col min="5" max="5" width="1.109375" style="84" customWidth="1"/>
    <col min="6" max="6" width="9.88671875" style="730" bestFit="1" customWidth="1"/>
    <col min="7" max="7" width="1.109375" style="84" customWidth="1"/>
    <col min="8" max="8" width="10" style="84" customWidth="1"/>
    <col min="9" max="9" width="1.109375" style="84" customWidth="1"/>
    <col min="10" max="10" width="10" style="84" bestFit="1" customWidth="1"/>
    <col min="11" max="11" width="1.109375" style="84" customWidth="1"/>
    <col min="12" max="12" width="11.109375" style="84" customWidth="1"/>
    <col min="13" max="13" width="1.109375" style="84" customWidth="1"/>
    <col min="14" max="14" width="10.88671875" style="84" customWidth="1"/>
    <col min="15" max="15" width="1.88671875" style="84" customWidth="1"/>
    <col min="16" max="16" width="11" style="84" customWidth="1"/>
    <col min="17" max="17" width="1.109375" style="84" customWidth="1"/>
    <col min="18" max="18" width="10.88671875" style="84" customWidth="1"/>
    <col min="19" max="19" width="1.109375" style="84" customWidth="1"/>
    <col min="20" max="20" width="10" style="84" customWidth="1"/>
    <col min="21" max="21" width="1.109375" style="84" customWidth="1"/>
    <col min="22" max="22" width="12.88671875" style="84" customWidth="1"/>
    <col min="23" max="23" width="1.109375" style="84" customWidth="1"/>
    <col min="24" max="24" width="11.109375" style="84" bestFit="1" customWidth="1"/>
    <col min="25" max="26" width="0.88671875" style="84" customWidth="1"/>
    <col min="27" max="27" width="10.5546875" style="84" customWidth="1"/>
    <col min="28" max="29" width="0.88671875" style="84" customWidth="1"/>
    <col min="30" max="30" width="10.5546875" style="84" customWidth="1"/>
    <col min="31" max="32" width="0.88671875" style="84" customWidth="1"/>
    <col min="33" max="33" width="10.5546875" style="84" customWidth="1"/>
    <col min="34" max="34" width="1.109375" style="84" customWidth="1"/>
    <col min="35" max="35" width="10.5546875" style="84" customWidth="1"/>
    <col min="36" max="36" width="14.5546875" style="731" customWidth="1"/>
    <col min="37" max="37" width="9.109375" style="84" bestFit="1" customWidth="1"/>
    <col min="38" max="39" width="7" style="84" customWidth="1"/>
    <col min="40" max="250" width="8.88671875" style="84"/>
    <col min="251" max="251" width="38.44140625" style="84" customWidth="1"/>
    <col min="252" max="252" width="8.5546875" style="84" customWidth="1"/>
    <col min="253" max="253" width="1.109375" style="84" customWidth="1"/>
    <col min="254" max="254" width="8.88671875" style="84" customWidth="1"/>
    <col min="255" max="255" width="1.109375" style="84" customWidth="1"/>
    <col min="256" max="256" width="9.109375" style="84" customWidth="1"/>
    <col min="257" max="257" width="1.109375" style="84" customWidth="1"/>
    <col min="258" max="258" width="10" style="84" customWidth="1"/>
    <col min="259" max="259" width="1.109375" style="84" customWidth="1"/>
    <col min="260" max="260" width="9.109375" style="84" customWidth="1"/>
    <col min="261" max="261" width="1.109375" style="84" customWidth="1"/>
    <col min="262" max="262" width="11.109375" style="84" customWidth="1"/>
    <col min="263" max="263" width="1.109375" style="84" customWidth="1"/>
    <col min="264" max="264" width="9.109375" style="84" customWidth="1"/>
    <col min="265" max="265" width="1.88671875" style="84" customWidth="1"/>
    <col min="266" max="266" width="11" style="84" customWidth="1"/>
    <col min="267" max="267" width="1.109375" style="84" customWidth="1"/>
    <col min="268" max="268" width="10.88671875" style="84" customWidth="1"/>
    <col min="269" max="269" width="1.109375" style="84" customWidth="1"/>
    <col min="270" max="270" width="10" style="84" customWidth="1"/>
    <col min="271" max="271" width="1.109375" style="84" customWidth="1"/>
    <col min="272" max="272" width="9.109375" style="84" customWidth="1"/>
    <col min="273" max="273" width="1.109375" style="84" customWidth="1"/>
    <col min="274" max="274" width="7.88671875" style="84" customWidth="1"/>
    <col min="275" max="275" width="1.109375" style="84" customWidth="1"/>
    <col min="276" max="276" width="0.88671875" style="84" customWidth="1"/>
    <col min="277" max="277" width="9.109375" style="84" customWidth="1"/>
    <col min="278" max="278" width="1.109375" style="84" customWidth="1"/>
    <col min="279" max="279" width="0.88671875" style="84" customWidth="1"/>
    <col min="280" max="280" width="9.5546875" style="84" bestFit="1" customWidth="1"/>
    <col min="281" max="282" width="0.88671875" style="84" customWidth="1"/>
    <col min="283" max="283" width="9.88671875" style="84" customWidth="1"/>
    <col min="284" max="284" width="1.109375" style="84" customWidth="1"/>
    <col min="285" max="285" width="8.5546875" style="84" customWidth="1"/>
    <col min="286" max="286" width="14.5546875" style="84" customWidth="1"/>
    <col min="287" max="287" width="10" style="84" customWidth="1"/>
    <col min="288" max="288" width="7.88671875" style="84" bestFit="1" customWidth="1"/>
    <col min="289" max="289" width="9.88671875" style="84" customWidth="1"/>
    <col min="290" max="506" width="8.88671875" style="84"/>
    <col min="507" max="507" width="38.44140625" style="84" customWidth="1"/>
    <col min="508" max="508" width="8.5546875" style="84" customWidth="1"/>
    <col min="509" max="509" width="1.109375" style="84" customWidth="1"/>
    <col min="510" max="510" width="8.88671875" style="84" customWidth="1"/>
    <col min="511" max="511" width="1.109375" style="84" customWidth="1"/>
    <col min="512" max="512" width="9.109375" style="84" customWidth="1"/>
    <col min="513" max="513" width="1.109375" style="84" customWidth="1"/>
    <col min="514" max="514" width="10" style="84" customWidth="1"/>
    <col min="515" max="515" width="1.109375" style="84" customWidth="1"/>
    <col min="516" max="516" width="9.109375" style="84" customWidth="1"/>
    <col min="517" max="517" width="1.109375" style="84" customWidth="1"/>
    <col min="518" max="518" width="11.109375" style="84" customWidth="1"/>
    <col min="519" max="519" width="1.109375" style="84" customWidth="1"/>
    <col min="520" max="520" width="9.109375" style="84" customWidth="1"/>
    <col min="521" max="521" width="1.88671875" style="84" customWidth="1"/>
    <col min="522" max="522" width="11" style="84" customWidth="1"/>
    <col min="523" max="523" width="1.109375" style="84" customWidth="1"/>
    <col min="524" max="524" width="10.88671875" style="84" customWidth="1"/>
    <col min="525" max="525" width="1.109375" style="84" customWidth="1"/>
    <col min="526" max="526" width="10" style="84" customWidth="1"/>
    <col min="527" max="527" width="1.109375" style="84" customWidth="1"/>
    <col min="528" max="528" width="9.109375" style="84" customWidth="1"/>
    <col min="529" max="529" width="1.109375" style="84" customWidth="1"/>
    <col min="530" max="530" width="7.88671875" style="84" customWidth="1"/>
    <col min="531" max="531" width="1.109375" style="84" customWidth="1"/>
    <col min="532" max="532" width="0.88671875" style="84" customWidth="1"/>
    <col min="533" max="533" width="9.109375" style="84" customWidth="1"/>
    <col min="534" max="534" width="1.109375" style="84" customWidth="1"/>
    <col min="535" max="535" width="0.88671875" style="84" customWidth="1"/>
    <col min="536" max="536" width="9.5546875" style="84" bestFit="1" customWidth="1"/>
    <col min="537" max="538" width="0.88671875" style="84" customWidth="1"/>
    <col min="539" max="539" width="9.88671875" style="84" customWidth="1"/>
    <col min="540" max="540" width="1.109375" style="84" customWidth="1"/>
    <col min="541" max="541" width="8.5546875" style="84" customWidth="1"/>
    <col min="542" max="542" width="14.5546875" style="84" customWidth="1"/>
    <col min="543" max="543" width="10" style="84" customWidth="1"/>
    <col min="544" max="544" width="7.88671875" style="84" bestFit="1" customWidth="1"/>
    <col min="545" max="545" width="9.88671875" style="84" customWidth="1"/>
    <col min="546" max="762" width="8.88671875" style="84"/>
    <col min="763" max="763" width="38.44140625" style="84" customWidth="1"/>
    <col min="764" max="764" width="8.5546875" style="84" customWidth="1"/>
    <col min="765" max="765" width="1.109375" style="84" customWidth="1"/>
    <col min="766" max="766" width="8.88671875" style="84" customWidth="1"/>
    <col min="767" max="767" width="1.109375" style="84" customWidth="1"/>
    <col min="768" max="768" width="9.109375" style="84" customWidth="1"/>
    <col min="769" max="769" width="1.109375" style="84" customWidth="1"/>
    <col min="770" max="770" width="10" style="84" customWidth="1"/>
    <col min="771" max="771" width="1.109375" style="84" customWidth="1"/>
    <col min="772" max="772" width="9.109375" style="84" customWidth="1"/>
    <col min="773" max="773" width="1.109375" style="84" customWidth="1"/>
    <col min="774" max="774" width="11.109375" style="84" customWidth="1"/>
    <col min="775" max="775" width="1.109375" style="84" customWidth="1"/>
    <col min="776" max="776" width="9.109375" style="84" customWidth="1"/>
    <col min="777" max="777" width="1.88671875" style="84" customWidth="1"/>
    <col min="778" max="778" width="11" style="84" customWidth="1"/>
    <col min="779" max="779" width="1.109375" style="84" customWidth="1"/>
    <col min="780" max="780" width="10.88671875" style="84" customWidth="1"/>
    <col min="781" max="781" width="1.109375" style="84" customWidth="1"/>
    <col min="782" max="782" width="10" style="84" customWidth="1"/>
    <col min="783" max="783" width="1.109375" style="84" customWidth="1"/>
    <col min="784" max="784" width="9.109375" style="84" customWidth="1"/>
    <col min="785" max="785" width="1.109375" style="84" customWidth="1"/>
    <col min="786" max="786" width="7.88671875" style="84" customWidth="1"/>
    <col min="787" max="787" width="1.109375" style="84" customWidth="1"/>
    <col min="788" max="788" width="0.88671875" style="84" customWidth="1"/>
    <col min="789" max="789" width="9.109375" style="84" customWidth="1"/>
    <col min="790" max="790" width="1.109375" style="84" customWidth="1"/>
    <col min="791" max="791" width="0.88671875" style="84" customWidth="1"/>
    <col min="792" max="792" width="9.5546875" style="84" bestFit="1" customWidth="1"/>
    <col min="793" max="794" width="0.88671875" style="84" customWidth="1"/>
    <col min="795" max="795" width="9.88671875" style="84" customWidth="1"/>
    <col min="796" max="796" width="1.109375" style="84" customWidth="1"/>
    <col min="797" max="797" width="8.5546875" style="84" customWidth="1"/>
    <col min="798" max="798" width="14.5546875" style="84" customWidth="1"/>
    <col min="799" max="799" width="10" style="84" customWidth="1"/>
    <col min="800" max="800" width="7.88671875" style="84" bestFit="1" customWidth="1"/>
    <col min="801" max="801" width="9.88671875" style="84" customWidth="1"/>
    <col min="802" max="1018" width="8.88671875" style="84"/>
    <col min="1019" max="1019" width="38.44140625" style="84" customWidth="1"/>
    <col min="1020" max="1020" width="8.5546875" style="84" customWidth="1"/>
    <col min="1021" max="1021" width="1.109375" style="84" customWidth="1"/>
    <col min="1022" max="1022" width="8.88671875" style="84" customWidth="1"/>
    <col min="1023" max="1023" width="1.109375" style="84" customWidth="1"/>
    <col min="1024" max="1024" width="9.109375" style="84" customWidth="1"/>
    <col min="1025" max="1025" width="1.109375" style="84" customWidth="1"/>
    <col min="1026" max="1026" width="10" style="84" customWidth="1"/>
    <col min="1027" max="1027" width="1.109375" style="84" customWidth="1"/>
    <col min="1028" max="1028" width="9.109375" style="84" customWidth="1"/>
    <col min="1029" max="1029" width="1.109375" style="84" customWidth="1"/>
    <col min="1030" max="1030" width="11.109375" style="84" customWidth="1"/>
    <col min="1031" max="1031" width="1.109375" style="84" customWidth="1"/>
    <col min="1032" max="1032" width="9.109375" style="84" customWidth="1"/>
    <col min="1033" max="1033" width="1.88671875" style="84" customWidth="1"/>
    <col min="1034" max="1034" width="11" style="84" customWidth="1"/>
    <col min="1035" max="1035" width="1.109375" style="84" customWidth="1"/>
    <col min="1036" max="1036" width="10.88671875" style="84" customWidth="1"/>
    <col min="1037" max="1037" width="1.109375" style="84" customWidth="1"/>
    <col min="1038" max="1038" width="10" style="84" customWidth="1"/>
    <col min="1039" max="1039" width="1.109375" style="84" customWidth="1"/>
    <col min="1040" max="1040" width="9.109375" style="84" customWidth="1"/>
    <col min="1041" max="1041" width="1.109375" style="84" customWidth="1"/>
    <col min="1042" max="1042" width="7.88671875" style="84" customWidth="1"/>
    <col min="1043" max="1043" width="1.109375" style="84" customWidth="1"/>
    <col min="1044" max="1044" width="0.88671875" style="84" customWidth="1"/>
    <col min="1045" max="1045" width="9.109375" style="84" customWidth="1"/>
    <col min="1046" max="1046" width="1.109375" style="84" customWidth="1"/>
    <col min="1047" max="1047" width="0.88671875" style="84" customWidth="1"/>
    <col min="1048" max="1048" width="9.5546875" style="84" bestFit="1" customWidth="1"/>
    <col min="1049" max="1050" width="0.88671875" style="84" customWidth="1"/>
    <col min="1051" max="1051" width="9.88671875" style="84" customWidth="1"/>
    <col min="1052" max="1052" width="1.109375" style="84" customWidth="1"/>
    <col min="1053" max="1053" width="8.5546875" style="84" customWidth="1"/>
    <col min="1054" max="1054" width="14.5546875" style="84" customWidth="1"/>
    <col min="1055" max="1055" width="10" style="84" customWidth="1"/>
    <col min="1056" max="1056" width="7.88671875" style="84" bestFit="1" customWidth="1"/>
    <col min="1057" max="1057" width="9.88671875" style="84" customWidth="1"/>
    <col min="1058" max="1274" width="8.88671875" style="84"/>
    <col min="1275" max="1275" width="38.44140625" style="84" customWidth="1"/>
    <col min="1276" max="1276" width="8.5546875" style="84" customWidth="1"/>
    <col min="1277" max="1277" width="1.109375" style="84" customWidth="1"/>
    <col min="1278" max="1278" width="8.88671875" style="84" customWidth="1"/>
    <col min="1279" max="1279" width="1.109375" style="84" customWidth="1"/>
    <col min="1280" max="1280" width="9.109375" style="84" customWidth="1"/>
    <col min="1281" max="1281" width="1.109375" style="84" customWidth="1"/>
    <col min="1282" max="1282" width="10" style="84" customWidth="1"/>
    <col min="1283" max="1283" width="1.109375" style="84" customWidth="1"/>
    <col min="1284" max="1284" width="9.109375" style="84" customWidth="1"/>
    <col min="1285" max="1285" width="1.109375" style="84" customWidth="1"/>
    <col min="1286" max="1286" width="11.109375" style="84" customWidth="1"/>
    <col min="1287" max="1287" width="1.109375" style="84" customWidth="1"/>
    <col min="1288" max="1288" width="9.109375" style="84" customWidth="1"/>
    <col min="1289" max="1289" width="1.88671875" style="84" customWidth="1"/>
    <col min="1290" max="1290" width="11" style="84" customWidth="1"/>
    <col min="1291" max="1291" width="1.109375" style="84" customWidth="1"/>
    <col min="1292" max="1292" width="10.88671875" style="84" customWidth="1"/>
    <col min="1293" max="1293" width="1.109375" style="84" customWidth="1"/>
    <col min="1294" max="1294" width="10" style="84" customWidth="1"/>
    <col min="1295" max="1295" width="1.109375" style="84" customWidth="1"/>
    <col min="1296" max="1296" width="9.109375" style="84" customWidth="1"/>
    <col min="1297" max="1297" width="1.109375" style="84" customWidth="1"/>
    <col min="1298" max="1298" width="7.88671875" style="84" customWidth="1"/>
    <col min="1299" max="1299" width="1.109375" style="84" customWidth="1"/>
    <col min="1300" max="1300" width="0.88671875" style="84" customWidth="1"/>
    <col min="1301" max="1301" width="9.109375" style="84" customWidth="1"/>
    <col min="1302" max="1302" width="1.109375" style="84" customWidth="1"/>
    <col min="1303" max="1303" width="0.88671875" style="84" customWidth="1"/>
    <col min="1304" max="1304" width="9.5546875" style="84" bestFit="1" customWidth="1"/>
    <col min="1305" max="1306" width="0.88671875" style="84" customWidth="1"/>
    <col min="1307" max="1307" width="9.88671875" style="84" customWidth="1"/>
    <col min="1308" max="1308" width="1.109375" style="84" customWidth="1"/>
    <col min="1309" max="1309" width="8.5546875" style="84" customWidth="1"/>
    <col min="1310" max="1310" width="14.5546875" style="84" customWidth="1"/>
    <col min="1311" max="1311" width="10" style="84" customWidth="1"/>
    <col min="1312" max="1312" width="7.88671875" style="84" bestFit="1" customWidth="1"/>
    <col min="1313" max="1313" width="9.88671875" style="84" customWidth="1"/>
    <col min="1314" max="1530" width="8.88671875" style="84"/>
    <col min="1531" max="1531" width="38.44140625" style="84" customWidth="1"/>
    <col min="1532" max="1532" width="8.5546875" style="84" customWidth="1"/>
    <col min="1533" max="1533" width="1.109375" style="84" customWidth="1"/>
    <col min="1534" max="1534" width="8.88671875" style="84" customWidth="1"/>
    <col min="1535" max="1535" width="1.109375" style="84" customWidth="1"/>
    <col min="1536" max="1536" width="9.109375" style="84" customWidth="1"/>
    <col min="1537" max="1537" width="1.109375" style="84" customWidth="1"/>
    <col min="1538" max="1538" width="10" style="84" customWidth="1"/>
    <col min="1539" max="1539" width="1.109375" style="84" customWidth="1"/>
    <col min="1540" max="1540" width="9.109375" style="84" customWidth="1"/>
    <col min="1541" max="1541" width="1.109375" style="84" customWidth="1"/>
    <col min="1542" max="1542" width="11.109375" style="84" customWidth="1"/>
    <col min="1543" max="1543" width="1.109375" style="84" customWidth="1"/>
    <col min="1544" max="1544" width="9.109375" style="84" customWidth="1"/>
    <col min="1545" max="1545" width="1.88671875" style="84" customWidth="1"/>
    <col min="1546" max="1546" width="11" style="84" customWidth="1"/>
    <col min="1547" max="1547" width="1.109375" style="84" customWidth="1"/>
    <col min="1548" max="1548" width="10.88671875" style="84" customWidth="1"/>
    <col min="1549" max="1549" width="1.109375" style="84" customWidth="1"/>
    <col min="1550" max="1550" width="10" style="84" customWidth="1"/>
    <col min="1551" max="1551" width="1.109375" style="84" customWidth="1"/>
    <col min="1552" max="1552" width="9.109375" style="84" customWidth="1"/>
    <col min="1553" max="1553" width="1.109375" style="84" customWidth="1"/>
    <col min="1554" max="1554" width="7.88671875" style="84" customWidth="1"/>
    <col min="1555" max="1555" width="1.109375" style="84" customWidth="1"/>
    <col min="1556" max="1556" width="0.88671875" style="84" customWidth="1"/>
    <col min="1557" max="1557" width="9.109375" style="84" customWidth="1"/>
    <col min="1558" max="1558" width="1.109375" style="84" customWidth="1"/>
    <col min="1559" max="1559" width="0.88671875" style="84" customWidth="1"/>
    <col min="1560" max="1560" width="9.5546875" style="84" bestFit="1" customWidth="1"/>
    <col min="1561" max="1562" width="0.88671875" style="84" customWidth="1"/>
    <col min="1563" max="1563" width="9.88671875" style="84" customWidth="1"/>
    <col min="1564" max="1564" width="1.109375" style="84" customWidth="1"/>
    <col min="1565" max="1565" width="8.5546875" style="84" customWidth="1"/>
    <col min="1566" max="1566" width="14.5546875" style="84" customWidth="1"/>
    <col min="1567" max="1567" width="10" style="84" customWidth="1"/>
    <col min="1568" max="1568" width="7.88671875" style="84" bestFit="1" customWidth="1"/>
    <col min="1569" max="1569" width="9.88671875" style="84" customWidth="1"/>
    <col min="1570" max="1786" width="8.88671875" style="84"/>
    <col min="1787" max="1787" width="38.44140625" style="84" customWidth="1"/>
    <col min="1788" max="1788" width="8.5546875" style="84" customWidth="1"/>
    <col min="1789" max="1789" width="1.109375" style="84" customWidth="1"/>
    <col min="1790" max="1790" width="8.88671875" style="84" customWidth="1"/>
    <col min="1791" max="1791" width="1.109375" style="84" customWidth="1"/>
    <col min="1792" max="1792" width="9.109375" style="84" customWidth="1"/>
    <col min="1793" max="1793" width="1.109375" style="84" customWidth="1"/>
    <col min="1794" max="1794" width="10" style="84" customWidth="1"/>
    <col min="1795" max="1795" width="1.109375" style="84" customWidth="1"/>
    <col min="1796" max="1796" width="9.109375" style="84" customWidth="1"/>
    <col min="1797" max="1797" width="1.109375" style="84" customWidth="1"/>
    <col min="1798" max="1798" width="11.109375" style="84" customWidth="1"/>
    <col min="1799" max="1799" width="1.109375" style="84" customWidth="1"/>
    <col min="1800" max="1800" width="9.109375" style="84" customWidth="1"/>
    <col min="1801" max="1801" width="1.88671875" style="84" customWidth="1"/>
    <col min="1802" max="1802" width="11" style="84" customWidth="1"/>
    <col min="1803" max="1803" width="1.109375" style="84" customWidth="1"/>
    <col min="1804" max="1804" width="10.88671875" style="84" customWidth="1"/>
    <col min="1805" max="1805" width="1.109375" style="84" customWidth="1"/>
    <col min="1806" max="1806" width="10" style="84" customWidth="1"/>
    <col min="1807" max="1807" width="1.109375" style="84" customWidth="1"/>
    <col min="1808" max="1808" width="9.109375" style="84" customWidth="1"/>
    <col min="1809" max="1809" width="1.109375" style="84" customWidth="1"/>
    <col min="1810" max="1810" width="7.88671875" style="84" customWidth="1"/>
    <col min="1811" max="1811" width="1.109375" style="84" customWidth="1"/>
    <col min="1812" max="1812" width="0.88671875" style="84" customWidth="1"/>
    <col min="1813" max="1813" width="9.109375" style="84" customWidth="1"/>
    <col min="1814" max="1814" width="1.109375" style="84" customWidth="1"/>
    <col min="1815" max="1815" width="0.88671875" style="84" customWidth="1"/>
    <col min="1816" max="1816" width="9.5546875" style="84" bestFit="1" customWidth="1"/>
    <col min="1817" max="1818" width="0.88671875" style="84" customWidth="1"/>
    <col min="1819" max="1819" width="9.88671875" style="84" customWidth="1"/>
    <col min="1820" max="1820" width="1.109375" style="84" customWidth="1"/>
    <col min="1821" max="1821" width="8.5546875" style="84" customWidth="1"/>
    <col min="1822" max="1822" width="14.5546875" style="84" customWidth="1"/>
    <col min="1823" max="1823" width="10" style="84" customWidth="1"/>
    <col min="1824" max="1824" width="7.88671875" style="84" bestFit="1" customWidth="1"/>
    <col min="1825" max="1825" width="9.88671875" style="84" customWidth="1"/>
    <col min="1826" max="2042" width="8.88671875" style="84"/>
    <col min="2043" max="2043" width="38.44140625" style="84" customWidth="1"/>
    <col min="2044" max="2044" width="8.5546875" style="84" customWidth="1"/>
    <col min="2045" max="2045" width="1.109375" style="84" customWidth="1"/>
    <col min="2046" max="2046" width="8.88671875" style="84" customWidth="1"/>
    <col min="2047" max="2047" width="1.109375" style="84" customWidth="1"/>
    <col min="2048" max="2048" width="9.109375" style="84" customWidth="1"/>
    <col min="2049" max="2049" width="1.109375" style="84" customWidth="1"/>
    <col min="2050" max="2050" width="10" style="84" customWidth="1"/>
    <col min="2051" max="2051" width="1.109375" style="84" customWidth="1"/>
    <col min="2052" max="2052" width="9.109375" style="84" customWidth="1"/>
    <col min="2053" max="2053" width="1.109375" style="84" customWidth="1"/>
    <col min="2054" max="2054" width="11.109375" style="84" customWidth="1"/>
    <col min="2055" max="2055" width="1.109375" style="84" customWidth="1"/>
    <col min="2056" max="2056" width="9.109375" style="84" customWidth="1"/>
    <col min="2057" max="2057" width="1.88671875" style="84" customWidth="1"/>
    <col min="2058" max="2058" width="11" style="84" customWidth="1"/>
    <col min="2059" max="2059" width="1.109375" style="84" customWidth="1"/>
    <col min="2060" max="2060" width="10.88671875" style="84" customWidth="1"/>
    <col min="2061" max="2061" width="1.109375" style="84" customWidth="1"/>
    <col min="2062" max="2062" width="10" style="84" customWidth="1"/>
    <col min="2063" max="2063" width="1.109375" style="84" customWidth="1"/>
    <col min="2064" max="2064" width="9.109375" style="84" customWidth="1"/>
    <col min="2065" max="2065" width="1.109375" style="84" customWidth="1"/>
    <col min="2066" max="2066" width="7.88671875" style="84" customWidth="1"/>
    <col min="2067" max="2067" width="1.109375" style="84" customWidth="1"/>
    <col min="2068" max="2068" width="0.88671875" style="84" customWidth="1"/>
    <col min="2069" max="2069" width="9.109375" style="84" customWidth="1"/>
    <col min="2070" max="2070" width="1.109375" style="84" customWidth="1"/>
    <col min="2071" max="2071" width="0.88671875" style="84" customWidth="1"/>
    <col min="2072" max="2072" width="9.5546875" style="84" bestFit="1" customWidth="1"/>
    <col min="2073" max="2074" width="0.88671875" style="84" customWidth="1"/>
    <col min="2075" max="2075" width="9.88671875" style="84" customWidth="1"/>
    <col min="2076" max="2076" width="1.109375" style="84" customWidth="1"/>
    <col min="2077" max="2077" width="8.5546875" style="84" customWidth="1"/>
    <col min="2078" max="2078" width="14.5546875" style="84" customWidth="1"/>
    <col min="2079" max="2079" width="10" style="84" customWidth="1"/>
    <col min="2080" max="2080" width="7.88671875" style="84" bestFit="1" customWidth="1"/>
    <col min="2081" max="2081" width="9.88671875" style="84" customWidth="1"/>
    <col min="2082" max="2298" width="8.88671875" style="84"/>
    <col min="2299" max="2299" width="38.44140625" style="84" customWidth="1"/>
    <col min="2300" max="2300" width="8.5546875" style="84" customWidth="1"/>
    <col min="2301" max="2301" width="1.109375" style="84" customWidth="1"/>
    <col min="2302" max="2302" width="8.88671875" style="84" customWidth="1"/>
    <col min="2303" max="2303" width="1.109375" style="84" customWidth="1"/>
    <col min="2304" max="2304" width="9.109375" style="84" customWidth="1"/>
    <col min="2305" max="2305" width="1.109375" style="84" customWidth="1"/>
    <col min="2306" max="2306" width="10" style="84" customWidth="1"/>
    <col min="2307" max="2307" width="1.109375" style="84" customWidth="1"/>
    <col min="2308" max="2308" width="9.109375" style="84" customWidth="1"/>
    <col min="2309" max="2309" width="1.109375" style="84" customWidth="1"/>
    <col min="2310" max="2310" width="11.109375" style="84" customWidth="1"/>
    <col min="2311" max="2311" width="1.109375" style="84" customWidth="1"/>
    <col min="2312" max="2312" width="9.109375" style="84" customWidth="1"/>
    <col min="2313" max="2313" width="1.88671875" style="84" customWidth="1"/>
    <col min="2314" max="2314" width="11" style="84" customWidth="1"/>
    <col min="2315" max="2315" width="1.109375" style="84" customWidth="1"/>
    <col min="2316" max="2316" width="10.88671875" style="84" customWidth="1"/>
    <col min="2317" max="2317" width="1.109375" style="84" customWidth="1"/>
    <col min="2318" max="2318" width="10" style="84" customWidth="1"/>
    <col min="2319" max="2319" width="1.109375" style="84" customWidth="1"/>
    <col min="2320" max="2320" width="9.109375" style="84" customWidth="1"/>
    <col min="2321" max="2321" width="1.109375" style="84" customWidth="1"/>
    <col min="2322" max="2322" width="7.88671875" style="84" customWidth="1"/>
    <col min="2323" max="2323" width="1.109375" style="84" customWidth="1"/>
    <col min="2324" max="2324" width="0.88671875" style="84" customWidth="1"/>
    <col min="2325" max="2325" width="9.109375" style="84" customWidth="1"/>
    <col min="2326" max="2326" width="1.109375" style="84" customWidth="1"/>
    <col min="2327" max="2327" width="0.88671875" style="84" customWidth="1"/>
    <col min="2328" max="2328" width="9.5546875" style="84" bestFit="1" customWidth="1"/>
    <col min="2329" max="2330" width="0.88671875" style="84" customWidth="1"/>
    <col min="2331" max="2331" width="9.88671875" style="84" customWidth="1"/>
    <col min="2332" max="2332" width="1.109375" style="84" customWidth="1"/>
    <col min="2333" max="2333" width="8.5546875" style="84" customWidth="1"/>
    <col min="2334" max="2334" width="14.5546875" style="84" customWidth="1"/>
    <col min="2335" max="2335" width="10" style="84" customWidth="1"/>
    <col min="2336" max="2336" width="7.88671875" style="84" bestFit="1" customWidth="1"/>
    <col min="2337" max="2337" width="9.88671875" style="84" customWidth="1"/>
    <col min="2338" max="2554" width="8.88671875" style="84"/>
    <col min="2555" max="2555" width="38.44140625" style="84" customWidth="1"/>
    <col min="2556" max="2556" width="8.5546875" style="84" customWidth="1"/>
    <col min="2557" max="2557" width="1.109375" style="84" customWidth="1"/>
    <col min="2558" max="2558" width="8.88671875" style="84" customWidth="1"/>
    <col min="2559" max="2559" width="1.109375" style="84" customWidth="1"/>
    <col min="2560" max="2560" width="9.109375" style="84" customWidth="1"/>
    <col min="2561" max="2561" width="1.109375" style="84" customWidth="1"/>
    <col min="2562" max="2562" width="10" style="84" customWidth="1"/>
    <col min="2563" max="2563" width="1.109375" style="84" customWidth="1"/>
    <col min="2564" max="2564" width="9.109375" style="84" customWidth="1"/>
    <col min="2565" max="2565" width="1.109375" style="84" customWidth="1"/>
    <col min="2566" max="2566" width="11.109375" style="84" customWidth="1"/>
    <col min="2567" max="2567" width="1.109375" style="84" customWidth="1"/>
    <col min="2568" max="2568" width="9.109375" style="84" customWidth="1"/>
    <col min="2569" max="2569" width="1.88671875" style="84" customWidth="1"/>
    <col min="2570" max="2570" width="11" style="84" customWidth="1"/>
    <col min="2571" max="2571" width="1.109375" style="84" customWidth="1"/>
    <col min="2572" max="2572" width="10.88671875" style="84" customWidth="1"/>
    <col min="2573" max="2573" width="1.109375" style="84" customWidth="1"/>
    <col min="2574" max="2574" width="10" style="84" customWidth="1"/>
    <col min="2575" max="2575" width="1.109375" style="84" customWidth="1"/>
    <col min="2576" max="2576" width="9.109375" style="84" customWidth="1"/>
    <col min="2577" max="2577" width="1.109375" style="84" customWidth="1"/>
    <col min="2578" max="2578" width="7.88671875" style="84" customWidth="1"/>
    <col min="2579" max="2579" width="1.109375" style="84" customWidth="1"/>
    <col min="2580" max="2580" width="0.88671875" style="84" customWidth="1"/>
    <col min="2581" max="2581" width="9.109375" style="84" customWidth="1"/>
    <col min="2582" max="2582" width="1.109375" style="84" customWidth="1"/>
    <col min="2583" max="2583" width="0.88671875" style="84" customWidth="1"/>
    <col min="2584" max="2584" width="9.5546875" style="84" bestFit="1" customWidth="1"/>
    <col min="2585" max="2586" width="0.88671875" style="84" customWidth="1"/>
    <col min="2587" max="2587" width="9.88671875" style="84" customWidth="1"/>
    <col min="2588" max="2588" width="1.109375" style="84" customWidth="1"/>
    <col min="2589" max="2589" width="8.5546875" style="84" customWidth="1"/>
    <col min="2590" max="2590" width="14.5546875" style="84" customWidth="1"/>
    <col min="2591" max="2591" width="10" style="84" customWidth="1"/>
    <col min="2592" max="2592" width="7.88671875" style="84" bestFit="1" customWidth="1"/>
    <col min="2593" max="2593" width="9.88671875" style="84" customWidth="1"/>
    <col min="2594" max="2810" width="8.88671875" style="84"/>
    <col min="2811" max="2811" width="38.44140625" style="84" customWidth="1"/>
    <col min="2812" max="2812" width="8.5546875" style="84" customWidth="1"/>
    <col min="2813" max="2813" width="1.109375" style="84" customWidth="1"/>
    <col min="2814" max="2814" width="8.88671875" style="84" customWidth="1"/>
    <col min="2815" max="2815" width="1.109375" style="84" customWidth="1"/>
    <col min="2816" max="2816" width="9.109375" style="84" customWidth="1"/>
    <col min="2817" max="2817" width="1.109375" style="84" customWidth="1"/>
    <col min="2818" max="2818" width="10" style="84" customWidth="1"/>
    <col min="2819" max="2819" width="1.109375" style="84" customWidth="1"/>
    <col min="2820" max="2820" width="9.109375" style="84" customWidth="1"/>
    <col min="2821" max="2821" width="1.109375" style="84" customWidth="1"/>
    <col min="2822" max="2822" width="11.109375" style="84" customWidth="1"/>
    <col min="2823" max="2823" width="1.109375" style="84" customWidth="1"/>
    <col min="2824" max="2824" width="9.109375" style="84" customWidth="1"/>
    <col min="2825" max="2825" width="1.88671875" style="84" customWidth="1"/>
    <col min="2826" max="2826" width="11" style="84" customWidth="1"/>
    <col min="2827" max="2827" width="1.109375" style="84" customWidth="1"/>
    <col min="2828" max="2828" width="10.88671875" style="84" customWidth="1"/>
    <col min="2829" max="2829" width="1.109375" style="84" customWidth="1"/>
    <col min="2830" max="2830" width="10" style="84" customWidth="1"/>
    <col min="2831" max="2831" width="1.109375" style="84" customWidth="1"/>
    <col min="2832" max="2832" width="9.109375" style="84" customWidth="1"/>
    <col min="2833" max="2833" width="1.109375" style="84" customWidth="1"/>
    <col min="2834" max="2834" width="7.88671875" style="84" customWidth="1"/>
    <col min="2835" max="2835" width="1.109375" style="84" customWidth="1"/>
    <col min="2836" max="2836" width="0.88671875" style="84" customWidth="1"/>
    <col min="2837" max="2837" width="9.109375" style="84" customWidth="1"/>
    <col min="2838" max="2838" width="1.109375" style="84" customWidth="1"/>
    <col min="2839" max="2839" width="0.88671875" style="84" customWidth="1"/>
    <col min="2840" max="2840" width="9.5546875" style="84" bestFit="1" customWidth="1"/>
    <col min="2841" max="2842" width="0.88671875" style="84" customWidth="1"/>
    <col min="2843" max="2843" width="9.88671875" style="84" customWidth="1"/>
    <col min="2844" max="2844" width="1.109375" style="84" customWidth="1"/>
    <col min="2845" max="2845" width="8.5546875" style="84" customWidth="1"/>
    <col min="2846" max="2846" width="14.5546875" style="84" customWidth="1"/>
    <col min="2847" max="2847" width="10" style="84" customWidth="1"/>
    <col min="2848" max="2848" width="7.88671875" style="84" bestFit="1" customWidth="1"/>
    <col min="2849" max="2849" width="9.88671875" style="84" customWidth="1"/>
    <col min="2850" max="3066" width="8.88671875" style="84"/>
    <col min="3067" max="3067" width="38.44140625" style="84" customWidth="1"/>
    <col min="3068" max="3068" width="8.5546875" style="84" customWidth="1"/>
    <col min="3069" max="3069" width="1.109375" style="84" customWidth="1"/>
    <col min="3070" max="3070" width="8.88671875" style="84" customWidth="1"/>
    <col min="3071" max="3071" width="1.109375" style="84" customWidth="1"/>
    <col min="3072" max="3072" width="9.109375" style="84" customWidth="1"/>
    <col min="3073" max="3073" width="1.109375" style="84" customWidth="1"/>
    <col min="3074" max="3074" width="10" style="84" customWidth="1"/>
    <col min="3075" max="3075" width="1.109375" style="84" customWidth="1"/>
    <col min="3076" max="3076" width="9.109375" style="84" customWidth="1"/>
    <col min="3077" max="3077" width="1.109375" style="84" customWidth="1"/>
    <col min="3078" max="3078" width="11.109375" style="84" customWidth="1"/>
    <col min="3079" max="3079" width="1.109375" style="84" customWidth="1"/>
    <col min="3080" max="3080" width="9.109375" style="84" customWidth="1"/>
    <col min="3081" max="3081" width="1.88671875" style="84" customWidth="1"/>
    <col min="3082" max="3082" width="11" style="84" customWidth="1"/>
    <col min="3083" max="3083" width="1.109375" style="84" customWidth="1"/>
    <col min="3084" max="3084" width="10.88671875" style="84" customWidth="1"/>
    <col min="3085" max="3085" width="1.109375" style="84" customWidth="1"/>
    <col min="3086" max="3086" width="10" style="84" customWidth="1"/>
    <col min="3087" max="3087" width="1.109375" style="84" customWidth="1"/>
    <col min="3088" max="3088" width="9.109375" style="84" customWidth="1"/>
    <col min="3089" max="3089" width="1.109375" style="84" customWidth="1"/>
    <col min="3090" max="3090" width="7.88671875" style="84" customWidth="1"/>
    <col min="3091" max="3091" width="1.109375" style="84" customWidth="1"/>
    <col min="3092" max="3092" width="0.88671875" style="84" customWidth="1"/>
    <col min="3093" max="3093" width="9.109375" style="84" customWidth="1"/>
    <col min="3094" max="3094" width="1.109375" style="84" customWidth="1"/>
    <col min="3095" max="3095" width="0.88671875" style="84" customWidth="1"/>
    <col min="3096" max="3096" width="9.5546875" style="84" bestFit="1" customWidth="1"/>
    <col min="3097" max="3098" width="0.88671875" style="84" customWidth="1"/>
    <col min="3099" max="3099" width="9.88671875" style="84" customWidth="1"/>
    <col min="3100" max="3100" width="1.109375" style="84" customWidth="1"/>
    <col min="3101" max="3101" width="8.5546875" style="84" customWidth="1"/>
    <col min="3102" max="3102" width="14.5546875" style="84" customWidth="1"/>
    <col min="3103" max="3103" width="10" style="84" customWidth="1"/>
    <col min="3104" max="3104" width="7.88671875" style="84" bestFit="1" customWidth="1"/>
    <col min="3105" max="3105" width="9.88671875" style="84" customWidth="1"/>
    <col min="3106" max="3322" width="8.88671875" style="84"/>
    <col min="3323" max="3323" width="38.44140625" style="84" customWidth="1"/>
    <col min="3324" max="3324" width="8.5546875" style="84" customWidth="1"/>
    <col min="3325" max="3325" width="1.109375" style="84" customWidth="1"/>
    <col min="3326" max="3326" width="8.88671875" style="84" customWidth="1"/>
    <col min="3327" max="3327" width="1.109375" style="84" customWidth="1"/>
    <col min="3328" max="3328" width="9.109375" style="84" customWidth="1"/>
    <col min="3329" max="3329" width="1.109375" style="84" customWidth="1"/>
    <col min="3330" max="3330" width="10" style="84" customWidth="1"/>
    <col min="3331" max="3331" width="1.109375" style="84" customWidth="1"/>
    <col min="3332" max="3332" width="9.109375" style="84" customWidth="1"/>
    <col min="3333" max="3333" width="1.109375" style="84" customWidth="1"/>
    <col min="3334" max="3334" width="11.109375" style="84" customWidth="1"/>
    <col min="3335" max="3335" width="1.109375" style="84" customWidth="1"/>
    <col min="3336" max="3336" width="9.109375" style="84" customWidth="1"/>
    <col min="3337" max="3337" width="1.88671875" style="84" customWidth="1"/>
    <col min="3338" max="3338" width="11" style="84" customWidth="1"/>
    <col min="3339" max="3339" width="1.109375" style="84" customWidth="1"/>
    <col min="3340" max="3340" width="10.88671875" style="84" customWidth="1"/>
    <col min="3341" max="3341" width="1.109375" style="84" customWidth="1"/>
    <col min="3342" max="3342" width="10" style="84" customWidth="1"/>
    <col min="3343" max="3343" width="1.109375" style="84" customWidth="1"/>
    <col min="3344" max="3344" width="9.109375" style="84" customWidth="1"/>
    <col min="3345" max="3345" width="1.109375" style="84" customWidth="1"/>
    <col min="3346" max="3346" width="7.88671875" style="84" customWidth="1"/>
    <col min="3347" max="3347" width="1.109375" style="84" customWidth="1"/>
    <col min="3348" max="3348" width="0.88671875" style="84" customWidth="1"/>
    <col min="3349" max="3349" width="9.109375" style="84" customWidth="1"/>
    <col min="3350" max="3350" width="1.109375" style="84" customWidth="1"/>
    <col min="3351" max="3351" width="0.88671875" style="84" customWidth="1"/>
    <col min="3352" max="3352" width="9.5546875" style="84" bestFit="1" customWidth="1"/>
    <col min="3353" max="3354" width="0.88671875" style="84" customWidth="1"/>
    <col min="3355" max="3355" width="9.88671875" style="84" customWidth="1"/>
    <col min="3356" max="3356" width="1.109375" style="84" customWidth="1"/>
    <col min="3357" max="3357" width="8.5546875" style="84" customWidth="1"/>
    <col min="3358" max="3358" width="14.5546875" style="84" customWidth="1"/>
    <col min="3359" max="3359" width="10" style="84" customWidth="1"/>
    <col min="3360" max="3360" width="7.88671875" style="84" bestFit="1" customWidth="1"/>
    <col min="3361" max="3361" width="9.88671875" style="84" customWidth="1"/>
    <col min="3362" max="3578" width="8.88671875" style="84"/>
    <col min="3579" max="3579" width="38.44140625" style="84" customWidth="1"/>
    <col min="3580" max="3580" width="8.5546875" style="84" customWidth="1"/>
    <col min="3581" max="3581" width="1.109375" style="84" customWidth="1"/>
    <col min="3582" max="3582" width="8.88671875" style="84" customWidth="1"/>
    <col min="3583" max="3583" width="1.109375" style="84" customWidth="1"/>
    <col min="3584" max="3584" width="9.109375" style="84" customWidth="1"/>
    <col min="3585" max="3585" width="1.109375" style="84" customWidth="1"/>
    <col min="3586" max="3586" width="10" style="84" customWidth="1"/>
    <col min="3587" max="3587" width="1.109375" style="84" customWidth="1"/>
    <col min="3588" max="3588" width="9.109375" style="84" customWidth="1"/>
    <col min="3589" max="3589" width="1.109375" style="84" customWidth="1"/>
    <col min="3590" max="3590" width="11.109375" style="84" customWidth="1"/>
    <col min="3591" max="3591" width="1.109375" style="84" customWidth="1"/>
    <col min="3592" max="3592" width="9.109375" style="84" customWidth="1"/>
    <col min="3593" max="3593" width="1.88671875" style="84" customWidth="1"/>
    <col min="3594" max="3594" width="11" style="84" customWidth="1"/>
    <col min="3595" max="3595" width="1.109375" style="84" customWidth="1"/>
    <col min="3596" max="3596" width="10.88671875" style="84" customWidth="1"/>
    <col min="3597" max="3597" width="1.109375" style="84" customWidth="1"/>
    <col min="3598" max="3598" width="10" style="84" customWidth="1"/>
    <col min="3599" max="3599" width="1.109375" style="84" customWidth="1"/>
    <col min="3600" max="3600" width="9.109375" style="84" customWidth="1"/>
    <col min="3601" max="3601" width="1.109375" style="84" customWidth="1"/>
    <col min="3602" max="3602" width="7.88671875" style="84" customWidth="1"/>
    <col min="3603" max="3603" width="1.109375" style="84" customWidth="1"/>
    <col min="3604" max="3604" width="0.88671875" style="84" customWidth="1"/>
    <col min="3605" max="3605" width="9.109375" style="84" customWidth="1"/>
    <col min="3606" max="3606" width="1.109375" style="84" customWidth="1"/>
    <col min="3607" max="3607" width="0.88671875" style="84" customWidth="1"/>
    <col min="3608" max="3608" width="9.5546875" style="84" bestFit="1" customWidth="1"/>
    <col min="3609" max="3610" width="0.88671875" style="84" customWidth="1"/>
    <col min="3611" max="3611" width="9.88671875" style="84" customWidth="1"/>
    <col min="3612" max="3612" width="1.109375" style="84" customWidth="1"/>
    <col min="3613" max="3613" width="8.5546875" style="84" customWidth="1"/>
    <col min="3614" max="3614" width="14.5546875" style="84" customWidth="1"/>
    <col min="3615" max="3615" width="10" style="84" customWidth="1"/>
    <col min="3616" max="3616" width="7.88671875" style="84" bestFit="1" customWidth="1"/>
    <col min="3617" max="3617" width="9.88671875" style="84" customWidth="1"/>
    <col min="3618" max="3834" width="8.88671875" style="84"/>
    <col min="3835" max="3835" width="38.44140625" style="84" customWidth="1"/>
    <col min="3836" max="3836" width="8.5546875" style="84" customWidth="1"/>
    <col min="3837" max="3837" width="1.109375" style="84" customWidth="1"/>
    <col min="3838" max="3838" width="8.88671875" style="84" customWidth="1"/>
    <col min="3839" max="3839" width="1.109375" style="84" customWidth="1"/>
    <col min="3840" max="3840" width="9.109375" style="84" customWidth="1"/>
    <col min="3841" max="3841" width="1.109375" style="84" customWidth="1"/>
    <col min="3842" max="3842" width="10" style="84" customWidth="1"/>
    <col min="3843" max="3843" width="1.109375" style="84" customWidth="1"/>
    <col min="3844" max="3844" width="9.109375" style="84" customWidth="1"/>
    <col min="3845" max="3845" width="1.109375" style="84" customWidth="1"/>
    <col min="3846" max="3846" width="11.109375" style="84" customWidth="1"/>
    <col min="3847" max="3847" width="1.109375" style="84" customWidth="1"/>
    <col min="3848" max="3848" width="9.109375" style="84" customWidth="1"/>
    <col min="3849" max="3849" width="1.88671875" style="84" customWidth="1"/>
    <col min="3850" max="3850" width="11" style="84" customWidth="1"/>
    <col min="3851" max="3851" width="1.109375" style="84" customWidth="1"/>
    <col min="3852" max="3852" width="10.88671875" style="84" customWidth="1"/>
    <col min="3853" max="3853" width="1.109375" style="84" customWidth="1"/>
    <col min="3854" max="3854" width="10" style="84" customWidth="1"/>
    <col min="3855" max="3855" width="1.109375" style="84" customWidth="1"/>
    <col min="3856" max="3856" width="9.109375" style="84" customWidth="1"/>
    <col min="3857" max="3857" width="1.109375" style="84" customWidth="1"/>
    <col min="3858" max="3858" width="7.88671875" style="84" customWidth="1"/>
    <col min="3859" max="3859" width="1.109375" style="84" customWidth="1"/>
    <col min="3860" max="3860" width="0.88671875" style="84" customWidth="1"/>
    <col min="3861" max="3861" width="9.109375" style="84" customWidth="1"/>
    <col min="3862" max="3862" width="1.109375" style="84" customWidth="1"/>
    <col min="3863" max="3863" width="0.88671875" style="84" customWidth="1"/>
    <col min="3864" max="3864" width="9.5546875" style="84" bestFit="1" customWidth="1"/>
    <col min="3865" max="3866" width="0.88671875" style="84" customWidth="1"/>
    <col min="3867" max="3867" width="9.88671875" style="84" customWidth="1"/>
    <col min="3868" max="3868" width="1.109375" style="84" customWidth="1"/>
    <col min="3869" max="3869" width="8.5546875" style="84" customWidth="1"/>
    <col min="3870" max="3870" width="14.5546875" style="84" customWidth="1"/>
    <col min="3871" max="3871" width="10" style="84" customWidth="1"/>
    <col min="3872" max="3872" width="7.88671875" style="84" bestFit="1" customWidth="1"/>
    <col min="3873" max="3873" width="9.88671875" style="84" customWidth="1"/>
    <col min="3874" max="4090" width="8.88671875" style="84"/>
    <col min="4091" max="4091" width="38.44140625" style="84" customWidth="1"/>
    <col min="4092" max="4092" width="8.5546875" style="84" customWidth="1"/>
    <col min="4093" max="4093" width="1.109375" style="84" customWidth="1"/>
    <col min="4094" max="4094" width="8.88671875" style="84" customWidth="1"/>
    <col min="4095" max="4095" width="1.109375" style="84" customWidth="1"/>
    <col min="4096" max="4096" width="9.109375" style="84" customWidth="1"/>
    <col min="4097" max="4097" width="1.109375" style="84" customWidth="1"/>
    <col min="4098" max="4098" width="10" style="84" customWidth="1"/>
    <col min="4099" max="4099" width="1.109375" style="84" customWidth="1"/>
    <col min="4100" max="4100" width="9.109375" style="84" customWidth="1"/>
    <col min="4101" max="4101" width="1.109375" style="84" customWidth="1"/>
    <col min="4102" max="4102" width="11.109375" style="84" customWidth="1"/>
    <col min="4103" max="4103" width="1.109375" style="84" customWidth="1"/>
    <col min="4104" max="4104" width="9.109375" style="84" customWidth="1"/>
    <col min="4105" max="4105" width="1.88671875" style="84" customWidth="1"/>
    <col min="4106" max="4106" width="11" style="84" customWidth="1"/>
    <col min="4107" max="4107" width="1.109375" style="84" customWidth="1"/>
    <col min="4108" max="4108" width="10.88671875" style="84" customWidth="1"/>
    <col min="4109" max="4109" width="1.109375" style="84" customWidth="1"/>
    <col min="4110" max="4110" width="10" style="84" customWidth="1"/>
    <col min="4111" max="4111" width="1.109375" style="84" customWidth="1"/>
    <col min="4112" max="4112" width="9.109375" style="84" customWidth="1"/>
    <col min="4113" max="4113" width="1.109375" style="84" customWidth="1"/>
    <col min="4114" max="4114" width="7.88671875" style="84" customWidth="1"/>
    <col min="4115" max="4115" width="1.109375" style="84" customWidth="1"/>
    <col min="4116" max="4116" width="0.88671875" style="84" customWidth="1"/>
    <col min="4117" max="4117" width="9.109375" style="84" customWidth="1"/>
    <col min="4118" max="4118" width="1.109375" style="84" customWidth="1"/>
    <col min="4119" max="4119" width="0.88671875" style="84" customWidth="1"/>
    <col min="4120" max="4120" width="9.5546875" style="84" bestFit="1" customWidth="1"/>
    <col min="4121" max="4122" width="0.88671875" style="84" customWidth="1"/>
    <col min="4123" max="4123" width="9.88671875" style="84" customWidth="1"/>
    <col min="4124" max="4124" width="1.109375" style="84" customWidth="1"/>
    <col min="4125" max="4125" width="8.5546875" style="84" customWidth="1"/>
    <col min="4126" max="4126" width="14.5546875" style="84" customWidth="1"/>
    <col min="4127" max="4127" width="10" style="84" customWidth="1"/>
    <col min="4128" max="4128" width="7.88671875" style="84" bestFit="1" customWidth="1"/>
    <col min="4129" max="4129" width="9.88671875" style="84" customWidth="1"/>
    <col min="4130" max="4346" width="8.88671875" style="84"/>
    <col min="4347" max="4347" width="38.44140625" style="84" customWidth="1"/>
    <col min="4348" max="4348" width="8.5546875" style="84" customWidth="1"/>
    <col min="4349" max="4349" width="1.109375" style="84" customWidth="1"/>
    <col min="4350" max="4350" width="8.88671875" style="84" customWidth="1"/>
    <col min="4351" max="4351" width="1.109375" style="84" customWidth="1"/>
    <col min="4352" max="4352" width="9.109375" style="84" customWidth="1"/>
    <col min="4353" max="4353" width="1.109375" style="84" customWidth="1"/>
    <col min="4354" max="4354" width="10" style="84" customWidth="1"/>
    <col min="4355" max="4355" width="1.109375" style="84" customWidth="1"/>
    <col min="4356" max="4356" width="9.109375" style="84" customWidth="1"/>
    <col min="4357" max="4357" width="1.109375" style="84" customWidth="1"/>
    <col min="4358" max="4358" width="11.109375" style="84" customWidth="1"/>
    <col min="4359" max="4359" width="1.109375" style="84" customWidth="1"/>
    <col min="4360" max="4360" width="9.109375" style="84" customWidth="1"/>
    <col min="4361" max="4361" width="1.88671875" style="84" customWidth="1"/>
    <col min="4362" max="4362" width="11" style="84" customWidth="1"/>
    <col min="4363" max="4363" width="1.109375" style="84" customWidth="1"/>
    <col min="4364" max="4364" width="10.88671875" style="84" customWidth="1"/>
    <col min="4365" max="4365" width="1.109375" style="84" customWidth="1"/>
    <col min="4366" max="4366" width="10" style="84" customWidth="1"/>
    <col min="4367" max="4367" width="1.109375" style="84" customWidth="1"/>
    <col min="4368" max="4368" width="9.109375" style="84" customWidth="1"/>
    <col min="4369" max="4369" width="1.109375" style="84" customWidth="1"/>
    <col min="4370" max="4370" width="7.88671875" style="84" customWidth="1"/>
    <col min="4371" max="4371" width="1.109375" style="84" customWidth="1"/>
    <col min="4372" max="4372" width="0.88671875" style="84" customWidth="1"/>
    <col min="4373" max="4373" width="9.109375" style="84" customWidth="1"/>
    <col min="4374" max="4374" width="1.109375" style="84" customWidth="1"/>
    <col min="4375" max="4375" width="0.88671875" style="84" customWidth="1"/>
    <col min="4376" max="4376" width="9.5546875" style="84" bestFit="1" customWidth="1"/>
    <col min="4377" max="4378" width="0.88671875" style="84" customWidth="1"/>
    <col min="4379" max="4379" width="9.88671875" style="84" customWidth="1"/>
    <col min="4380" max="4380" width="1.109375" style="84" customWidth="1"/>
    <col min="4381" max="4381" width="8.5546875" style="84" customWidth="1"/>
    <col min="4382" max="4382" width="14.5546875" style="84" customWidth="1"/>
    <col min="4383" max="4383" width="10" style="84" customWidth="1"/>
    <col min="4384" max="4384" width="7.88671875" style="84" bestFit="1" customWidth="1"/>
    <col min="4385" max="4385" width="9.88671875" style="84" customWidth="1"/>
    <col min="4386" max="4602" width="8.88671875" style="84"/>
    <col min="4603" max="4603" width="38.44140625" style="84" customWidth="1"/>
    <col min="4604" max="4604" width="8.5546875" style="84" customWidth="1"/>
    <col min="4605" max="4605" width="1.109375" style="84" customWidth="1"/>
    <col min="4606" max="4606" width="8.88671875" style="84" customWidth="1"/>
    <col min="4607" max="4607" width="1.109375" style="84" customWidth="1"/>
    <col min="4608" max="4608" width="9.109375" style="84" customWidth="1"/>
    <col min="4609" max="4609" width="1.109375" style="84" customWidth="1"/>
    <col min="4610" max="4610" width="10" style="84" customWidth="1"/>
    <col min="4611" max="4611" width="1.109375" style="84" customWidth="1"/>
    <col min="4612" max="4612" width="9.109375" style="84" customWidth="1"/>
    <col min="4613" max="4613" width="1.109375" style="84" customWidth="1"/>
    <col min="4614" max="4614" width="11.109375" style="84" customWidth="1"/>
    <col min="4615" max="4615" width="1.109375" style="84" customWidth="1"/>
    <col min="4616" max="4616" width="9.109375" style="84" customWidth="1"/>
    <col min="4617" max="4617" width="1.88671875" style="84" customWidth="1"/>
    <col min="4618" max="4618" width="11" style="84" customWidth="1"/>
    <col min="4619" max="4619" width="1.109375" style="84" customWidth="1"/>
    <col min="4620" max="4620" width="10.88671875" style="84" customWidth="1"/>
    <col min="4621" max="4621" width="1.109375" style="84" customWidth="1"/>
    <col min="4622" max="4622" width="10" style="84" customWidth="1"/>
    <col min="4623" max="4623" width="1.109375" style="84" customWidth="1"/>
    <col min="4624" max="4624" width="9.109375" style="84" customWidth="1"/>
    <col min="4625" max="4625" width="1.109375" style="84" customWidth="1"/>
    <col min="4626" max="4626" width="7.88671875" style="84" customWidth="1"/>
    <col min="4627" max="4627" width="1.109375" style="84" customWidth="1"/>
    <col min="4628" max="4628" width="0.88671875" style="84" customWidth="1"/>
    <col min="4629" max="4629" width="9.109375" style="84" customWidth="1"/>
    <col min="4630" max="4630" width="1.109375" style="84" customWidth="1"/>
    <col min="4631" max="4631" width="0.88671875" style="84" customWidth="1"/>
    <col min="4632" max="4632" width="9.5546875" style="84" bestFit="1" customWidth="1"/>
    <col min="4633" max="4634" width="0.88671875" style="84" customWidth="1"/>
    <col min="4635" max="4635" width="9.88671875" style="84" customWidth="1"/>
    <col min="4636" max="4636" width="1.109375" style="84" customWidth="1"/>
    <col min="4637" max="4637" width="8.5546875" style="84" customWidth="1"/>
    <col min="4638" max="4638" width="14.5546875" style="84" customWidth="1"/>
    <col min="4639" max="4639" width="10" style="84" customWidth="1"/>
    <col min="4640" max="4640" width="7.88671875" style="84" bestFit="1" customWidth="1"/>
    <col min="4641" max="4641" width="9.88671875" style="84" customWidth="1"/>
    <col min="4642" max="4858" width="8.88671875" style="84"/>
    <col min="4859" max="4859" width="38.44140625" style="84" customWidth="1"/>
    <col min="4860" max="4860" width="8.5546875" style="84" customWidth="1"/>
    <col min="4861" max="4861" width="1.109375" style="84" customWidth="1"/>
    <col min="4862" max="4862" width="8.88671875" style="84" customWidth="1"/>
    <col min="4863" max="4863" width="1.109375" style="84" customWidth="1"/>
    <col min="4864" max="4864" width="9.109375" style="84" customWidth="1"/>
    <col min="4865" max="4865" width="1.109375" style="84" customWidth="1"/>
    <col min="4866" max="4866" width="10" style="84" customWidth="1"/>
    <col min="4867" max="4867" width="1.109375" style="84" customWidth="1"/>
    <col min="4868" max="4868" width="9.109375" style="84" customWidth="1"/>
    <col min="4869" max="4869" width="1.109375" style="84" customWidth="1"/>
    <col min="4870" max="4870" width="11.109375" style="84" customWidth="1"/>
    <col min="4871" max="4871" width="1.109375" style="84" customWidth="1"/>
    <col min="4872" max="4872" width="9.109375" style="84" customWidth="1"/>
    <col min="4873" max="4873" width="1.88671875" style="84" customWidth="1"/>
    <col min="4874" max="4874" width="11" style="84" customWidth="1"/>
    <col min="4875" max="4875" width="1.109375" style="84" customWidth="1"/>
    <col min="4876" max="4876" width="10.88671875" style="84" customWidth="1"/>
    <col min="4877" max="4877" width="1.109375" style="84" customWidth="1"/>
    <col min="4878" max="4878" width="10" style="84" customWidth="1"/>
    <col min="4879" max="4879" width="1.109375" style="84" customWidth="1"/>
    <col min="4880" max="4880" width="9.109375" style="84" customWidth="1"/>
    <col min="4881" max="4881" width="1.109375" style="84" customWidth="1"/>
    <col min="4882" max="4882" width="7.88671875" style="84" customWidth="1"/>
    <col min="4883" max="4883" width="1.109375" style="84" customWidth="1"/>
    <col min="4884" max="4884" width="0.88671875" style="84" customWidth="1"/>
    <col min="4885" max="4885" width="9.109375" style="84" customWidth="1"/>
    <col min="4886" max="4886" width="1.109375" style="84" customWidth="1"/>
    <col min="4887" max="4887" width="0.88671875" style="84" customWidth="1"/>
    <col min="4888" max="4888" width="9.5546875" style="84" bestFit="1" customWidth="1"/>
    <col min="4889" max="4890" width="0.88671875" style="84" customWidth="1"/>
    <col min="4891" max="4891" width="9.88671875" style="84" customWidth="1"/>
    <col min="4892" max="4892" width="1.109375" style="84" customWidth="1"/>
    <col min="4893" max="4893" width="8.5546875" style="84" customWidth="1"/>
    <col min="4894" max="4894" width="14.5546875" style="84" customWidth="1"/>
    <col min="4895" max="4895" width="10" style="84" customWidth="1"/>
    <col min="4896" max="4896" width="7.88671875" style="84" bestFit="1" customWidth="1"/>
    <col min="4897" max="4897" width="9.88671875" style="84" customWidth="1"/>
    <col min="4898" max="5114" width="8.88671875" style="84"/>
    <col min="5115" max="5115" width="38.44140625" style="84" customWidth="1"/>
    <col min="5116" max="5116" width="8.5546875" style="84" customWidth="1"/>
    <col min="5117" max="5117" width="1.109375" style="84" customWidth="1"/>
    <col min="5118" max="5118" width="8.88671875" style="84" customWidth="1"/>
    <col min="5119" max="5119" width="1.109375" style="84" customWidth="1"/>
    <col min="5120" max="5120" width="9.109375" style="84" customWidth="1"/>
    <col min="5121" max="5121" width="1.109375" style="84" customWidth="1"/>
    <col min="5122" max="5122" width="10" style="84" customWidth="1"/>
    <col min="5123" max="5123" width="1.109375" style="84" customWidth="1"/>
    <col min="5124" max="5124" width="9.109375" style="84" customWidth="1"/>
    <col min="5125" max="5125" width="1.109375" style="84" customWidth="1"/>
    <col min="5126" max="5126" width="11.109375" style="84" customWidth="1"/>
    <col min="5127" max="5127" width="1.109375" style="84" customWidth="1"/>
    <col min="5128" max="5128" width="9.109375" style="84" customWidth="1"/>
    <col min="5129" max="5129" width="1.88671875" style="84" customWidth="1"/>
    <col min="5130" max="5130" width="11" style="84" customWidth="1"/>
    <col min="5131" max="5131" width="1.109375" style="84" customWidth="1"/>
    <col min="5132" max="5132" width="10.88671875" style="84" customWidth="1"/>
    <col min="5133" max="5133" width="1.109375" style="84" customWidth="1"/>
    <col min="5134" max="5134" width="10" style="84" customWidth="1"/>
    <col min="5135" max="5135" width="1.109375" style="84" customWidth="1"/>
    <col min="5136" max="5136" width="9.109375" style="84" customWidth="1"/>
    <col min="5137" max="5137" width="1.109375" style="84" customWidth="1"/>
    <col min="5138" max="5138" width="7.88671875" style="84" customWidth="1"/>
    <col min="5139" max="5139" width="1.109375" style="84" customWidth="1"/>
    <col min="5140" max="5140" width="0.88671875" style="84" customWidth="1"/>
    <col min="5141" max="5141" width="9.109375" style="84" customWidth="1"/>
    <col min="5142" max="5142" width="1.109375" style="84" customWidth="1"/>
    <col min="5143" max="5143" width="0.88671875" style="84" customWidth="1"/>
    <col min="5144" max="5144" width="9.5546875" style="84" bestFit="1" customWidth="1"/>
    <col min="5145" max="5146" width="0.88671875" style="84" customWidth="1"/>
    <col min="5147" max="5147" width="9.88671875" style="84" customWidth="1"/>
    <col min="5148" max="5148" width="1.109375" style="84" customWidth="1"/>
    <col min="5149" max="5149" width="8.5546875" style="84" customWidth="1"/>
    <col min="5150" max="5150" width="14.5546875" style="84" customWidth="1"/>
    <col min="5151" max="5151" width="10" style="84" customWidth="1"/>
    <col min="5152" max="5152" width="7.88671875" style="84" bestFit="1" customWidth="1"/>
    <col min="5153" max="5153" width="9.88671875" style="84" customWidth="1"/>
    <col min="5154" max="5370" width="8.88671875" style="84"/>
    <col min="5371" max="5371" width="38.44140625" style="84" customWidth="1"/>
    <col min="5372" max="5372" width="8.5546875" style="84" customWidth="1"/>
    <col min="5373" max="5373" width="1.109375" style="84" customWidth="1"/>
    <col min="5374" max="5374" width="8.88671875" style="84" customWidth="1"/>
    <col min="5375" max="5375" width="1.109375" style="84" customWidth="1"/>
    <col min="5376" max="5376" width="9.109375" style="84" customWidth="1"/>
    <col min="5377" max="5377" width="1.109375" style="84" customWidth="1"/>
    <col min="5378" max="5378" width="10" style="84" customWidth="1"/>
    <col min="5379" max="5379" width="1.109375" style="84" customWidth="1"/>
    <col min="5380" max="5380" width="9.109375" style="84" customWidth="1"/>
    <col min="5381" max="5381" width="1.109375" style="84" customWidth="1"/>
    <col min="5382" max="5382" width="11.109375" style="84" customWidth="1"/>
    <col min="5383" max="5383" width="1.109375" style="84" customWidth="1"/>
    <col min="5384" max="5384" width="9.109375" style="84" customWidth="1"/>
    <col min="5385" max="5385" width="1.88671875" style="84" customWidth="1"/>
    <col min="5386" max="5386" width="11" style="84" customWidth="1"/>
    <col min="5387" max="5387" width="1.109375" style="84" customWidth="1"/>
    <col min="5388" max="5388" width="10.88671875" style="84" customWidth="1"/>
    <col min="5389" max="5389" width="1.109375" style="84" customWidth="1"/>
    <col min="5390" max="5390" width="10" style="84" customWidth="1"/>
    <col min="5391" max="5391" width="1.109375" style="84" customWidth="1"/>
    <col min="5392" max="5392" width="9.109375" style="84" customWidth="1"/>
    <col min="5393" max="5393" width="1.109375" style="84" customWidth="1"/>
    <col min="5394" max="5394" width="7.88671875" style="84" customWidth="1"/>
    <col min="5395" max="5395" width="1.109375" style="84" customWidth="1"/>
    <col min="5396" max="5396" width="0.88671875" style="84" customWidth="1"/>
    <col min="5397" max="5397" width="9.109375" style="84" customWidth="1"/>
    <col min="5398" max="5398" width="1.109375" style="84" customWidth="1"/>
    <col min="5399" max="5399" width="0.88671875" style="84" customWidth="1"/>
    <col min="5400" max="5400" width="9.5546875" style="84" bestFit="1" customWidth="1"/>
    <col min="5401" max="5402" width="0.88671875" style="84" customWidth="1"/>
    <col min="5403" max="5403" width="9.88671875" style="84" customWidth="1"/>
    <col min="5404" max="5404" width="1.109375" style="84" customWidth="1"/>
    <col min="5405" max="5405" width="8.5546875" style="84" customWidth="1"/>
    <col min="5406" max="5406" width="14.5546875" style="84" customWidth="1"/>
    <col min="5407" max="5407" width="10" style="84" customWidth="1"/>
    <col min="5408" max="5408" width="7.88671875" style="84" bestFit="1" customWidth="1"/>
    <col min="5409" max="5409" width="9.88671875" style="84" customWidth="1"/>
    <col min="5410" max="5626" width="8.88671875" style="84"/>
    <col min="5627" max="5627" width="38.44140625" style="84" customWidth="1"/>
    <col min="5628" max="5628" width="8.5546875" style="84" customWidth="1"/>
    <col min="5629" max="5629" width="1.109375" style="84" customWidth="1"/>
    <col min="5630" max="5630" width="8.88671875" style="84" customWidth="1"/>
    <col min="5631" max="5631" width="1.109375" style="84" customWidth="1"/>
    <col min="5632" max="5632" width="9.109375" style="84" customWidth="1"/>
    <col min="5633" max="5633" width="1.109375" style="84" customWidth="1"/>
    <col min="5634" max="5634" width="10" style="84" customWidth="1"/>
    <col min="5635" max="5635" width="1.109375" style="84" customWidth="1"/>
    <col min="5636" max="5636" width="9.109375" style="84" customWidth="1"/>
    <col min="5637" max="5637" width="1.109375" style="84" customWidth="1"/>
    <col min="5638" max="5638" width="11.109375" style="84" customWidth="1"/>
    <col min="5639" max="5639" width="1.109375" style="84" customWidth="1"/>
    <col min="5640" max="5640" width="9.109375" style="84" customWidth="1"/>
    <col min="5641" max="5641" width="1.88671875" style="84" customWidth="1"/>
    <col min="5642" max="5642" width="11" style="84" customWidth="1"/>
    <col min="5643" max="5643" width="1.109375" style="84" customWidth="1"/>
    <col min="5644" max="5644" width="10.88671875" style="84" customWidth="1"/>
    <col min="5645" max="5645" width="1.109375" style="84" customWidth="1"/>
    <col min="5646" max="5646" width="10" style="84" customWidth="1"/>
    <col min="5647" max="5647" width="1.109375" style="84" customWidth="1"/>
    <col min="5648" max="5648" width="9.109375" style="84" customWidth="1"/>
    <col min="5649" max="5649" width="1.109375" style="84" customWidth="1"/>
    <col min="5650" max="5650" width="7.88671875" style="84" customWidth="1"/>
    <col min="5651" max="5651" width="1.109375" style="84" customWidth="1"/>
    <col min="5652" max="5652" width="0.88671875" style="84" customWidth="1"/>
    <col min="5653" max="5653" width="9.109375" style="84" customWidth="1"/>
    <col min="5654" max="5654" width="1.109375" style="84" customWidth="1"/>
    <col min="5655" max="5655" width="0.88671875" style="84" customWidth="1"/>
    <col min="5656" max="5656" width="9.5546875" style="84" bestFit="1" customWidth="1"/>
    <col min="5657" max="5658" width="0.88671875" style="84" customWidth="1"/>
    <col min="5659" max="5659" width="9.88671875" style="84" customWidth="1"/>
    <col min="5660" max="5660" width="1.109375" style="84" customWidth="1"/>
    <col min="5661" max="5661" width="8.5546875" style="84" customWidth="1"/>
    <col min="5662" max="5662" width="14.5546875" style="84" customWidth="1"/>
    <col min="5663" max="5663" width="10" style="84" customWidth="1"/>
    <col min="5664" max="5664" width="7.88671875" style="84" bestFit="1" customWidth="1"/>
    <col min="5665" max="5665" width="9.88671875" style="84" customWidth="1"/>
    <col min="5666" max="5882" width="8.88671875" style="84"/>
    <col min="5883" max="5883" width="38.44140625" style="84" customWidth="1"/>
    <col min="5884" max="5884" width="8.5546875" style="84" customWidth="1"/>
    <col min="5885" max="5885" width="1.109375" style="84" customWidth="1"/>
    <col min="5886" max="5886" width="8.88671875" style="84" customWidth="1"/>
    <col min="5887" max="5887" width="1.109375" style="84" customWidth="1"/>
    <col min="5888" max="5888" width="9.109375" style="84" customWidth="1"/>
    <col min="5889" max="5889" width="1.109375" style="84" customWidth="1"/>
    <col min="5890" max="5890" width="10" style="84" customWidth="1"/>
    <col min="5891" max="5891" width="1.109375" style="84" customWidth="1"/>
    <col min="5892" max="5892" width="9.109375" style="84" customWidth="1"/>
    <col min="5893" max="5893" width="1.109375" style="84" customWidth="1"/>
    <col min="5894" max="5894" width="11.109375" style="84" customWidth="1"/>
    <col min="5895" max="5895" width="1.109375" style="84" customWidth="1"/>
    <col min="5896" max="5896" width="9.109375" style="84" customWidth="1"/>
    <col min="5897" max="5897" width="1.88671875" style="84" customWidth="1"/>
    <col min="5898" max="5898" width="11" style="84" customWidth="1"/>
    <col min="5899" max="5899" width="1.109375" style="84" customWidth="1"/>
    <col min="5900" max="5900" width="10.88671875" style="84" customWidth="1"/>
    <col min="5901" max="5901" width="1.109375" style="84" customWidth="1"/>
    <col min="5902" max="5902" width="10" style="84" customWidth="1"/>
    <col min="5903" max="5903" width="1.109375" style="84" customWidth="1"/>
    <col min="5904" max="5904" width="9.109375" style="84" customWidth="1"/>
    <col min="5905" max="5905" width="1.109375" style="84" customWidth="1"/>
    <col min="5906" max="5906" width="7.88671875" style="84" customWidth="1"/>
    <col min="5907" max="5907" width="1.109375" style="84" customWidth="1"/>
    <col min="5908" max="5908" width="0.88671875" style="84" customWidth="1"/>
    <col min="5909" max="5909" width="9.109375" style="84" customWidth="1"/>
    <col min="5910" max="5910" width="1.109375" style="84" customWidth="1"/>
    <col min="5911" max="5911" width="0.88671875" style="84" customWidth="1"/>
    <col min="5912" max="5912" width="9.5546875" style="84" bestFit="1" customWidth="1"/>
    <col min="5913" max="5914" width="0.88671875" style="84" customWidth="1"/>
    <col min="5915" max="5915" width="9.88671875" style="84" customWidth="1"/>
    <col min="5916" max="5916" width="1.109375" style="84" customWidth="1"/>
    <col min="5917" max="5917" width="8.5546875" style="84" customWidth="1"/>
    <col min="5918" max="5918" width="14.5546875" style="84" customWidth="1"/>
    <col min="5919" max="5919" width="10" style="84" customWidth="1"/>
    <col min="5920" max="5920" width="7.88671875" style="84" bestFit="1" customWidth="1"/>
    <col min="5921" max="5921" width="9.88671875" style="84" customWidth="1"/>
    <col min="5922" max="6138" width="8.88671875" style="84"/>
    <col min="6139" max="6139" width="38.44140625" style="84" customWidth="1"/>
    <col min="6140" max="6140" width="8.5546875" style="84" customWidth="1"/>
    <col min="6141" max="6141" width="1.109375" style="84" customWidth="1"/>
    <col min="6142" max="6142" width="8.88671875" style="84" customWidth="1"/>
    <col min="6143" max="6143" width="1.109375" style="84" customWidth="1"/>
    <col min="6144" max="6144" width="9.109375" style="84" customWidth="1"/>
    <col min="6145" max="6145" width="1.109375" style="84" customWidth="1"/>
    <col min="6146" max="6146" width="10" style="84" customWidth="1"/>
    <col min="6147" max="6147" width="1.109375" style="84" customWidth="1"/>
    <col min="6148" max="6148" width="9.109375" style="84" customWidth="1"/>
    <col min="6149" max="6149" width="1.109375" style="84" customWidth="1"/>
    <col min="6150" max="6150" width="11.109375" style="84" customWidth="1"/>
    <col min="6151" max="6151" width="1.109375" style="84" customWidth="1"/>
    <col min="6152" max="6152" width="9.109375" style="84" customWidth="1"/>
    <col min="6153" max="6153" width="1.88671875" style="84" customWidth="1"/>
    <col min="6154" max="6154" width="11" style="84" customWidth="1"/>
    <col min="6155" max="6155" width="1.109375" style="84" customWidth="1"/>
    <col min="6156" max="6156" width="10.88671875" style="84" customWidth="1"/>
    <col min="6157" max="6157" width="1.109375" style="84" customWidth="1"/>
    <col min="6158" max="6158" width="10" style="84" customWidth="1"/>
    <col min="6159" max="6159" width="1.109375" style="84" customWidth="1"/>
    <col min="6160" max="6160" width="9.109375" style="84" customWidth="1"/>
    <col min="6161" max="6161" width="1.109375" style="84" customWidth="1"/>
    <col min="6162" max="6162" width="7.88671875" style="84" customWidth="1"/>
    <col min="6163" max="6163" width="1.109375" style="84" customWidth="1"/>
    <col min="6164" max="6164" width="0.88671875" style="84" customWidth="1"/>
    <col min="6165" max="6165" width="9.109375" style="84" customWidth="1"/>
    <col min="6166" max="6166" width="1.109375" style="84" customWidth="1"/>
    <col min="6167" max="6167" width="0.88671875" style="84" customWidth="1"/>
    <col min="6168" max="6168" width="9.5546875" style="84" bestFit="1" customWidth="1"/>
    <col min="6169" max="6170" width="0.88671875" style="84" customWidth="1"/>
    <col min="6171" max="6171" width="9.88671875" style="84" customWidth="1"/>
    <col min="6172" max="6172" width="1.109375" style="84" customWidth="1"/>
    <col min="6173" max="6173" width="8.5546875" style="84" customWidth="1"/>
    <col min="6174" max="6174" width="14.5546875" style="84" customWidth="1"/>
    <col min="6175" max="6175" width="10" style="84" customWidth="1"/>
    <col min="6176" max="6176" width="7.88671875" style="84" bestFit="1" customWidth="1"/>
    <col min="6177" max="6177" width="9.88671875" style="84" customWidth="1"/>
    <col min="6178" max="6394" width="8.88671875" style="84"/>
    <col min="6395" max="6395" width="38.44140625" style="84" customWidth="1"/>
    <col min="6396" max="6396" width="8.5546875" style="84" customWidth="1"/>
    <col min="6397" max="6397" width="1.109375" style="84" customWidth="1"/>
    <col min="6398" max="6398" width="8.88671875" style="84" customWidth="1"/>
    <col min="6399" max="6399" width="1.109375" style="84" customWidth="1"/>
    <col min="6400" max="6400" width="9.109375" style="84" customWidth="1"/>
    <col min="6401" max="6401" width="1.109375" style="84" customWidth="1"/>
    <col min="6402" max="6402" width="10" style="84" customWidth="1"/>
    <col min="6403" max="6403" width="1.109375" style="84" customWidth="1"/>
    <col min="6404" max="6404" width="9.109375" style="84" customWidth="1"/>
    <col min="6405" max="6405" width="1.109375" style="84" customWidth="1"/>
    <col min="6406" max="6406" width="11.109375" style="84" customWidth="1"/>
    <col min="6407" max="6407" width="1.109375" style="84" customWidth="1"/>
    <col min="6408" max="6408" width="9.109375" style="84" customWidth="1"/>
    <col min="6409" max="6409" width="1.88671875" style="84" customWidth="1"/>
    <col min="6410" max="6410" width="11" style="84" customWidth="1"/>
    <col min="6411" max="6411" width="1.109375" style="84" customWidth="1"/>
    <col min="6412" max="6412" width="10.88671875" style="84" customWidth="1"/>
    <col min="6413" max="6413" width="1.109375" style="84" customWidth="1"/>
    <col min="6414" max="6414" width="10" style="84" customWidth="1"/>
    <col min="6415" max="6415" width="1.109375" style="84" customWidth="1"/>
    <col min="6416" max="6416" width="9.109375" style="84" customWidth="1"/>
    <col min="6417" max="6417" width="1.109375" style="84" customWidth="1"/>
    <col min="6418" max="6418" width="7.88671875" style="84" customWidth="1"/>
    <col min="6419" max="6419" width="1.109375" style="84" customWidth="1"/>
    <col min="6420" max="6420" width="0.88671875" style="84" customWidth="1"/>
    <col min="6421" max="6421" width="9.109375" style="84" customWidth="1"/>
    <col min="6422" max="6422" width="1.109375" style="84" customWidth="1"/>
    <col min="6423" max="6423" width="0.88671875" style="84" customWidth="1"/>
    <col min="6424" max="6424" width="9.5546875" style="84" bestFit="1" customWidth="1"/>
    <col min="6425" max="6426" width="0.88671875" style="84" customWidth="1"/>
    <col min="6427" max="6427" width="9.88671875" style="84" customWidth="1"/>
    <col min="6428" max="6428" width="1.109375" style="84" customWidth="1"/>
    <col min="6429" max="6429" width="8.5546875" style="84" customWidth="1"/>
    <col min="6430" max="6430" width="14.5546875" style="84" customWidth="1"/>
    <col min="6431" max="6431" width="10" style="84" customWidth="1"/>
    <col min="6432" max="6432" width="7.88671875" style="84" bestFit="1" customWidth="1"/>
    <col min="6433" max="6433" width="9.88671875" style="84" customWidth="1"/>
    <col min="6434" max="6650" width="8.88671875" style="84"/>
    <col min="6651" max="6651" width="38.44140625" style="84" customWidth="1"/>
    <col min="6652" max="6652" width="8.5546875" style="84" customWidth="1"/>
    <col min="6653" max="6653" width="1.109375" style="84" customWidth="1"/>
    <col min="6654" max="6654" width="8.88671875" style="84" customWidth="1"/>
    <col min="6655" max="6655" width="1.109375" style="84" customWidth="1"/>
    <col min="6656" max="6656" width="9.109375" style="84" customWidth="1"/>
    <col min="6657" max="6657" width="1.109375" style="84" customWidth="1"/>
    <col min="6658" max="6658" width="10" style="84" customWidth="1"/>
    <col min="6659" max="6659" width="1.109375" style="84" customWidth="1"/>
    <col min="6660" max="6660" width="9.109375" style="84" customWidth="1"/>
    <col min="6661" max="6661" width="1.109375" style="84" customWidth="1"/>
    <col min="6662" max="6662" width="11.109375" style="84" customWidth="1"/>
    <col min="6663" max="6663" width="1.109375" style="84" customWidth="1"/>
    <col min="6664" max="6664" width="9.109375" style="84" customWidth="1"/>
    <col min="6665" max="6665" width="1.88671875" style="84" customWidth="1"/>
    <col min="6666" max="6666" width="11" style="84" customWidth="1"/>
    <col min="6667" max="6667" width="1.109375" style="84" customWidth="1"/>
    <col min="6668" max="6668" width="10.88671875" style="84" customWidth="1"/>
    <col min="6669" max="6669" width="1.109375" style="84" customWidth="1"/>
    <col min="6670" max="6670" width="10" style="84" customWidth="1"/>
    <col min="6671" max="6671" width="1.109375" style="84" customWidth="1"/>
    <col min="6672" max="6672" width="9.109375" style="84" customWidth="1"/>
    <col min="6673" max="6673" width="1.109375" style="84" customWidth="1"/>
    <col min="6674" max="6674" width="7.88671875" style="84" customWidth="1"/>
    <col min="6675" max="6675" width="1.109375" style="84" customWidth="1"/>
    <col min="6676" max="6676" width="0.88671875" style="84" customWidth="1"/>
    <col min="6677" max="6677" width="9.109375" style="84" customWidth="1"/>
    <col min="6678" max="6678" width="1.109375" style="84" customWidth="1"/>
    <col min="6679" max="6679" width="0.88671875" style="84" customWidth="1"/>
    <col min="6680" max="6680" width="9.5546875" style="84" bestFit="1" customWidth="1"/>
    <col min="6681" max="6682" width="0.88671875" style="84" customWidth="1"/>
    <col min="6683" max="6683" width="9.88671875" style="84" customWidth="1"/>
    <col min="6684" max="6684" width="1.109375" style="84" customWidth="1"/>
    <col min="6685" max="6685" width="8.5546875" style="84" customWidth="1"/>
    <col min="6686" max="6686" width="14.5546875" style="84" customWidth="1"/>
    <col min="6687" max="6687" width="10" style="84" customWidth="1"/>
    <col min="6688" max="6688" width="7.88671875" style="84" bestFit="1" customWidth="1"/>
    <col min="6689" max="6689" width="9.88671875" style="84" customWidth="1"/>
    <col min="6690" max="6906" width="8.88671875" style="84"/>
    <col min="6907" max="6907" width="38.44140625" style="84" customWidth="1"/>
    <col min="6908" max="6908" width="8.5546875" style="84" customWidth="1"/>
    <col min="6909" max="6909" width="1.109375" style="84" customWidth="1"/>
    <col min="6910" max="6910" width="8.88671875" style="84" customWidth="1"/>
    <col min="6911" max="6911" width="1.109375" style="84" customWidth="1"/>
    <col min="6912" max="6912" width="9.109375" style="84" customWidth="1"/>
    <col min="6913" max="6913" width="1.109375" style="84" customWidth="1"/>
    <col min="6914" max="6914" width="10" style="84" customWidth="1"/>
    <col min="6915" max="6915" width="1.109375" style="84" customWidth="1"/>
    <col min="6916" max="6916" width="9.109375" style="84" customWidth="1"/>
    <col min="6917" max="6917" width="1.109375" style="84" customWidth="1"/>
    <col min="6918" max="6918" width="11.109375" style="84" customWidth="1"/>
    <col min="6919" max="6919" width="1.109375" style="84" customWidth="1"/>
    <col min="6920" max="6920" width="9.109375" style="84" customWidth="1"/>
    <col min="6921" max="6921" width="1.88671875" style="84" customWidth="1"/>
    <col min="6922" max="6922" width="11" style="84" customWidth="1"/>
    <col min="6923" max="6923" width="1.109375" style="84" customWidth="1"/>
    <col min="6924" max="6924" width="10.88671875" style="84" customWidth="1"/>
    <col min="6925" max="6925" width="1.109375" style="84" customWidth="1"/>
    <col min="6926" max="6926" width="10" style="84" customWidth="1"/>
    <col min="6927" max="6927" width="1.109375" style="84" customWidth="1"/>
    <col min="6928" max="6928" width="9.109375" style="84" customWidth="1"/>
    <col min="6929" max="6929" width="1.109375" style="84" customWidth="1"/>
    <col min="6930" max="6930" width="7.88671875" style="84" customWidth="1"/>
    <col min="6931" max="6931" width="1.109375" style="84" customWidth="1"/>
    <col min="6932" max="6932" width="0.88671875" style="84" customWidth="1"/>
    <col min="6933" max="6933" width="9.109375" style="84" customWidth="1"/>
    <col min="6934" max="6934" width="1.109375" style="84" customWidth="1"/>
    <col min="6935" max="6935" width="0.88671875" style="84" customWidth="1"/>
    <col min="6936" max="6936" width="9.5546875" style="84" bestFit="1" customWidth="1"/>
    <col min="6937" max="6938" width="0.88671875" style="84" customWidth="1"/>
    <col min="6939" max="6939" width="9.88671875" style="84" customWidth="1"/>
    <col min="6940" max="6940" width="1.109375" style="84" customWidth="1"/>
    <col min="6941" max="6941" width="8.5546875" style="84" customWidth="1"/>
    <col min="6942" max="6942" width="14.5546875" style="84" customWidth="1"/>
    <col min="6943" max="6943" width="10" style="84" customWidth="1"/>
    <col min="6944" max="6944" width="7.88671875" style="84" bestFit="1" customWidth="1"/>
    <col min="6945" max="6945" width="9.88671875" style="84" customWidth="1"/>
    <col min="6946" max="7162" width="8.88671875" style="84"/>
    <col min="7163" max="7163" width="38.44140625" style="84" customWidth="1"/>
    <col min="7164" max="7164" width="8.5546875" style="84" customWidth="1"/>
    <col min="7165" max="7165" width="1.109375" style="84" customWidth="1"/>
    <col min="7166" max="7166" width="8.88671875" style="84" customWidth="1"/>
    <col min="7167" max="7167" width="1.109375" style="84" customWidth="1"/>
    <col min="7168" max="7168" width="9.109375" style="84" customWidth="1"/>
    <col min="7169" max="7169" width="1.109375" style="84" customWidth="1"/>
    <col min="7170" max="7170" width="10" style="84" customWidth="1"/>
    <col min="7171" max="7171" width="1.109375" style="84" customWidth="1"/>
    <col min="7172" max="7172" width="9.109375" style="84" customWidth="1"/>
    <col min="7173" max="7173" width="1.109375" style="84" customWidth="1"/>
    <col min="7174" max="7174" width="11.109375" style="84" customWidth="1"/>
    <col min="7175" max="7175" width="1.109375" style="84" customWidth="1"/>
    <col min="7176" max="7176" width="9.109375" style="84" customWidth="1"/>
    <col min="7177" max="7177" width="1.88671875" style="84" customWidth="1"/>
    <col min="7178" max="7178" width="11" style="84" customWidth="1"/>
    <col min="7179" max="7179" width="1.109375" style="84" customWidth="1"/>
    <col min="7180" max="7180" width="10.88671875" style="84" customWidth="1"/>
    <col min="7181" max="7181" width="1.109375" style="84" customWidth="1"/>
    <col min="7182" max="7182" width="10" style="84" customWidth="1"/>
    <col min="7183" max="7183" width="1.109375" style="84" customWidth="1"/>
    <col min="7184" max="7184" width="9.109375" style="84" customWidth="1"/>
    <col min="7185" max="7185" width="1.109375" style="84" customWidth="1"/>
    <col min="7186" max="7186" width="7.88671875" style="84" customWidth="1"/>
    <col min="7187" max="7187" width="1.109375" style="84" customWidth="1"/>
    <col min="7188" max="7188" width="0.88671875" style="84" customWidth="1"/>
    <col min="7189" max="7189" width="9.109375" style="84" customWidth="1"/>
    <col min="7190" max="7190" width="1.109375" style="84" customWidth="1"/>
    <col min="7191" max="7191" width="0.88671875" style="84" customWidth="1"/>
    <col min="7192" max="7192" width="9.5546875" style="84" bestFit="1" customWidth="1"/>
    <col min="7193" max="7194" width="0.88671875" style="84" customWidth="1"/>
    <col min="7195" max="7195" width="9.88671875" style="84" customWidth="1"/>
    <col min="7196" max="7196" width="1.109375" style="84" customWidth="1"/>
    <col min="7197" max="7197" width="8.5546875" style="84" customWidth="1"/>
    <col min="7198" max="7198" width="14.5546875" style="84" customWidth="1"/>
    <col min="7199" max="7199" width="10" style="84" customWidth="1"/>
    <col min="7200" max="7200" width="7.88671875" style="84" bestFit="1" customWidth="1"/>
    <col min="7201" max="7201" width="9.88671875" style="84" customWidth="1"/>
    <col min="7202" max="7418" width="8.88671875" style="84"/>
    <col min="7419" max="7419" width="38.44140625" style="84" customWidth="1"/>
    <col min="7420" max="7420" width="8.5546875" style="84" customWidth="1"/>
    <col min="7421" max="7421" width="1.109375" style="84" customWidth="1"/>
    <col min="7422" max="7422" width="8.88671875" style="84" customWidth="1"/>
    <col min="7423" max="7423" width="1.109375" style="84" customWidth="1"/>
    <col min="7424" max="7424" width="9.109375" style="84" customWidth="1"/>
    <col min="7425" max="7425" width="1.109375" style="84" customWidth="1"/>
    <col min="7426" max="7426" width="10" style="84" customWidth="1"/>
    <col min="7427" max="7427" width="1.109375" style="84" customWidth="1"/>
    <col min="7428" max="7428" width="9.109375" style="84" customWidth="1"/>
    <col min="7429" max="7429" width="1.109375" style="84" customWidth="1"/>
    <col min="7430" max="7430" width="11.109375" style="84" customWidth="1"/>
    <col min="7431" max="7431" width="1.109375" style="84" customWidth="1"/>
    <col min="7432" max="7432" width="9.109375" style="84" customWidth="1"/>
    <col min="7433" max="7433" width="1.88671875" style="84" customWidth="1"/>
    <col min="7434" max="7434" width="11" style="84" customWidth="1"/>
    <col min="7435" max="7435" width="1.109375" style="84" customWidth="1"/>
    <col min="7436" max="7436" width="10.88671875" style="84" customWidth="1"/>
    <col min="7437" max="7437" width="1.109375" style="84" customWidth="1"/>
    <col min="7438" max="7438" width="10" style="84" customWidth="1"/>
    <col min="7439" max="7439" width="1.109375" style="84" customWidth="1"/>
    <col min="7440" max="7440" width="9.109375" style="84" customWidth="1"/>
    <col min="7441" max="7441" width="1.109375" style="84" customWidth="1"/>
    <col min="7442" max="7442" width="7.88671875" style="84" customWidth="1"/>
    <col min="7443" max="7443" width="1.109375" style="84" customWidth="1"/>
    <col min="7444" max="7444" width="0.88671875" style="84" customWidth="1"/>
    <col min="7445" max="7445" width="9.109375" style="84" customWidth="1"/>
    <col min="7446" max="7446" width="1.109375" style="84" customWidth="1"/>
    <col min="7447" max="7447" width="0.88671875" style="84" customWidth="1"/>
    <col min="7448" max="7448" width="9.5546875" style="84" bestFit="1" customWidth="1"/>
    <col min="7449" max="7450" width="0.88671875" style="84" customWidth="1"/>
    <col min="7451" max="7451" width="9.88671875" style="84" customWidth="1"/>
    <col min="7452" max="7452" width="1.109375" style="84" customWidth="1"/>
    <col min="7453" max="7453" width="8.5546875" style="84" customWidth="1"/>
    <col min="7454" max="7454" width="14.5546875" style="84" customWidth="1"/>
    <col min="7455" max="7455" width="10" style="84" customWidth="1"/>
    <col min="7456" max="7456" width="7.88671875" style="84" bestFit="1" customWidth="1"/>
    <col min="7457" max="7457" width="9.88671875" style="84" customWidth="1"/>
    <col min="7458" max="7674" width="8.88671875" style="84"/>
    <col min="7675" max="7675" width="38.44140625" style="84" customWidth="1"/>
    <col min="7676" max="7676" width="8.5546875" style="84" customWidth="1"/>
    <col min="7677" max="7677" width="1.109375" style="84" customWidth="1"/>
    <col min="7678" max="7678" width="8.88671875" style="84" customWidth="1"/>
    <col min="7679" max="7679" width="1.109375" style="84" customWidth="1"/>
    <col min="7680" max="7680" width="9.109375" style="84" customWidth="1"/>
    <col min="7681" max="7681" width="1.109375" style="84" customWidth="1"/>
    <col min="7682" max="7682" width="10" style="84" customWidth="1"/>
    <col min="7683" max="7683" width="1.109375" style="84" customWidth="1"/>
    <col min="7684" max="7684" width="9.109375" style="84" customWidth="1"/>
    <col min="7685" max="7685" width="1.109375" style="84" customWidth="1"/>
    <col min="7686" max="7686" width="11.109375" style="84" customWidth="1"/>
    <col min="7687" max="7687" width="1.109375" style="84" customWidth="1"/>
    <col min="7688" max="7688" width="9.109375" style="84" customWidth="1"/>
    <col min="7689" max="7689" width="1.88671875" style="84" customWidth="1"/>
    <col min="7690" max="7690" width="11" style="84" customWidth="1"/>
    <col min="7691" max="7691" width="1.109375" style="84" customWidth="1"/>
    <col min="7692" max="7692" width="10.88671875" style="84" customWidth="1"/>
    <col min="7693" max="7693" width="1.109375" style="84" customWidth="1"/>
    <col min="7694" max="7694" width="10" style="84" customWidth="1"/>
    <col min="7695" max="7695" width="1.109375" style="84" customWidth="1"/>
    <col min="7696" max="7696" width="9.109375" style="84" customWidth="1"/>
    <col min="7697" max="7697" width="1.109375" style="84" customWidth="1"/>
    <col min="7698" max="7698" width="7.88671875" style="84" customWidth="1"/>
    <col min="7699" max="7699" width="1.109375" style="84" customWidth="1"/>
    <col min="7700" max="7700" width="0.88671875" style="84" customWidth="1"/>
    <col min="7701" max="7701" width="9.109375" style="84" customWidth="1"/>
    <col min="7702" max="7702" width="1.109375" style="84" customWidth="1"/>
    <col min="7703" max="7703" width="0.88671875" style="84" customWidth="1"/>
    <col min="7704" max="7704" width="9.5546875" style="84" bestFit="1" customWidth="1"/>
    <col min="7705" max="7706" width="0.88671875" style="84" customWidth="1"/>
    <col min="7707" max="7707" width="9.88671875" style="84" customWidth="1"/>
    <col min="7708" max="7708" width="1.109375" style="84" customWidth="1"/>
    <col min="7709" max="7709" width="8.5546875" style="84" customWidth="1"/>
    <col min="7710" max="7710" width="14.5546875" style="84" customWidth="1"/>
    <col min="7711" max="7711" width="10" style="84" customWidth="1"/>
    <col min="7712" max="7712" width="7.88671875" style="84" bestFit="1" customWidth="1"/>
    <col min="7713" max="7713" width="9.88671875" style="84" customWidth="1"/>
    <col min="7714" max="7930" width="8.88671875" style="84"/>
    <col min="7931" max="7931" width="38.44140625" style="84" customWidth="1"/>
    <col min="7932" max="7932" width="8.5546875" style="84" customWidth="1"/>
    <col min="7933" max="7933" width="1.109375" style="84" customWidth="1"/>
    <col min="7934" max="7934" width="8.88671875" style="84" customWidth="1"/>
    <col min="7935" max="7935" width="1.109375" style="84" customWidth="1"/>
    <col min="7936" max="7936" width="9.109375" style="84" customWidth="1"/>
    <col min="7937" max="7937" width="1.109375" style="84" customWidth="1"/>
    <col min="7938" max="7938" width="10" style="84" customWidth="1"/>
    <col min="7939" max="7939" width="1.109375" style="84" customWidth="1"/>
    <col min="7940" max="7940" width="9.109375" style="84" customWidth="1"/>
    <col min="7941" max="7941" width="1.109375" style="84" customWidth="1"/>
    <col min="7942" max="7942" width="11.109375" style="84" customWidth="1"/>
    <col min="7943" max="7943" width="1.109375" style="84" customWidth="1"/>
    <col min="7944" max="7944" width="9.109375" style="84" customWidth="1"/>
    <col min="7945" max="7945" width="1.88671875" style="84" customWidth="1"/>
    <col min="7946" max="7946" width="11" style="84" customWidth="1"/>
    <col min="7947" max="7947" width="1.109375" style="84" customWidth="1"/>
    <col min="7948" max="7948" width="10.88671875" style="84" customWidth="1"/>
    <col min="7949" max="7949" width="1.109375" style="84" customWidth="1"/>
    <col min="7950" max="7950" width="10" style="84" customWidth="1"/>
    <col min="7951" max="7951" width="1.109375" style="84" customWidth="1"/>
    <col min="7952" max="7952" width="9.109375" style="84" customWidth="1"/>
    <col min="7953" max="7953" width="1.109375" style="84" customWidth="1"/>
    <col min="7954" max="7954" width="7.88671875" style="84" customWidth="1"/>
    <col min="7955" max="7955" width="1.109375" style="84" customWidth="1"/>
    <col min="7956" max="7956" width="0.88671875" style="84" customWidth="1"/>
    <col min="7957" max="7957" width="9.109375" style="84" customWidth="1"/>
    <col min="7958" max="7958" width="1.109375" style="84" customWidth="1"/>
    <col min="7959" max="7959" width="0.88671875" style="84" customWidth="1"/>
    <col min="7960" max="7960" width="9.5546875" style="84" bestFit="1" customWidth="1"/>
    <col min="7961" max="7962" width="0.88671875" style="84" customWidth="1"/>
    <col min="7963" max="7963" width="9.88671875" style="84" customWidth="1"/>
    <col min="7964" max="7964" width="1.109375" style="84" customWidth="1"/>
    <col min="7965" max="7965" width="8.5546875" style="84" customWidth="1"/>
    <col min="7966" max="7966" width="14.5546875" style="84" customWidth="1"/>
    <col min="7967" max="7967" width="10" style="84" customWidth="1"/>
    <col min="7968" max="7968" width="7.88671875" style="84" bestFit="1" customWidth="1"/>
    <col min="7969" max="7969" width="9.88671875" style="84" customWidth="1"/>
    <col min="7970" max="8186" width="8.88671875" style="84"/>
    <col min="8187" max="8187" width="38.44140625" style="84" customWidth="1"/>
    <col min="8188" max="8188" width="8.5546875" style="84" customWidth="1"/>
    <col min="8189" max="8189" width="1.109375" style="84" customWidth="1"/>
    <col min="8190" max="8190" width="8.88671875" style="84" customWidth="1"/>
    <col min="8191" max="8191" width="1.109375" style="84" customWidth="1"/>
    <col min="8192" max="8192" width="9.109375" style="84" customWidth="1"/>
    <col min="8193" max="8193" width="1.109375" style="84" customWidth="1"/>
    <col min="8194" max="8194" width="10" style="84" customWidth="1"/>
    <col min="8195" max="8195" width="1.109375" style="84" customWidth="1"/>
    <col min="8196" max="8196" width="9.109375" style="84" customWidth="1"/>
    <col min="8197" max="8197" width="1.109375" style="84" customWidth="1"/>
    <col min="8198" max="8198" width="11.109375" style="84" customWidth="1"/>
    <col min="8199" max="8199" width="1.109375" style="84" customWidth="1"/>
    <col min="8200" max="8200" width="9.109375" style="84" customWidth="1"/>
    <col min="8201" max="8201" width="1.88671875" style="84" customWidth="1"/>
    <col min="8202" max="8202" width="11" style="84" customWidth="1"/>
    <col min="8203" max="8203" width="1.109375" style="84" customWidth="1"/>
    <col min="8204" max="8204" width="10.88671875" style="84" customWidth="1"/>
    <col min="8205" max="8205" width="1.109375" style="84" customWidth="1"/>
    <col min="8206" max="8206" width="10" style="84" customWidth="1"/>
    <col min="8207" max="8207" width="1.109375" style="84" customWidth="1"/>
    <col min="8208" max="8208" width="9.109375" style="84" customWidth="1"/>
    <col min="8209" max="8209" width="1.109375" style="84" customWidth="1"/>
    <col min="8210" max="8210" width="7.88671875" style="84" customWidth="1"/>
    <col min="8211" max="8211" width="1.109375" style="84" customWidth="1"/>
    <col min="8212" max="8212" width="0.88671875" style="84" customWidth="1"/>
    <col min="8213" max="8213" width="9.109375" style="84" customWidth="1"/>
    <col min="8214" max="8214" width="1.109375" style="84" customWidth="1"/>
    <col min="8215" max="8215" width="0.88671875" style="84" customWidth="1"/>
    <col min="8216" max="8216" width="9.5546875" style="84" bestFit="1" customWidth="1"/>
    <col min="8217" max="8218" width="0.88671875" style="84" customWidth="1"/>
    <col min="8219" max="8219" width="9.88671875" style="84" customWidth="1"/>
    <col min="8220" max="8220" width="1.109375" style="84" customWidth="1"/>
    <col min="8221" max="8221" width="8.5546875" style="84" customWidth="1"/>
    <col min="8222" max="8222" width="14.5546875" style="84" customWidth="1"/>
    <col min="8223" max="8223" width="10" style="84" customWidth="1"/>
    <col min="8224" max="8224" width="7.88671875" style="84" bestFit="1" customWidth="1"/>
    <col min="8225" max="8225" width="9.88671875" style="84" customWidth="1"/>
    <col min="8226" max="8442" width="8.88671875" style="84"/>
    <col min="8443" max="8443" width="38.44140625" style="84" customWidth="1"/>
    <col min="8444" max="8444" width="8.5546875" style="84" customWidth="1"/>
    <col min="8445" max="8445" width="1.109375" style="84" customWidth="1"/>
    <col min="8446" max="8446" width="8.88671875" style="84" customWidth="1"/>
    <col min="8447" max="8447" width="1.109375" style="84" customWidth="1"/>
    <col min="8448" max="8448" width="9.109375" style="84" customWidth="1"/>
    <col min="8449" max="8449" width="1.109375" style="84" customWidth="1"/>
    <col min="8450" max="8450" width="10" style="84" customWidth="1"/>
    <col min="8451" max="8451" width="1.109375" style="84" customWidth="1"/>
    <col min="8452" max="8452" width="9.109375" style="84" customWidth="1"/>
    <col min="8453" max="8453" width="1.109375" style="84" customWidth="1"/>
    <col min="8454" max="8454" width="11.109375" style="84" customWidth="1"/>
    <col min="8455" max="8455" width="1.109375" style="84" customWidth="1"/>
    <col min="8456" max="8456" width="9.109375" style="84" customWidth="1"/>
    <col min="8457" max="8457" width="1.88671875" style="84" customWidth="1"/>
    <col min="8458" max="8458" width="11" style="84" customWidth="1"/>
    <col min="8459" max="8459" width="1.109375" style="84" customWidth="1"/>
    <col min="8460" max="8460" width="10.88671875" style="84" customWidth="1"/>
    <col min="8461" max="8461" width="1.109375" style="84" customWidth="1"/>
    <col min="8462" max="8462" width="10" style="84" customWidth="1"/>
    <col min="8463" max="8463" width="1.109375" style="84" customWidth="1"/>
    <col min="8464" max="8464" width="9.109375" style="84" customWidth="1"/>
    <col min="8465" max="8465" width="1.109375" style="84" customWidth="1"/>
    <col min="8466" max="8466" width="7.88671875" style="84" customWidth="1"/>
    <col min="8467" max="8467" width="1.109375" style="84" customWidth="1"/>
    <col min="8468" max="8468" width="0.88671875" style="84" customWidth="1"/>
    <col min="8469" max="8469" width="9.109375" style="84" customWidth="1"/>
    <col min="8470" max="8470" width="1.109375" style="84" customWidth="1"/>
    <col min="8471" max="8471" width="0.88671875" style="84" customWidth="1"/>
    <col min="8472" max="8472" width="9.5546875" style="84" bestFit="1" customWidth="1"/>
    <col min="8473" max="8474" width="0.88671875" style="84" customWidth="1"/>
    <col min="8475" max="8475" width="9.88671875" style="84" customWidth="1"/>
    <col min="8476" max="8476" width="1.109375" style="84" customWidth="1"/>
    <col min="8477" max="8477" width="8.5546875" style="84" customWidth="1"/>
    <col min="8478" max="8478" width="14.5546875" style="84" customWidth="1"/>
    <col min="8479" max="8479" width="10" style="84" customWidth="1"/>
    <col min="8480" max="8480" width="7.88671875" style="84" bestFit="1" customWidth="1"/>
    <col min="8481" max="8481" width="9.88671875" style="84" customWidth="1"/>
    <col min="8482" max="8698" width="8.88671875" style="84"/>
    <col min="8699" max="8699" width="38.44140625" style="84" customWidth="1"/>
    <col min="8700" max="8700" width="8.5546875" style="84" customWidth="1"/>
    <col min="8701" max="8701" width="1.109375" style="84" customWidth="1"/>
    <col min="8702" max="8702" width="8.88671875" style="84" customWidth="1"/>
    <col min="8703" max="8703" width="1.109375" style="84" customWidth="1"/>
    <col min="8704" max="8704" width="9.109375" style="84" customWidth="1"/>
    <col min="8705" max="8705" width="1.109375" style="84" customWidth="1"/>
    <col min="8706" max="8706" width="10" style="84" customWidth="1"/>
    <col min="8707" max="8707" width="1.109375" style="84" customWidth="1"/>
    <col min="8708" max="8708" width="9.109375" style="84" customWidth="1"/>
    <col min="8709" max="8709" width="1.109375" style="84" customWidth="1"/>
    <col min="8710" max="8710" width="11.109375" style="84" customWidth="1"/>
    <col min="8711" max="8711" width="1.109375" style="84" customWidth="1"/>
    <col min="8712" max="8712" width="9.109375" style="84" customWidth="1"/>
    <col min="8713" max="8713" width="1.88671875" style="84" customWidth="1"/>
    <col min="8714" max="8714" width="11" style="84" customWidth="1"/>
    <col min="8715" max="8715" width="1.109375" style="84" customWidth="1"/>
    <col min="8716" max="8716" width="10.88671875" style="84" customWidth="1"/>
    <col min="8717" max="8717" width="1.109375" style="84" customWidth="1"/>
    <col min="8718" max="8718" width="10" style="84" customWidth="1"/>
    <col min="8719" max="8719" width="1.109375" style="84" customWidth="1"/>
    <col min="8720" max="8720" width="9.109375" style="84" customWidth="1"/>
    <col min="8721" max="8721" width="1.109375" style="84" customWidth="1"/>
    <col min="8722" max="8722" width="7.88671875" style="84" customWidth="1"/>
    <col min="8723" max="8723" width="1.109375" style="84" customWidth="1"/>
    <col min="8724" max="8724" width="0.88671875" style="84" customWidth="1"/>
    <col min="8725" max="8725" width="9.109375" style="84" customWidth="1"/>
    <col min="8726" max="8726" width="1.109375" style="84" customWidth="1"/>
    <col min="8727" max="8727" width="0.88671875" style="84" customWidth="1"/>
    <col min="8728" max="8728" width="9.5546875" style="84" bestFit="1" customWidth="1"/>
    <col min="8729" max="8730" width="0.88671875" style="84" customWidth="1"/>
    <col min="8731" max="8731" width="9.88671875" style="84" customWidth="1"/>
    <col min="8732" max="8732" width="1.109375" style="84" customWidth="1"/>
    <col min="8733" max="8733" width="8.5546875" style="84" customWidth="1"/>
    <col min="8734" max="8734" width="14.5546875" style="84" customWidth="1"/>
    <col min="8735" max="8735" width="10" style="84" customWidth="1"/>
    <col min="8736" max="8736" width="7.88671875" style="84" bestFit="1" customWidth="1"/>
    <col min="8737" max="8737" width="9.88671875" style="84" customWidth="1"/>
    <col min="8738" max="8954" width="8.88671875" style="84"/>
    <col min="8955" max="8955" width="38.44140625" style="84" customWidth="1"/>
    <col min="8956" max="8956" width="8.5546875" style="84" customWidth="1"/>
    <col min="8957" max="8957" width="1.109375" style="84" customWidth="1"/>
    <col min="8958" max="8958" width="8.88671875" style="84" customWidth="1"/>
    <col min="8959" max="8959" width="1.109375" style="84" customWidth="1"/>
    <col min="8960" max="8960" width="9.109375" style="84" customWidth="1"/>
    <col min="8961" max="8961" width="1.109375" style="84" customWidth="1"/>
    <col min="8962" max="8962" width="10" style="84" customWidth="1"/>
    <col min="8963" max="8963" width="1.109375" style="84" customWidth="1"/>
    <col min="8964" max="8964" width="9.109375" style="84" customWidth="1"/>
    <col min="8965" max="8965" width="1.109375" style="84" customWidth="1"/>
    <col min="8966" max="8966" width="11.109375" style="84" customWidth="1"/>
    <col min="8967" max="8967" width="1.109375" style="84" customWidth="1"/>
    <col min="8968" max="8968" width="9.109375" style="84" customWidth="1"/>
    <col min="8969" max="8969" width="1.88671875" style="84" customWidth="1"/>
    <col min="8970" max="8970" width="11" style="84" customWidth="1"/>
    <col min="8971" max="8971" width="1.109375" style="84" customWidth="1"/>
    <col min="8972" max="8972" width="10.88671875" style="84" customWidth="1"/>
    <col min="8973" max="8973" width="1.109375" style="84" customWidth="1"/>
    <col min="8974" max="8974" width="10" style="84" customWidth="1"/>
    <col min="8975" max="8975" width="1.109375" style="84" customWidth="1"/>
    <col min="8976" max="8976" width="9.109375" style="84" customWidth="1"/>
    <col min="8977" max="8977" width="1.109375" style="84" customWidth="1"/>
    <col min="8978" max="8978" width="7.88671875" style="84" customWidth="1"/>
    <col min="8979" max="8979" width="1.109375" style="84" customWidth="1"/>
    <col min="8980" max="8980" width="0.88671875" style="84" customWidth="1"/>
    <col min="8981" max="8981" width="9.109375" style="84" customWidth="1"/>
    <col min="8982" max="8982" width="1.109375" style="84" customWidth="1"/>
    <col min="8983" max="8983" width="0.88671875" style="84" customWidth="1"/>
    <col min="8984" max="8984" width="9.5546875" style="84" bestFit="1" customWidth="1"/>
    <col min="8985" max="8986" width="0.88671875" style="84" customWidth="1"/>
    <col min="8987" max="8987" width="9.88671875" style="84" customWidth="1"/>
    <col min="8988" max="8988" width="1.109375" style="84" customWidth="1"/>
    <col min="8989" max="8989" width="8.5546875" style="84" customWidth="1"/>
    <col min="8990" max="8990" width="14.5546875" style="84" customWidth="1"/>
    <col min="8991" max="8991" width="10" style="84" customWidth="1"/>
    <col min="8992" max="8992" width="7.88671875" style="84" bestFit="1" customWidth="1"/>
    <col min="8993" max="8993" width="9.88671875" style="84" customWidth="1"/>
    <col min="8994" max="9210" width="8.88671875" style="84"/>
    <col min="9211" max="9211" width="38.44140625" style="84" customWidth="1"/>
    <col min="9212" max="9212" width="8.5546875" style="84" customWidth="1"/>
    <col min="9213" max="9213" width="1.109375" style="84" customWidth="1"/>
    <col min="9214" max="9214" width="8.88671875" style="84" customWidth="1"/>
    <col min="9215" max="9215" width="1.109375" style="84" customWidth="1"/>
    <col min="9216" max="9216" width="9.109375" style="84" customWidth="1"/>
    <col min="9217" max="9217" width="1.109375" style="84" customWidth="1"/>
    <col min="9218" max="9218" width="10" style="84" customWidth="1"/>
    <col min="9219" max="9219" width="1.109375" style="84" customWidth="1"/>
    <col min="9220" max="9220" width="9.109375" style="84" customWidth="1"/>
    <col min="9221" max="9221" width="1.109375" style="84" customWidth="1"/>
    <col min="9222" max="9222" width="11.109375" style="84" customWidth="1"/>
    <col min="9223" max="9223" width="1.109375" style="84" customWidth="1"/>
    <col min="9224" max="9224" width="9.109375" style="84" customWidth="1"/>
    <col min="9225" max="9225" width="1.88671875" style="84" customWidth="1"/>
    <col min="9226" max="9226" width="11" style="84" customWidth="1"/>
    <col min="9227" max="9227" width="1.109375" style="84" customWidth="1"/>
    <col min="9228" max="9228" width="10.88671875" style="84" customWidth="1"/>
    <col min="9229" max="9229" width="1.109375" style="84" customWidth="1"/>
    <col min="9230" max="9230" width="10" style="84" customWidth="1"/>
    <col min="9231" max="9231" width="1.109375" style="84" customWidth="1"/>
    <col min="9232" max="9232" width="9.109375" style="84" customWidth="1"/>
    <col min="9233" max="9233" width="1.109375" style="84" customWidth="1"/>
    <col min="9234" max="9234" width="7.88671875" style="84" customWidth="1"/>
    <col min="9235" max="9235" width="1.109375" style="84" customWidth="1"/>
    <col min="9236" max="9236" width="0.88671875" style="84" customWidth="1"/>
    <col min="9237" max="9237" width="9.109375" style="84" customWidth="1"/>
    <col min="9238" max="9238" width="1.109375" style="84" customWidth="1"/>
    <col min="9239" max="9239" width="0.88671875" style="84" customWidth="1"/>
    <col min="9240" max="9240" width="9.5546875" style="84" bestFit="1" customWidth="1"/>
    <col min="9241" max="9242" width="0.88671875" style="84" customWidth="1"/>
    <col min="9243" max="9243" width="9.88671875" style="84" customWidth="1"/>
    <col min="9244" max="9244" width="1.109375" style="84" customWidth="1"/>
    <col min="9245" max="9245" width="8.5546875" style="84" customWidth="1"/>
    <col min="9246" max="9246" width="14.5546875" style="84" customWidth="1"/>
    <col min="9247" max="9247" width="10" style="84" customWidth="1"/>
    <col min="9248" max="9248" width="7.88671875" style="84" bestFit="1" customWidth="1"/>
    <col min="9249" max="9249" width="9.88671875" style="84" customWidth="1"/>
    <col min="9250" max="9466" width="8.88671875" style="84"/>
    <col min="9467" max="9467" width="38.44140625" style="84" customWidth="1"/>
    <col min="9468" max="9468" width="8.5546875" style="84" customWidth="1"/>
    <col min="9469" max="9469" width="1.109375" style="84" customWidth="1"/>
    <col min="9470" max="9470" width="8.88671875" style="84" customWidth="1"/>
    <col min="9471" max="9471" width="1.109375" style="84" customWidth="1"/>
    <col min="9472" max="9472" width="9.109375" style="84" customWidth="1"/>
    <col min="9473" max="9473" width="1.109375" style="84" customWidth="1"/>
    <col min="9474" max="9474" width="10" style="84" customWidth="1"/>
    <col min="9475" max="9475" width="1.109375" style="84" customWidth="1"/>
    <col min="9476" max="9476" width="9.109375" style="84" customWidth="1"/>
    <col min="9477" max="9477" width="1.109375" style="84" customWidth="1"/>
    <col min="9478" max="9478" width="11.109375" style="84" customWidth="1"/>
    <col min="9479" max="9479" width="1.109375" style="84" customWidth="1"/>
    <col min="9480" max="9480" width="9.109375" style="84" customWidth="1"/>
    <col min="9481" max="9481" width="1.88671875" style="84" customWidth="1"/>
    <col min="9482" max="9482" width="11" style="84" customWidth="1"/>
    <col min="9483" max="9483" width="1.109375" style="84" customWidth="1"/>
    <col min="9484" max="9484" width="10.88671875" style="84" customWidth="1"/>
    <col min="9485" max="9485" width="1.109375" style="84" customWidth="1"/>
    <col min="9486" max="9486" width="10" style="84" customWidth="1"/>
    <col min="9487" max="9487" width="1.109375" style="84" customWidth="1"/>
    <col min="9488" max="9488" width="9.109375" style="84" customWidth="1"/>
    <col min="9489" max="9489" width="1.109375" style="84" customWidth="1"/>
    <col min="9490" max="9490" width="7.88671875" style="84" customWidth="1"/>
    <col min="9491" max="9491" width="1.109375" style="84" customWidth="1"/>
    <col min="9492" max="9492" width="0.88671875" style="84" customWidth="1"/>
    <col min="9493" max="9493" width="9.109375" style="84" customWidth="1"/>
    <col min="9494" max="9494" width="1.109375" style="84" customWidth="1"/>
    <col min="9495" max="9495" width="0.88671875" style="84" customWidth="1"/>
    <col min="9496" max="9496" width="9.5546875" style="84" bestFit="1" customWidth="1"/>
    <col min="9497" max="9498" width="0.88671875" style="84" customWidth="1"/>
    <col min="9499" max="9499" width="9.88671875" style="84" customWidth="1"/>
    <col min="9500" max="9500" width="1.109375" style="84" customWidth="1"/>
    <col min="9501" max="9501" width="8.5546875" style="84" customWidth="1"/>
    <col min="9502" max="9502" width="14.5546875" style="84" customWidth="1"/>
    <col min="9503" max="9503" width="10" style="84" customWidth="1"/>
    <col min="9504" max="9504" width="7.88671875" style="84" bestFit="1" customWidth="1"/>
    <col min="9505" max="9505" width="9.88671875" style="84" customWidth="1"/>
    <col min="9506" max="9722" width="8.88671875" style="84"/>
    <col min="9723" max="9723" width="38.44140625" style="84" customWidth="1"/>
    <col min="9724" max="9724" width="8.5546875" style="84" customWidth="1"/>
    <col min="9725" max="9725" width="1.109375" style="84" customWidth="1"/>
    <col min="9726" max="9726" width="8.88671875" style="84" customWidth="1"/>
    <col min="9727" max="9727" width="1.109375" style="84" customWidth="1"/>
    <col min="9728" max="9728" width="9.109375" style="84" customWidth="1"/>
    <col min="9729" max="9729" width="1.109375" style="84" customWidth="1"/>
    <col min="9730" max="9730" width="10" style="84" customWidth="1"/>
    <col min="9731" max="9731" width="1.109375" style="84" customWidth="1"/>
    <col min="9732" max="9732" width="9.109375" style="84" customWidth="1"/>
    <col min="9733" max="9733" width="1.109375" style="84" customWidth="1"/>
    <col min="9734" max="9734" width="11.109375" style="84" customWidth="1"/>
    <col min="9735" max="9735" width="1.109375" style="84" customWidth="1"/>
    <col min="9736" max="9736" width="9.109375" style="84" customWidth="1"/>
    <col min="9737" max="9737" width="1.88671875" style="84" customWidth="1"/>
    <col min="9738" max="9738" width="11" style="84" customWidth="1"/>
    <col min="9739" max="9739" width="1.109375" style="84" customWidth="1"/>
    <col min="9740" max="9740" width="10.88671875" style="84" customWidth="1"/>
    <col min="9741" max="9741" width="1.109375" style="84" customWidth="1"/>
    <col min="9742" max="9742" width="10" style="84" customWidth="1"/>
    <col min="9743" max="9743" width="1.109375" style="84" customWidth="1"/>
    <col min="9744" max="9744" width="9.109375" style="84" customWidth="1"/>
    <col min="9745" max="9745" width="1.109375" style="84" customWidth="1"/>
    <col min="9746" max="9746" width="7.88671875" style="84" customWidth="1"/>
    <col min="9747" max="9747" width="1.109375" style="84" customWidth="1"/>
    <col min="9748" max="9748" width="0.88671875" style="84" customWidth="1"/>
    <col min="9749" max="9749" width="9.109375" style="84" customWidth="1"/>
    <col min="9750" max="9750" width="1.109375" style="84" customWidth="1"/>
    <col min="9751" max="9751" width="0.88671875" style="84" customWidth="1"/>
    <col min="9752" max="9752" width="9.5546875" style="84" bestFit="1" customWidth="1"/>
    <col min="9753" max="9754" width="0.88671875" style="84" customWidth="1"/>
    <col min="9755" max="9755" width="9.88671875" style="84" customWidth="1"/>
    <col min="9756" max="9756" width="1.109375" style="84" customWidth="1"/>
    <col min="9757" max="9757" width="8.5546875" style="84" customWidth="1"/>
    <col min="9758" max="9758" width="14.5546875" style="84" customWidth="1"/>
    <col min="9759" max="9759" width="10" style="84" customWidth="1"/>
    <col min="9760" max="9760" width="7.88671875" style="84" bestFit="1" customWidth="1"/>
    <col min="9761" max="9761" width="9.88671875" style="84" customWidth="1"/>
    <col min="9762" max="9978" width="8.88671875" style="84"/>
    <col min="9979" max="9979" width="38.44140625" style="84" customWidth="1"/>
    <col min="9980" max="9980" width="8.5546875" style="84" customWidth="1"/>
    <col min="9981" max="9981" width="1.109375" style="84" customWidth="1"/>
    <col min="9982" max="9982" width="8.88671875" style="84" customWidth="1"/>
    <col min="9983" max="9983" width="1.109375" style="84" customWidth="1"/>
    <col min="9984" max="9984" width="9.109375" style="84" customWidth="1"/>
    <col min="9985" max="9985" width="1.109375" style="84" customWidth="1"/>
    <col min="9986" max="9986" width="10" style="84" customWidth="1"/>
    <col min="9987" max="9987" width="1.109375" style="84" customWidth="1"/>
    <col min="9988" max="9988" width="9.109375" style="84" customWidth="1"/>
    <col min="9989" max="9989" width="1.109375" style="84" customWidth="1"/>
    <col min="9990" max="9990" width="11.109375" style="84" customWidth="1"/>
    <col min="9991" max="9991" width="1.109375" style="84" customWidth="1"/>
    <col min="9992" max="9992" width="9.109375" style="84" customWidth="1"/>
    <col min="9993" max="9993" width="1.88671875" style="84" customWidth="1"/>
    <col min="9994" max="9994" width="11" style="84" customWidth="1"/>
    <col min="9995" max="9995" width="1.109375" style="84" customWidth="1"/>
    <col min="9996" max="9996" width="10.88671875" style="84" customWidth="1"/>
    <col min="9997" max="9997" width="1.109375" style="84" customWidth="1"/>
    <col min="9998" max="9998" width="10" style="84" customWidth="1"/>
    <col min="9999" max="9999" width="1.109375" style="84" customWidth="1"/>
    <col min="10000" max="10000" width="9.109375" style="84" customWidth="1"/>
    <col min="10001" max="10001" width="1.109375" style="84" customWidth="1"/>
    <col min="10002" max="10002" width="7.88671875" style="84" customWidth="1"/>
    <col min="10003" max="10003" width="1.109375" style="84" customWidth="1"/>
    <col min="10004" max="10004" width="0.88671875" style="84" customWidth="1"/>
    <col min="10005" max="10005" width="9.109375" style="84" customWidth="1"/>
    <col min="10006" max="10006" width="1.109375" style="84" customWidth="1"/>
    <col min="10007" max="10007" width="0.88671875" style="84" customWidth="1"/>
    <col min="10008" max="10008" width="9.5546875" style="84" bestFit="1" customWidth="1"/>
    <col min="10009" max="10010" width="0.88671875" style="84" customWidth="1"/>
    <col min="10011" max="10011" width="9.88671875" style="84" customWidth="1"/>
    <col min="10012" max="10012" width="1.109375" style="84" customWidth="1"/>
    <col min="10013" max="10013" width="8.5546875" style="84" customWidth="1"/>
    <col min="10014" max="10014" width="14.5546875" style="84" customWidth="1"/>
    <col min="10015" max="10015" width="10" style="84" customWidth="1"/>
    <col min="10016" max="10016" width="7.88671875" style="84" bestFit="1" customWidth="1"/>
    <col min="10017" max="10017" width="9.88671875" style="84" customWidth="1"/>
    <col min="10018" max="10234" width="8.88671875" style="84"/>
    <col min="10235" max="10235" width="38.44140625" style="84" customWidth="1"/>
    <col min="10236" max="10236" width="8.5546875" style="84" customWidth="1"/>
    <col min="10237" max="10237" width="1.109375" style="84" customWidth="1"/>
    <col min="10238" max="10238" width="8.88671875" style="84" customWidth="1"/>
    <col min="10239" max="10239" width="1.109375" style="84" customWidth="1"/>
    <col min="10240" max="10240" width="9.109375" style="84" customWidth="1"/>
    <col min="10241" max="10241" width="1.109375" style="84" customWidth="1"/>
    <col min="10242" max="10242" width="10" style="84" customWidth="1"/>
    <col min="10243" max="10243" width="1.109375" style="84" customWidth="1"/>
    <col min="10244" max="10244" width="9.109375" style="84" customWidth="1"/>
    <col min="10245" max="10245" width="1.109375" style="84" customWidth="1"/>
    <col min="10246" max="10246" width="11.109375" style="84" customWidth="1"/>
    <col min="10247" max="10247" width="1.109375" style="84" customWidth="1"/>
    <col min="10248" max="10248" width="9.109375" style="84" customWidth="1"/>
    <col min="10249" max="10249" width="1.88671875" style="84" customWidth="1"/>
    <col min="10250" max="10250" width="11" style="84" customWidth="1"/>
    <col min="10251" max="10251" width="1.109375" style="84" customWidth="1"/>
    <col min="10252" max="10252" width="10.88671875" style="84" customWidth="1"/>
    <col min="10253" max="10253" width="1.109375" style="84" customWidth="1"/>
    <col min="10254" max="10254" width="10" style="84" customWidth="1"/>
    <col min="10255" max="10255" width="1.109375" style="84" customWidth="1"/>
    <col min="10256" max="10256" width="9.109375" style="84" customWidth="1"/>
    <col min="10257" max="10257" width="1.109375" style="84" customWidth="1"/>
    <col min="10258" max="10258" width="7.88671875" style="84" customWidth="1"/>
    <col min="10259" max="10259" width="1.109375" style="84" customWidth="1"/>
    <col min="10260" max="10260" width="0.88671875" style="84" customWidth="1"/>
    <col min="10261" max="10261" width="9.109375" style="84" customWidth="1"/>
    <col min="10262" max="10262" width="1.109375" style="84" customWidth="1"/>
    <col min="10263" max="10263" width="0.88671875" style="84" customWidth="1"/>
    <col min="10264" max="10264" width="9.5546875" style="84" bestFit="1" customWidth="1"/>
    <col min="10265" max="10266" width="0.88671875" style="84" customWidth="1"/>
    <col min="10267" max="10267" width="9.88671875" style="84" customWidth="1"/>
    <col min="10268" max="10268" width="1.109375" style="84" customWidth="1"/>
    <col min="10269" max="10269" width="8.5546875" style="84" customWidth="1"/>
    <col min="10270" max="10270" width="14.5546875" style="84" customWidth="1"/>
    <col min="10271" max="10271" width="10" style="84" customWidth="1"/>
    <col min="10272" max="10272" width="7.88671875" style="84" bestFit="1" customWidth="1"/>
    <col min="10273" max="10273" width="9.88671875" style="84" customWidth="1"/>
    <col min="10274" max="10490" width="8.88671875" style="84"/>
    <col min="10491" max="10491" width="38.44140625" style="84" customWidth="1"/>
    <col min="10492" max="10492" width="8.5546875" style="84" customWidth="1"/>
    <col min="10493" max="10493" width="1.109375" style="84" customWidth="1"/>
    <col min="10494" max="10494" width="8.88671875" style="84" customWidth="1"/>
    <col min="10495" max="10495" width="1.109375" style="84" customWidth="1"/>
    <col min="10496" max="10496" width="9.109375" style="84" customWidth="1"/>
    <col min="10497" max="10497" width="1.109375" style="84" customWidth="1"/>
    <col min="10498" max="10498" width="10" style="84" customWidth="1"/>
    <col min="10499" max="10499" width="1.109375" style="84" customWidth="1"/>
    <col min="10500" max="10500" width="9.109375" style="84" customWidth="1"/>
    <col min="10501" max="10501" width="1.109375" style="84" customWidth="1"/>
    <col min="10502" max="10502" width="11.109375" style="84" customWidth="1"/>
    <col min="10503" max="10503" width="1.109375" style="84" customWidth="1"/>
    <col min="10504" max="10504" width="9.109375" style="84" customWidth="1"/>
    <col min="10505" max="10505" width="1.88671875" style="84" customWidth="1"/>
    <col min="10506" max="10506" width="11" style="84" customWidth="1"/>
    <col min="10507" max="10507" width="1.109375" style="84" customWidth="1"/>
    <col min="10508" max="10508" width="10.88671875" style="84" customWidth="1"/>
    <col min="10509" max="10509" width="1.109375" style="84" customWidth="1"/>
    <col min="10510" max="10510" width="10" style="84" customWidth="1"/>
    <col min="10511" max="10511" width="1.109375" style="84" customWidth="1"/>
    <col min="10512" max="10512" width="9.109375" style="84" customWidth="1"/>
    <col min="10513" max="10513" width="1.109375" style="84" customWidth="1"/>
    <col min="10514" max="10514" width="7.88671875" style="84" customWidth="1"/>
    <col min="10515" max="10515" width="1.109375" style="84" customWidth="1"/>
    <col min="10516" max="10516" width="0.88671875" style="84" customWidth="1"/>
    <col min="10517" max="10517" width="9.109375" style="84" customWidth="1"/>
    <col min="10518" max="10518" width="1.109375" style="84" customWidth="1"/>
    <col min="10519" max="10519" width="0.88671875" style="84" customWidth="1"/>
    <col min="10520" max="10520" width="9.5546875" style="84" bestFit="1" customWidth="1"/>
    <col min="10521" max="10522" width="0.88671875" style="84" customWidth="1"/>
    <col min="10523" max="10523" width="9.88671875" style="84" customWidth="1"/>
    <col min="10524" max="10524" width="1.109375" style="84" customWidth="1"/>
    <col min="10525" max="10525" width="8.5546875" style="84" customWidth="1"/>
    <col min="10526" max="10526" width="14.5546875" style="84" customWidth="1"/>
    <col min="10527" max="10527" width="10" style="84" customWidth="1"/>
    <col min="10528" max="10528" width="7.88671875" style="84" bestFit="1" customWidth="1"/>
    <col min="10529" max="10529" width="9.88671875" style="84" customWidth="1"/>
    <col min="10530" max="10746" width="8.88671875" style="84"/>
    <col min="10747" max="10747" width="38.44140625" style="84" customWidth="1"/>
    <col min="10748" max="10748" width="8.5546875" style="84" customWidth="1"/>
    <col min="10749" max="10749" width="1.109375" style="84" customWidth="1"/>
    <col min="10750" max="10750" width="8.88671875" style="84" customWidth="1"/>
    <col min="10751" max="10751" width="1.109375" style="84" customWidth="1"/>
    <col min="10752" max="10752" width="9.109375" style="84" customWidth="1"/>
    <col min="10753" max="10753" width="1.109375" style="84" customWidth="1"/>
    <col min="10754" max="10754" width="10" style="84" customWidth="1"/>
    <col min="10755" max="10755" width="1.109375" style="84" customWidth="1"/>
    <col min="10756" max="10756" width="9.109375" style="84" customWidth="1"/>
    <col min="10757" max="10757" width="1.109375" style="84" customWidth="1"/>
    <col min="10758" max="10758" width="11.109375" style="84" customWidth="1"/>
    <col min="10759" max="10759" width="1.109375" style="84" customWidth="1"/>
    <col min="10760" max="10760" width="9.109375" style="84" customWidth="1"/>
    <col min="10761" max="10761" width="1.88671875" style="84" customWidth="1"/>
    <col min="10762" max="10762" width="11" style="84" customWidth="1"/>
    <col min="10763" max="10763" width="1.109375" style="84" customWidth="1"/>
    <col min="10764" max="10764" width="10.88671875" style="84" customWidth="1"/>
    <col min="10765" max="10765" width="1.109375" style="84" customWidth="1"/>
    <col min="10766" max="10766" width="10" style="84" customWidth="1"/>
    <col min="10767" max="10767" width="1.109375" style="84" customWidth="1"/>
    <col min="10768" max="10768" width="9.109375" style="84" customWidth="1"/>
    <col min="10769" max="10769" width="1.109375" style="84" customWidth="1"/>
    <col min="10770" max="10770" width="7.88671875" style="84" customWidth="1"/>
    <col min="10771" max="10771" width="1.109375" style="84" customWidth="1"/>
    <col min="10772" max="10772" width="0.88671875" style="84" customWidth="1"/>
    <col min="10773" max="10773" width="9.109375" style="84" customWidth="1"/>
    <col min="10774" max="10774" width="1.109375" style="84" customWidth="1"/>
    <col min="10775" max="10775" width="0.88671875" style="84" customWidth="1"/>
    <col min="10776" max="10776" width="9.5546875" style="84" bestFit="1" customWidth="1"/>
    <col min="10777" max="10778" width="0.88671875" style="84" customWidth="1"/>
    <col min="10779" max="10779" width="9.88671875" style="84" customWidth="1"/>
    <col min="10780" max="10780" width="1.109375" style="84" customWidth="1"/>
    <col min="10781" max="10781" width="8.5546875" style="84" customWidth="1"/>
    <col min="10782" max="10782" width="14.5546875" style="84" customWidth="1"/>
    <col min="10783" max="10783" width="10" style="84" customWidth="1"/>
    <col min="10784" max="10784" width="7.88671875" style="84" bestFit="1" customWidth="1"/>
    <col min="10785" max="10785" width="9.88671875" style="84" customWidth="1"/>
    <col min="10786" max="11002" width="8.88671875" style="84"/>
    <col min="11003" max="11003" width="38.44140625" style="84" customWidth="1"/>
    <col min="11004" max="11004" width="8.5546875" style="84" customWidth="1"/>
    <col min="11005" max="11005" width="1.109375" style="84" customWidth="1"/>
    <col min="11006" max="11006" width="8.88671875" style="84" customWidth="1"/>
    <col min="11007" max="11007" width="1.109375" style="84" customWidth="1"/>
    <col min="11008" max="11008" width="9.109375" style="84" customWidth="1"/>
    <col min="11009" max="11009" width="1.109375" style="84" customWidth="1"/>
    <col min="11010" max="11010" width="10" style="84" customWidth="1"/>
    <col min="11011" max="11011" width="1.109375" style="84" customWidth="1"/>
    <col min="11012" max="11012" width="9.109375" style="84" customWidth="1"/>
    <col min="11013" max="11013" width="1.109375" style="84" customWidth="1"/>
    <col min="11014" max="11014" width="11.109375" style="84" customWidth="1"/>
    <col min="11015" max="11015" width="1.109375" style="84" customWidth="1"/>
    <col min="11016" max="11016" width="9.109375" style="84" customWidth="1"/>
    <col min="11017" max="11017" width="1.88671875" style="84" customWidth="1"/>
    <col min="11018" max="11018" width="11" style="84" customWidth="1"/>
    <col min="11019" max="11019" width="1.109375" style="84" customWidth="1"/>
    <col min="11020" max="11020" width="10.88671875" style="84" customWidth="1"/>
    <col min="11021" max="11021" width="1.109375" style="84" customWidth="1"/>
    <col min="11022" max="11022" width="10" style="84" customWidth="1"/>
    <col min="11023" max="11023" width="1.109375" style="84" customWidth="1"/>
    <col min="11024" max="11024" width="9.109375" style="84" customWidth="1"/>
    <col min="11025" max="11025" width="1.109375" style="84" customWidth="1"/>
    <col min="11026" max="11026" width="7.88671875" style="84" customWidth="1"/>
    <col min="11027" max="11027" width="1.109375" style="84" customWidth="1"/>
    <col min="11028" max="11028" width="0.88671875" style="84" customWidth="1"/>
    <col min="11029" max="11029" width="9.109375" style="84" customWidth="1"/>
    <col min="11030" max="11030" width="1.109375" style="84" customWidth="1"/>
    <col min="11031" max="11031" width="0.88671875" style="84" customWidth="1"/>
    <col min="11032" max="11032" width="9.5546875" style="84" bestFit="1" customWidth="1"/>
    <col min="11033" max="11034" width="0.88671875" style="84" customWidth="1"/>
    <col min="11035" max="11035" width="9.88671875" style="84" customWidth="1"/>
    <col min="11036" max="11036" width="1.109375" style="84" customWidth="1"/>
    <col min="11037" max="11037" width="8.5546875" style="84" customWidth="1"/>
    <col min="11038" max="11038" width="14.5546875" style="84" customWidth="1"/>
    <col min="11039" max="11039" width="10" style="84" customWidth="1"/>
    <col min="11040" max="11040" width="7.88671875" style="84" bestFit="1" customWidth="1"/>
    <col min="11041" max="11041" width="9.88671875" style="84" customWidth="1"/>
    <col min="11042" max="11258" width="8.88671875" style="84"/>
    <col min="11259" max="11259" width="38.44140625" style="84" customWidth="1"/>
    <col min="11260" max="11260" width="8.5546875" style="84" customWidth="1"/>
    <col min="11261" max="11261" width="1.109375" style="84" customWidth="1"/>
    <col min="11262" max="11262" width="8.88671875" style="84" customWidth="1"/>
    <col min="11263" max="11263" width="1.109375" style="84" customWidth="1"/>
    <col min="11264" max="11264" width="9.109375" style="84" customWidth="1"/>
    <col min="11265" max="11265" width="1.109375" style="84" customWidth="1"/>
    <col min="11266" max="11266" width="10" style="84" customWidth="1"/>
    <col min="11267" max="11267" width="1.109375" style="84" customWidth="1"/>
    <col min="11268" max="11268" width="9.109375" style="84" customWidth="1"/>
    <col min="11269" max="11269" width="1.109375" style="84" customWidth="1"/>
    <col min="11270" max="11270" width="11.109375" style="84" customWidth="1"/>
    <col min="11271" max="11271" width="1.109375" style="84" customWidth="1"/>
    <col min="11272" max="11272" width="9.109375" style="84" customWidth="1"/>
    <col min="11273" max="11273" width="1.88671875" style="84" customWidth="1"/>
    <col min="11274" max="11274" width="11" style="84" customWidth="1"/>
    <col min="11275" max="11275" width="1.109375" style="84" customWidth="1"/>
    <col min="11276" max="11276" width="10.88671875" style="84" customWidth="1"/>
    <col min="11277" max="11277" width="1.109375" style="84" customWidth="1"/>
    <col min="11278" max="11278" width="10" style="84" customWidth="1"/>
    <col min="11279" max="11279" width="1.109375" style="84" customWidth="1"/>
    <col min="11280" max="11280" width="9.109375" style="84" customWidth="1"/>
    <col min="11281" max="11281" width="1.109375" style="84" customWidth="1"/>
    <col min="11282" max="11282" width="7.88671875" style="84" customWidth="1"/>
    <col min="11283" max="11283" width="1.109375" style="84" customWidth="1"/>
    <col min="11284" max="11284" width="0.88671875" style="84" customWidth="1"/>
    <col min="11285" max="11285" width="9.109375" style="84" customWidth="1"/>
    <col min="11286" max="11286" width="1.109375" style="84" customWidth="1"/>
    <col min="11287" max="11287" width="0.88671875" style="84" customWidth="1"/>
    <col min="11288" max="11288" width="9.5546875" style="84" bestFit="1" customWidth="1"/>
    <col min="11289" max="11290" width="0.88671875" style="84" customWidth="1"/>
    <col min="11291" max="11291" width="9.88671875" style="84" customWidth="1"/>
    <col min="11292" max="11292" width="1.109375" style="84" customWidth="1"/>
    <col min="11293" max="11293" width="8.5546875" style="84" customWidth="1"/>
    <col min="11294" max="11294" width="14.5546875" style="84" customWidth="1"/>
    <col min="11295" max="11295" width="10" style="84" customWidth="1"/>
    <col min="11296" max="11296" width="7.88671875" style="84" bestFit="1" customWidth="1"/>
    <col min="11297" max="11297" width="9.88671875" style="84" customWidth="1"/>
    <col min="11298" max="11514" width="8.88671875" style="84"/>
    <col min="11515" max="11515" width="38.44140625" style="84" customWidth="1"/>
    <col min="11516" max="11516" width="8.5546875" style="84" customWidth="1"/>
    <col min="11517" max="11517" width="1.109375" style="84" customWidth="1"/>
    <col min="11518" max="11518" width="8.88671875" style="84" customWidth="1"/>
    <col min="11519" max="11519" width="1.109375" style="84" customWidth="1"/>
    <col min="11520" max="11520" width="9.109375" style="84" customWidth="1"/>
    <col min="11521" max="11521" width="1.109375" style="84" customWidth="1"/>
    <col min="11522" max="11522" width="10" style="84" customWidth="1"/>
    <col min="11523" max="11523" width="1.109375" style="84" customWidth="1"/>
    <col min="11524" max="11524" width="9.109375" style="84" customWidth="1"/>
    <col min="11525" max="11525" width="1.109375" style="84" customWidth="1"/>
    <col min="11526" max="11526" width="11.109375" style="84" customWidth="1"/>
    <col min="11527" max="11527" width="1.109375" style="84" customWidth="1"/>
    <col min="11528" max="11528" width="9.109375" style="84" customWidth="1"/>
    <col min="11529" max="11529" width="1.88671875" style="84" customWidth="1"/>
    <col min="11530" max="11530" width="11" style="84" customWidth="1"/>
    <col min="11531" max="11531" width="1.109375" style="84" customWidth="1"/>
    <col min="11532" max="11532" width="10.88671875" style="84" customWidth="1"/>
    <col min="11533" max="11533" width="1.109375" style="84" customWidth="1"/>
    <col min="11534" max="11534" width="10" style="84" customWidth="1"/>
    <col min="11535" max="11535" width="1.109375" style="84" customWidth="1"/>
    <col min="11536" max="11536" width="9.109375" style="84" customWidth="1"/>
    <col min="11537" max="11537" width="1.109375" style="84" customWidth="1"/>
    <col min="11538" max="11538" width="7.88671875" style="84" customWidth="1"/>
    <col min="11539" max="11539" width="1.109375" style="84" customWidth="1"/>
    <col min="11540" max="11540" width="0.88671875" style="84" customWidth="1"/>
    <col min="11541" max="11541" width="9.109375" style="84" customWidth="1"/>
    <col min="11542" max="11542" width="1.109375" style="84" customWidth="1"/>
    <col min="11543" max="11543" width="0.88671875" style="84" customWidth="1"/>
    <col min="11544" max="11544" width="9.5546875" style="84" bestFit="1" customWidth="1"/>
    <col min="11545" max="11546" width="0.88671875" style="84" customWidth="1"/>
    <col min="11547" max="11547" width="9.88671875" style="84" customWidth="1"/>
    <col min="11548" max="11548" width="1.109375" style="84" customWidth="1"/>
    <col min="11549" max="11549" width="8.5546875" style="84" customWidth="1"/>
    <col min="11550" max="11550" width="14.5546875" style="84" customWidth="1"/>
    <col min="11551" max="11551" width="10" style="84" customWidth="1"/>
    <col min="11552" max="11552" width="7.88671875" style="84" bestFit="1" customWidth="1"/>
    <col min="11553" max="11553" width="9.88671875" style="84" customWidth="1"/>
    <col min="11554" max="11770" width="8.88671875" style="84"/>
    <col min="11771" max="11771" width="38.44140625" style="84" customWidth="1"/>
    <col min="11772" max="11772" width="8.5546875" style="84" customWidth="1"/>
    <col min="11773" max="11773" width="1.109375" style="84" customWidth="1"/>
    <col min="11774" max="11774" width="8.88671875" style="84" customWidth="1"/>
    <col min="11775" max="11775" width="1.109375" style="84" customWidth="1"/>
    <col min="11776" max="11776" width="9.109375" style="84" customWidth="1"/>
    <col min="11777" max="11777" width="1.109375" style="84" customWidth="1"/>
    <col min="11778" max="11778" width="10" style="84" customWidth="1"/>
    <col min="11779" max="11779" width="1.109375" style="84" customWidth="1"/>
    <col min="11780" max="11780" width="9.109375" style="84" customWidth="1"/>
    <col min="11781" max="11781" width="1.109375" style="84" customWidth="1"/>
    <col min="11782" max="11782" width="11.109375" style="84" customWidth="1"/>
    <col min="11783" max="11783" width="1.109375" style="84" customWidth="1"/>
    <col min="11784" max="11784" width="9.109375" style="84" customWidth="1"/>
    <col min="11785" max="11785" width="1.88671875" style="84" customWidth="1"/>
    <col min="11786" max="11786" width="11" style="84" customWidth="1"/>
    <col min="11787" max="11787" width="1.109375" style="84" customWidth="1"/>
    <col min="11788" max="11788" width="10.88671875" style="84" customWidth="1"/>
    <col min="11789" max="11789" width="1.109375" style="84" customWidth="1"/>
    <col min="11790" max="11790" width="10" style="84" customWidth="1"/>
    <col min="11791" max="11791" width="1.109375" style="84" customWidth="1"/>
    <col min="11792" max="11792" width="9.109375" style="84" customWidth="1"/>
    <col min="11793" max="11793" width="1.109375" style="84" customWidth="1"/>
    <col min="11794" max="11794" width="7.88671875" style="84" customWidth="1"/>
    <col min="11795" max="11795" width="1.109375" style="84" customWidth="1"/>
    <col min="11796" max="11796" width="0.88671875" style="84" customWidth="1"/>
    <col min="11797" max="11797" width="9.109375" style="84" customWidth="1"/>
    <col min="11798" max="11798" width="1.109375" style="84" customWidth="1"/>
    <col min="11799" max="11799" width="0.88671875" style="84" customWidth="1"/>
    <col min="11800" max="11800" width="9.5546875" style="84" bestFit="1" customWidth="1"/>
    <col min="11801" max="11802" width="0.88671875" style="84" customWidth="1"/>
    <col min="11803" max="11803" width="9.88671875" style="84" customWidth="1"/>
    <col min="11804" max="11804" width="1.109375" style="84" customWidth="1"/>
    <col min="11805" max="11805" width="8.5546875" style="84" customWidth="1"/>
    <col min="11806" max="11806" width="14.5546875" style="84" customWidth="1"/>
    <col min="11807" max="11807" width="10" style="84" customWidth="1"/>
    <col min="11808" max="11808" width="7.88671875" style="84" bestFit="1" customWidth="1"/>
    <col min="11809" max="11809" width="9.88671875" style="84" customWidth="1"/>
    <col min="11810" max="12026" width="8.88671875" style="84"/>
    <col min="12027" max="12027" width="38.44140625" style="84" customWidth="1"/>
    <col min="12028" max="12028" width="8.5546875" style="84" customWidth="1"/>
    <col min="12029" max="12029" width="1.109375" style="84" customWidth="1"/>
    <col min="12030" max="12030" width="8.88671875" style="84" customWidth="1"/>
    <col min="12031" max="12031" width="1.109375" style="84" customWidth="1"/>
    <col min="12032" max="12032" width="9.109375" style="84" customWidth="1"/>
    <col min="12033" max="12033" width="1.109375" style="84" customWidth="1"/>
    <col min="12034" max="12034" width="10" style="84" customWidth="1"/>
    <col min="12035" max="12035" width="1.109375" style="84" customWidth="1"/>
    <col min="12036" max="12036" width="9.109375" style="84" customWidth="1"/>
    <col min="12037" max="12037" width="1.109375" style="84" customWidth="1"/>
    <col min="12038" max="12038" width="11.109375" style="84" customWidth="1"/>
    <col min="12039" max="12039" width="1.109375" style="84" customWidth="1"/>
    <col min="12040" max="12040" width="9.109375" style="84" customWidth="1"/>
    <col min="12041" max="12041" width="1.88671875" style="84" customWidth="1"/>
    <col min="12042" max="12042" width="11" style="84" customWidth="1"/>
    <col min="12043" max="12043" width="1.109375" style="84" customWidth="1"/>
    <col min="12044" max="12044" width="10.88671875" style="84" customWidth="1"/>
    <col min="12045" max="12045" width="1.109375" style="84" customWidth="1"/>
    <col min="12046" max="12046" width="10" style="84" customWidth="1"/>
    <col min="12047" max="12047" width="1.109375" style="84" customWidth="1"/>
    <col min="12048" max="12048" width="9.109375" style="84" customWidth="1"/>
    <col min="12049" max="12049" width="1.109375" style="84" customWidth="1"/>
    <col min="12050" max="12050" width="7.88671875" style="84" customWidth="1"/>
    <col min="12051" max="12051" width="1.109375" style="84" customWidth="1"/>
    <col min="12052" max="12052" width="0.88671875" style="84" customWidth="1"/>
    <col min="12053" max="12053" width="9.109375" style="84" customWidth="1"/>
    <col min="12054" max="12054" width="1.109375" style="84" customWidth="1"/>
    <col min="12055" max="12055" width="0.88671875" style="84" customWidth="1"/>
    <col min="12056" max="12056" width="9.5546875" style="84" bestFit="1" customWidth="1"/>
    <col min="12057" max="12058" width="0.88671875" style="84" customWidth="1"/>
    <col min="12059" max="12059" width="9.88671875" style="84" customWidth="1"/>
    <col min="12060" max="12060" width="1.109375" style="84" customWidth="1"/>
    <col min="12061" max="12061" width="8.5546875" style="84" customWidth="1"/>
    <col min="12062" max="12062" width="14.5546875" style="84" customWidth="1"/>
    <col min="12063" max="12063" width="10" style="84" customWidth="1"/>
    <col min="12064" max="12064" width="7.88671875" style="84" bestFit="1" customWidth="1"/>
    <col min="12065" max="12065" width="9.88671875" style="84" customWidth="1"/>
    <col min="12066" max="12282" width="8.88671875" style="84"/>
    <col min="12283" max="12283" width="38.44140625" style="84" customWidth="1"/>
    <col min="12284" max="12284" width="8.5546875" style="84" customWidth="1"/>
    <col min="12285" max="12285" width="1.109375" style="84" customWidth="1"/>
    <col min="12286" max="12286" width="8.88671875" style="84" customWidth="1"/>
    <col min="12287" max="12287" width="1.109375" style="84" customWidth="1"/>
    <col min="12288" max="12288" width="9.109375" style="84" customWidth="1"/>
    <col min="12289" max="12289" width="1.109375" style="84" customWidth="1"/>
    <col min="12290" max="12290" width="10" style="84" customWidth="1"/>
    <col min="12291" max="12291" width="1.109375" style="84" customWidth="1"/>
    <col min="12292" max="12292" width="9.109375" style="84" customWidth="1"/>
    <col min="12293" max="12293" width="1.109375" style="84" customWidth="1"/>
    <col min="12294" max="12294" width="11.109375" style="84" customWidth="1"/>
    <col min="12295" max="12295" width="1.109375" style="84" customWidth="1"/>
    <col min="12296" max="12296" width="9.109375" style="84" customWidth="1"/>
    <col min="12297" max="12297" width="1.88671875" style="84" customWidth="1"/>
    <col min="12298" max="12298" width="11" style="84" customWidth="1"/>
    <col min="12299" max="12299" width="1.109375" style="84" customWidth="1"/>
    <col min="12300" max="12300" width="10.88671875" style="84" customWidth="1"/>
    <col min="12301" max="12301" width="1.109375" style="84" customWidth="1"/>
    <col min="12302" max="12302" width="10" style="84" customWidth="1"/>
    <col min="12303" max="12303" width="1.109375" style="84" customWidth="1"/>
    <col min="12304" max="12304" width="9.109375" style="84" customWidth="1"/>
    <col min="12305" max="12305" width="1.109375" style="84" customWidth="1"/>
    <col min="12306" max="12306" width="7.88671875" style="84" customWidth="1"/>
    <col min="12307" max="12307" width="1.109375" style="84" customWidth="1"/>
    <col min="12308" max="12308" width="0.88671875" style="84" customWidth="1"/>
    <col min="12309" max="12309" width="9.109375" style="84" customWidth="1"/>
    <col min="12310" max="12310" width="1.109375" style="84" customWidth="1"/>
    <col min="12311" max="12311" width="0.88671875" style="84" customWidth="1"/>
    <col min="12312" max="12312" width="9.5546875" style="84" bestFit="1" customWidth="1"/>
    <col min="12313" max="12314" width="0.88671875" style="84" customWidth="1"/>
    <col min="12315" max="12315" width="9.88671875" style="84" customWidth="1"/>
    <col min="12316" max="12316" width="1.109375" style="84" customWidth="1"/>
    <col min="12317" max="12317" width="8.5546875" style="84" customWidth="1"/>
    <col min="12318" max="12318" width="14.5546875" style="84" customWidth="1"/>
    <col min="12319" max="12319" width="10" style="84" customWidth="1"/>
    <col min="12320" max="12320" width="7.88671875" style="84" bestFit="1" customWidth="1"/>
    <col min="12321" max="12321" width="9.88671875" style="84" customWidth="1"/>
    <col min="12322" max="12538" width="8.88671875" style="84"/>
    <col min="12539" max="12539" width="38.44140625" style="84" customWidth="1"/>
    <col min="12540" max="12540" width="8.5546875" style="84" customWidth="1"/>
    <col min="12541" max="12541" width="1.109375" style="84" customWidth="1"/>
    <col min="12542" max="12542" width="8.88671875" style="84" customWidth="1"/>
    <col min="12543" max="12543" width="1.109375" style="84" customWidth="1"/>
    <col min="12544" max="12544" width="9.109375" style="84" customWidth="1"/>
    <col min="12545" max="12545" width="1.109375" style="84" customWidth="1"/>
    <col min="12546" max="12546" width="10" style="84" customWidth="1"/>
    <col min="12547" max="12547" width="1.109375" style="84" customWidth="1"/>
    <col min="12548" max="12548" width="9.109375" style="84" customWidth="1"/>
    <col min="12549" max="12549" width="1.109375" style="84" customWidth="1"/>
    <col min="12550" max="12550" width="11.109375" style="84" customWidth="1"/>
    <col min="12551" max="12551" width="1.109375" style="84" customWidth="1"/>
    <col min="12552" max="12552" width="9.109375" style="84" customWidth="1"/>
    <col min="12553" max="12553" width="1.88671875" style="84" customWidth="1"/>
    <col min="12554" max="12554" width="11" style="84" customWidth="1"/>
    <col min="12555" max="12555" width="1.109375" style="84" customWidth="1"/>
    <col min="12556" max="12556" width="10.88671875" style="84" customWidth="1"/>
    <col min="12557" max="12557" width="1.109375" style="84" customWidth="1"/>
    <col min="12558" max="12558" width="10" style="84" customWidth="1"/>
    <col min="12559" max="12559" width="1.109375" style="84" customWidth="1"/>
    <col min="12560" max="12560" width="9.109375" style="84" customWidth="1"/>
    <col min="12561" max="12561" width="1.109375" style="84" customWidth="1"/>
    <col min="12562" max="12562" width="7.88671875" style="84" customWidth="1"/>
    <col min="12563" max="12563" width="1.109375" style="84" customWidth="1"/>
    <col min="12564" max="12564" width="0.88671875" style="84" customWidth="1"/>
    <col min="12565" max="12565" width="9.109375" style="84" customWidth="1"/>
    <col min="12566" max="12566" width="1.109375" style="84" customWidth="1"/>
    <col min="12567" max="12567" width="0.88671875" style="84" customWidth="1"/>
    <col min="12568" max="12568" width="9.5546875" style="84" bestFit="1" customWidth="1"/>
    <col min="12569" max="12570" width="0.88671875" style="84" customWidth="1"/>
    <col min="12571" max="12571" width="9.88671875" style="84" customWidth="1"/>
    <col min="12572" max="12572" width="1.109375" style="84" customWidth="1"/>
    <col min="12573" max="12573" width="8.5546875" style="84" customWidth="1"/>
    <col min="12574" max="12574" width="14.5546875" style="84" customWidth="1"/>
    <col min="12575" max="12575" width="10" style="84" customWidth="1"/>
    <col min="12576" max="12576" width="7.88671875" style="84" bestFit="1" customWidth="1"/>
    <col min="12577" max="12577" width="9.88671875" style="84" customWidth="1"/>
    <col min="12578" max="12794" width="8.88671875" style="84"/>
    <col min="12795" max="12795" width="38.44140625" style="84" customWidth="1"/>
    <col min="12796" max="12796" width="8.5546875" style="84" customWidth="1"/>
    <col min="12797" max="12797" width="1.109375" style="84" customWidth="1"/>
    <col min="12798" max="12798" width="8.88671875" style="84" customWidth="1"/>
    <col min="12799" max="12799" width="1.109375" style="84" customWidth="1"/>
    <col min="12800" max="12800" width="9.109375" style="84" customWidth="1"/>
    <col min="12801" max="12801" width="1.109375" style="84" customWidth="1"/>
    <col min="12802" max="12802" width="10" style="84" customWidth="1"/>
    <col min="12803" max="12803" width="1.109375" style="84" customWidth="1"/>
    <col min="12804" max="12804" width="9.109375" style="84" customWidth="1"/>
    <col min="12805" max="12805" width="1.109375" style="84" customWidth="1"/>
    <col min="12806" max="12806" width="11.109375" style="84" customWidth="1"/>
    <col min="12807" max="12807" width="1.109375" style="84" customWidth="1"/>
    <col min="12808" max="12808" width="9.109375" style="84" customWidth="1"/>
    <col min="12809" max="12809" width="1.88671875" style="84" customWidth="1"/>
    <col min="12810" max="12810" width="11" style="84" customWidth="1"/>
    <col min="12811" max="12811" width="1.109375" style="84" customWidth="1"/>
    <col min="12812" max="12812" width="10.88671875" style="84" customWidth="1"/>
    <col min="12813" max="12813" width="1.109375" style="84" customWidth="1"/>
    <col min="12814" max="12814" width="10" style="84" customWidth="1"/>
    <col min="12815" max="12815" width="1.109375" style="84" customWidth="1"/>
    <col min="12816" max="12816" width="9.109375" style="84" customWidth="1"/>
    <col min="12817" max="12817" width="1.109375" style="84" customWidth="1"/>
    <col min="12818" max="12818" width="7.88671875" style="84" customWidth="1"/>
    <col min="12819" max="12819" width="1.109375" style="84" customWidth="1"/>
    <col min="12820" max="12820" width="0.88671875" style="84" customWidth="1"/>
    <col min="12821" max="12821" width="9.109375" style="84" customWidth="1"/>
    <col min="12822" max="12822" width="1.109375" style="84" customWidth="1"/>
    <col min="12823" max="12823" width="0.88671875" style="84" customWidth="1"/>
    <col min="12824" max="12824" width="9.5546875" style="84" bestFit="1" customWidth="1"/>
    <col min="12825" max="12826" width="0.88671875" style="84" customWidth="1"/>
    <col min="12827" max="12827" width="9.88671875" style="84" customWidth="1"/>
    <col min="12828" max="12828" width="1.109375" style="84" customWidth="1"/>
    <col min="12829" max="12829" width="8.5546875" style="84" customWidth="1"/>
    <col min="12830" max="12830" width="14.5546875" style="84" customWidth="1"/>
    <col min="12831" max="12831" width="10" style="84" customWidth="1"/>
    <col min="12832" max="12832" width="7.88671875" style="84" bestFit="1" customWidth="1"/>
    <col min="12833" max="12833" width="9.88671875" style="84" customWidth="1"/>
    <col min="12834" max="13050" width="8.88671875" style="84"/>
    <col min="13051" max="13051" width="38.44140625" style="84" customWidth="1"/>
    <col min="13052" max="13052" width="8.5546875" style="84" customWidth="1"/>
    <col min="13053" max="13053" width="1.109375" style="84" customWidth="1"/>
    <col min="13054" max="13054" width="8.88671875" style="84" customWidth="1"/>
    <col min="13055" max="13055" width="1.109375" style="84" customWidth="1"/>
    <col min="13056" max="13056" width="9.109375" style="84" customWidth="1"/>
    <col min="13057" max="13057" width="1.109375" style="84" customWidth="1"/>
    <col min="13058" max="13058" width="10" style="84" customWidth="1"/>
    <col min="13059" max="13059" width="1.109375" style="84" customWidth="1"/>
    <col min="13060" max="13060" width="9.109375" style="84" customWidth="1"/>
    <col min="13061" max="13061" width="1.109375" style="84" customWidth="1"/>
    <col min="13062" max="13062" width="11.109375" style="84" customWidth="1"/>
    <col min="13063" max="13063" width="1.109375" style="84" customWidth="1"/>
    <col min="13064" max="13064" width="9.109375" style="84" customWidth="1"/>
    <col min="13065" max="13065" width="1.88671875" style="84" customWidth="1"/>
    <col min="13066" max="13066" width="11" style="84" customWidth="1"/>
    <col min="13067" max="13067" width="1.109375" style="84" customWidth="1"/>
    <col min="13068" max="13068" width="10.88671875" style="84" customWidth="1"/>
    <col min="13069" max="13069" width="1.109375" style="84" customWidth="1"/>
    <col min="13070" max="13070" width="10" style="84" customWidth="1"/>
    <col min="13071" max="13071" width="1.109375" style="84" customWidth="1"/>
    <col min="13072" max="13072" width="9.109375" style="84" customWidth="1"/>
    <col min="13073" max="13073" width="1.109375" style="84" customWidth="1"/>
    <col min="13074" max="13074" width="7.88671875" style="84" customWidth="1"/>
    <col min="13075" max="13075" width="1.109375" style="84" customWidth="1"/>
    <col min="13076" max="13076" width="0.88671875" style="84" customWidth="1"/>
    <col min="13077" max="13077" width="9.109375" style="84" customWidth="1"/>
    <col min="13078" max="13078" width="1.109375" style="84" customWidth="1"/>
    <col min="13079" max="13079" width="0.88671875" style="84" customWidth="1"/>
    <col min="13080" max="13080" width="9.5546875" style="84" bestFit="1" customWidth="1"/>
    <col min="13081" max="13082" width="0.88671875" style="84" customWidth="1"/>
    <col min="13083" max="13083" width="9.88671875" style="84" customWidth="1"/>
    <col min="13084" max="13084" width="1.109375" style="84" customWidth="1"/>
    <col min="13085" max="13085" width="8.5546875" style="84" customWidth="1"/>
    <col min="13086" max="13086" width="14.5546875" style="84" customWidth="1"/>
    <col min="13087" max="13087" width="10" style="84" customWidth="1"/>
    <col min="13088" max="13088" width="7.88671875" style="84" bestFit="1" customWidth="1"/>
    <col min="13089" max="13089" width="9.88671875" style="84" customWidth="1"/>
    <col min="13090" max="13306" width="8.88671875" style="84"/>
    <col min="13307" max="13307" width="38.44140625" style="84" customWidth="1"/>
    <col min="13308" max="13308" width="8.5546875" style="84" customWidth="1"/>
    <col min="13309" max="13309" width="1.109375" style="84" customWidth="1"/>
    <col min="13310" max="13310" width="8.88671875" style="84" customWidth="1"/>
    <col min="13311" max="13311" width="1.109375" style="84" customWidth="1"/>
    <col min="13312" max="13312" width="9.109375" style="84" customWidth="1"/>
    <col min="13313" max="13313" width="1.109375" style="84" customWidth="1"/>
    <col min="13314" max="13314" width="10" style="84" customWidth="1"/>
    <col min="13315" max="13315" width="1.109375" style="84" customWidth="1"/>
    <col min="13316" max="13316" width="9.109375" style="84" customWidth="1"/>
    <col min="13317" max="13317" width="1.109375" style="84" customWidth="1"/>
    <col min="13318" max="13318" width="11.109375" style="84" customWidth="1"/>
    <col min="13319" max="13319" width="1.109375" style="84" customWidth="1"/>
    <col min="13320" max="13320" width="9.109375" style="84" customWidth="1"/>
    <col min="13321" max="13321" width="1.88671875" style="84" customWidth="1"/>
    <col min="13322" max="13322" width="11" style="84" customWidth="1"/>
    <col min="13323" max="13323" width="1.109375" style="84" customWidth="1"/>
    <col min="13324" max="13324" width="10.88671875" style="84" customWidth="1"/>
    <col min="13325" max="13325" width="1.109375" style="84" customWidth="1"/>
    <col min="13326" max="13326" width="10" style="84" customWidth="1"/>
    <col min="13327" max="13327" width="1.109375" style="84" customWidth="1"/>
    <col min="13328" max="13328" width="9.109375" style="84" customWidth="1"/>
    <col min="13329" max="13329" width="1.109375" style="84" customWidth="1"/>
    <col min="13330" max="13330" width="7.88671875" style="84" customWidth="1"/>
    <col min="13331" max="13331" width="1.109375" style="84" customWidth="1"/>
    <col min="13332" max="13332" width="0.88671875" style="84" customWidth="1"/>
    <col min="13333" max="13333" width="9.109375" style="84" customWidth="1"/>
    <col min="13334" max="13334" width="1.109375" style="84" customWidth="1"/>
    <col min="13335" max="13335" width="0.88671875" style="84" customWidth="1"/>
    <col min="13336" max="13336" width="9.5546875" style="84" bestFit="1" customWidth="1"/>
    <col min="13337" max="13338" width="0.88671875" style="84" customWidth="1"/>
    <col min="13339" max="13339" width="9.88671875" style="84" customWidth="1"/>
    <col min="13340" max="13340" width="1.109375" style="84" customWidth="1"/>
    <col min="13341" max="13341" width="8.5546875" style="84" customWidth="1"/>
    <col min="13342" max="13342" width="14.5546875" style="84" customWidth="1"/>
    <col min="13343" max="13343" width="10" style="84" customWidth="1"/>
    <col min="13344" max="13344" width="7.88671875" style="84" bestFit="1" customWidth="1"/>
    <col min="13345" max="13345" width="9.88671875" style="84" customWidth="1"/>
    <col min="13346" max="13562" width="8.88671875" style="84"/>
    <col min="13563" max="13563" width="38.44140625" style="84" customWidth="1"/>
    <col min="13564" max="13564" width="8.5546875" style="84" customWidth="1"/>
    <col min="13565" max="13565" width="1.109375" style="84" customWidth="1"/>
    <col min="13566" max="13566" width="8.88671875" style="84" customWidth="1"/>
    <col min="13567" max="13567" width="1.109375" style="84" customWidth="1"/>
    <col min="13568" max="13568" width="9.109375" style="84" customWidth="1"/>
    <col min="13569" max="13569" width="1.109375" style="84" customWidth="1"/>
    <col min="13570" max="13570" width="10" style="84" customWidth="1"/>
    <col min="13571" max="13571" width="1.109375" style="84" customWidth="1"/>
    <col min="13572" max="13572" width="9.109375" style="84" customWidth="1"/>
    <col min="13573" max="13573" width="1.109375" style="84" customWidth="1"/>
    <col min="13574" max="13574" width="11.109375" style="84" customWidth="1"/>
    <col min="13575" max="13575" width="1.109375" style="84" customWidth="1"/>
    <col min="13576" max="13576" width="9.109375" style="84" customWidth="1"/>
    <col min="13577" max="13577" width="1.88671875" style="84" customWidth="1"/>
    <col min="13578" max="13578" width="11" style="84" customWidth="1"/>
    <col min="13579" max="13579" width="1.109375" style="84" customWidth="1"/>
    <col min="13580" max="13580" width="10.88671875" style="84" customWidth="1"/>
    <col min="13581" max="13581" width="1.109375" style="84" customWidth="1"/>
    <col min="13582" max="13582" width="10" style="84" customWidth="1"/>
    <col min="13583" max="13583" width="1.109375" style="84" customWidth="1"/>
    <col min="13584" max="13584" width="9.109375" style="84" customWidth="1"/>
    <col min="13585" max="13585" width="1.109375" style="84" customWidth="1"/>
    <col min="13586" max="13586" width="7.88671875" style="84" customWidth="1"/>
    <col min="13587" max="13587" width="1.109375" style="84" customWidth="1"/>
    <col min="13588" max="13588" width="0.88671875" style="84" customWidth="1"/>
    <col min="13589" max="13589" width="9.109375" style="84" customWidth="1"/>
    <col min="13590" max="13590" width="1.109375" style="84" customWidth="1"/>
    <col min="13591" max="13591" width="0.88671875" style="84" customWidth="1"/>
    <col min="13592" max="13592" width="9.5546875" style="84" bestFit="1" customWidth="1"/>
    <col min="13593" max="13594" width="0.88671875" style="84" customWidth="1"/>
    <col min="13595" max="13595" width="9.88671875" style="84" customWidth="1"/>
    <col min="13596" max="13596" width="1.109375" style="84" customWidth="1"/>
    <col min="13597" max="13597" width="8.5546875" style="84" customWidth="1"/>
    <col min="13598" max="13598" width="14.5546875" style="84" customWidth="1"/>
    <col min="13599" max="13599" width="10" style="84" customWidth="1"/>
    <col min="13600" max="13600" width="7.88671875" style="84" bestFit="1" customWidth="1"/>
    <col min="13601" max="13601" width="9.88671875" style="84" customWidth="1"/>
    <col min="13602" max="13818" width="8.88671875" style="84"/>
    <col min="13819" max="13819" width="38.44140625" style="84" customWidth="1"/>
    <col min="13820" max="13820" width="8.5546875" style="84" customWidth="1"/>
    <col min="13821" max="13821" width="1.109375" style="84" customWidth="1"/>
    <col min="13822" max="13822" width="8.88671875" style="84" customWidth="1"/>
    <col min="13823" max="13823" width="1.109375" style="84" customWidth="1"/>
    <col min="13824" max="13824" width="9.109375" style="84" customWidth="1"/>
    <col min="13825" max="13825" width="1.109375" style="84" customWidth="1"/>
    <col min="13826" max="13826" width="10" style="84" customWidth="1"/>
    <col min="13827" max="13827" width="1.109375" style="84" customWidth="1"/>
    <col min="13828" max="13828" width="9.109375" style="84" customWidth="1"/>
    <col min="13829" max="13829" width="1.109375" style="84" customWidth="1"/>
    <col min="13830" max="13830" width="11.109375" style="84" customWidth="1"/>
    <col min="13831" max="13831" width="1.109375" style="84" customWidth="1"/>
    <col min="13832" max="13832" width="9.109375" style="84" customWidth="1"/>
    <col min="13833" max="13833" width="1.88671875" style="84" customWidth="1"/>
    <col min="13834" max="13834" width="11" style="84" customWidth="1"/>
    <col min="13835" max="13835" width="1.109375" style="84" customWidth="1"/>
    <col min="13836" max="13836" width="10.88671875" style="84" customWidth="1"/>
    <col min="13837" max="13837" width="1.109375" style="84" customWidth="1"/>
    <col min="13838" max="13838" width="10" style="84" customWidth="1"/>
    <col min="13839" max="13839" width="1.109375" style="84" customWidth="1"/>
    <col min="13840" max="13840" width="9.109375" style="84" customWidth="1"/>
    <col min="13841" max="13841" width="1.109375" style="84" customWidth="1"/>
    <col min="13842" max="13842" width="7.88671875" style="84" customWidth="1"/>
    <col min="13843" max="13843" width="1.109375" style="84" customWidth="1"/>
    <col min="13844" max="13844" width="0.88671875" style="84" customWidth="1"/>
    <col min="13845" max="13845" width="9.109375" style="84" customWidth="1"/>
    <col min="13846" max="13846" width="1.109375" style="84" customWidth="1"/>
    <col min="13847" max="13847" width="0.88671875" style="84" customWidth="1"/>
    <col min="13848" max="13848" width="9.5546875" style="84" bestFit="1" customWidth="1"/>
    <col min="13849" max="13850" width="0.88671875" style="84" customWidth="1"/>
    <col min="13851" max="13851" width="9.88671875" style="84" customWidth="1"/>
    <col min="13852" max="13852" width="1.109375" style="84" customWidth="1"/>
    <col min="13853" max="13853" width="8.5546875" style="84" customWidth="1"/>
    <col min="13854" max="13854" width="14.5546875" style="84" customWidth="1"/>
    <col min="13855" max="13855" width="10" style="84" customWidth="1"/>
    <col min="13856" max="13856" width="7.88671875" style="84" bestFit="1" customWidth="1"/>
    <col min="13857" max="13857" width="9.88671875" style="84" customWidth="1"/>
    <col min="13858" max="14074" width="8.88671875" style="84"/>
    <col min="14075" max="14075" width="38.44140625" style="84" customWidth="1"/>
    <col min="14076" max="14076" width="8.5546875" style="84" customWidth="1"/>
    <col min="14077" max="14077" width="1.109375" style="84" customWidth="1"/>
    <col min="14078" max="14078" width="8.88671875" style="84" customWidth="1"/>
    <col min="14079" max="14079" width="1.109375" style="84" customWidth="1"/>
    <col min="14080" max="14080" width="9.109375" style="84" customWidth="1"/>
    <col min="14081" max="14081" width="1.109375" style="84" customWidth="1"/>
    <col min="14082" max="14082" width="10" style="84" customWidth="1"/>
    <col min="14083" max="14083" width="1.109375" style="84" customWidth="1"/>
    <col min="14084" max="14084" width="9.109375" style="84" customWidth="1"/>
    <col min="14085" max="14085" width="1.109375" style="84" customWidth="1"/>
    <col min="14086" max="14086" width="11.109375" style="84" customWidth="1"/>
    <col min="14087" max="14087" width="1.109375" style="84" customWidth="1"/>
    <col min="14088" max="14088" width="9.109375" style="84" customWidth="1"/>
    <col min="14089" max="14089" width="1.88671875" style="84" customWidth="1"/>
    <col min="14090" max="14090" width="11" style="84" customWidth="1"/>
    <col min="14091" max="14091" width="1.109375" style="84" customWidth="1"/>
    <col min="14092" max="14092" width="10.88671875" style="84" customWidth="1"/>
    <col min="14093" max="14093" width="1.109375" style="84" customWidth="1"/>
    <col min="14094" max="14094" width="10" style="84" customWidth="1"/>
    <col min="14095" max="14095" width="1.109375" style="84" customWidth="1"/>
    <col min="14096" max="14096" width="9.109375" style="84" customWidth="1"/>
    <col min="14097" max="14097" width="1.109375" style="84" customWidth="1"/>
    <col min="14098" max="14098" width="7.88671875" style="84" customWidth="1"/>
    <col min="14099" max="14099" width="1.109375" style="84" customWidth="1"/>
    <col min="14100" max="14100" width="0.88671875" style="84" customWidth="1"/>
    <col min="14101" max="14101" width="9.109375" style="84" customWidth="1"/>
    <col min="14102" max="14102" width="1.109375" style="84" customWidth="1"/>
    <col min="14103" max="14103" width="0.88671875" style="84" customWidth="1"/>
    <col min="14104" max="14104" width="9.5546875" style="84" bestFit="1" customWidth="1"/>
    <col min="14105" max="14106" width="0.88671875" style="84" customWidth="1"/>
    <col min="14107" max="14107" width="9.88671875" style="84" customWidth="1"/>
    <col min="14108" max="14108" width="1.109375" style="84" customWidth="1"/>
    <col min="14109" max="14109" width="8.5546875" style="84" customWidth="1"/>
    <col min="14110" max="14110" width="14.5546875" style="84" customWidth="1"/>
    <col min="14111" max="14111" width="10" style="84" customWidth="1"/>
    <col min="14112" max="14112" width="7.88671875" style="84" bestFit="1" customWidth="1"/>
    <col min="14113" max="14113" width="9.88671875" style="84" customWidth="1"/>
    <col min="14114" max="14330" width="8.88671875" style="84"/>
    <col min="14331" max="14331" width="38.44140625" style="84" customWidth="1"/>
    <col min="14332" max="14332" width="8.5546875" style="84" customWidth="1"/>
    <col min="14333" max="14333" width="1.109375" style="84" customWidth="1"/>
    <col min="14334" max="14334" width="8.88671875" style="84" customWidth="1"/>
    <col min="14335" max="14335" width="1.109375" style="84" customWidth="1"/>
    <col min="14336" max="14336" width="9.109375" style="84" customWidth="1"/>
    <col min="14337" max="14337" width="1.109375" style="84" customWidth="1"/>
    <col min="14338" max="14338" width="10" style="84" customWidth="1"/>
    <col min="14339" max="14339" width="1.109375" style="84" customWidth="1"/>
    <col min="14340" max="14340" width="9.109375" style="84" customWidth="1"/>
    <col min="14341" max="14341" width="1.109375" style="84" customWidth="1"/>
    <col min="14342" max="14342" width="11.109375" style="84" customWidth="1"/>
    <col min="14343" max="14343" width="1.109375" style="84" customWidth="1"/>
    <col min="14344" max="14344" width="9.109375" style="84" customWidth="1"/>
    <col min="14345" max="14345" width="1.88671875" style="84" customWidth="1"/>
    <col min="14346" max="14346" width="11" style="84" customWidth="1"/>
    <col min="14347" max="14347" width="1.109375" style="84" customWidth="1"/>
    <col min="14348" max="14348" width="10.88671875" style="84" customWidth="1"/>
    <col min="14349" max="14349" width="1.109375" style="84" customWidth="1"/>
    <col min="14350" max="14350" width="10" style="84" customWidth="1"/>
    <col min="14351" max="14351" width="1.109375" style="84" customWidth="1"/>
    <col min="14352" max="14352" width="9.109375" style="84" customWidth="1"/>
    <col min="14353" max="14353" width="1.109375" style="84" customWidth="1"/>
    <col min="14354" max="14354" width="7.88671875" style="84" customWidth="1"/>
    <col min="14355" max="14355" width="1.109375" style="84" customWidth="1"/>
    <col min="14356" max="14356" width="0.88671875" style="84" customWidth="1"/>
    <col min="14357" max="14357" width="9.109375" style="84" customWidth="1"/>
    <col min="14358" max="14358" width="1.109375" style="84" customWidth="1"/>
    <col min="14359" max="14359" width="0.88671875" style="84" customWidth="1"/>
    <col min="14360" max="14360" width="9.5546875" style="84" bestFit="1" customWidth="1"/>
    <col min="14361" max="14362" width="0.88671875" style="84" customWidth="1"/>
    <col min="14363" max="14363" width="9.88671875" style="84" customWidth="1"/>
    <col min="14364" max="14364" width="1.109375" style="84" customWidth="1"/>
    <col min="14365" max="14365" width="8.5546875" style="84" customWidth="1"/>
    <col min="14366" max="14366" width="14.5546875" style="84" customWidth="1"/>
    <col min="14367" max="14367" width="10" style="84" customWidth="1"/>
    <col min="14368" max="14368" width="7.88671875" style="84" bestFit="1" customWidth="1"/>
    <col min="14369" max="14369" width="9.88671875" style="84" customWidth="1"/>
    <col min="14370" max="14586" width="8.88671875" style="84"/>
    <col min="14587" max="14587" width="38.44140625" style="84" customWidth="1"/>
    <col min="14588" max="14588" width="8.5546875" style="84" customWidth="1"/>
    <col min="14589" max="14589" width="1.109375" style="84" customWidth="1"/>
    <col min="14590" max="14590" width="8.88671875" style="84" customWidth="1"/>
    <col min="14591" max="14591" width="1.109375" style="84" customWidth="1"/>
    <col min="14592" max="14592" width="9.109375" style="84" customWidth="1"/>
    <col min="14593" max="14593" width="1.109375" style="84" customWidth="1"/>
    <col min="14594" max="14594" width="10" style="84" customWidth="1"/>
    <col min="14595" max="14595" width="1.109375" style="84" customWidth="1"/>
    <col min="14596" max="14596" width="9.109375" style="84" customWidth="1"/>
    <col min="14597" max="14597" width="1.109375" style="84" customWidth="1"/>
    <col min="14598" max="14598" width="11.109375" style="84" customWidth="1"/>
    <col min="14599" max="14599" width="1.109375" style="84" customWidth="1"/>
    <col min="14600" max="14600" width="9.109375" style="84" customWidth="1"/>
    <col min="14601" max="14601" width="1.88671875" style="84" customWidth="1"/>
    <col min="14602" max="14602" width="11" style="84" customWidth="1"/>
    <col min="14603" max="14603" width="1.109375" style="84" customWidth="1"/>
    <col min="14604" max="14604" width="10.88671875" style="84" customWidth="1"/>
    <col min="14605" max="14605" width="1.109375" style="84" customWidth="1"/>
    <col min="14606" max="14606" width="10" style="84" customWidth="1"/>
    <col min="14607" max="14607" width="1.109375" style="84" customWidth="1"/>
    <col min="14608" max="14608" width="9.109375" style="84" customWidth="1"/>
    <col min="14609" max="14609" width="1.109375" style="84" customWidth="1"/>
    <col min="14610" max="14610" width="7.88671875" style="84" customWidth="1"/>
    <col min="14611" max="14611" width="1.109375" style="84" customWidth="1"/>
    <col min="14612" max="14612" width="0.88671875" style="84" customWidth="1"/>
    <col min="14613" max="14613" width="9.109375" style="84" customWidth="1"/>
    <col min="14614" max="14614" width="1.109375" style="84" customWidth="1"/>
    <col min="14615" max="14615" width="0.88671875" style="84" customWidth="1"/>
    <col min="14616" max="14616" width="9.5546875" style="84" bestFit="1" customWidth="1"/>
    <col min="14617" max="14618" width="0.88671875" style="84" customWidth="1"/>
    <col min="14619" max="14619" width="9.88671875" style="84" customWidth="1"/>
    <col min="14620" max="14620" width="1.109375" style="84" customWidth="1"/>
    <col min="14621" max="14621" width="8.5546875" style="84" customWidth="1"/>
    <col min="14622" max="14622" width="14.5546875" style="84" customWidth="1"/>
    <col min="14623" max="14623" width="10" style="84" customWidth="1"/>
    <col min="14624" max="14624" width="7.88671875" style="84" bestFit="1" customWidth="1"/>
    <col min="14625" max="14625" width="9.88671875" style="84" customWidth="1"/>
    <col min="14626" max="14842" width="8.88671875" style="84"/>
    <col min="14843" max="14843" width="38.44140625" style="84" customWidth="1"/>
    <col min="14844" max="14844" width="8.5546875" style="84" customWidth="1"/>
    <col min="14845" max="14845" width="1.109375" style="84" customWidth="1"/>
    <col min="14846" max="14846" width="8.88671875" style="84" customWidth="1"/>
    <col min="14847" max="14847" width="1.109375" style="84" customWidth="1"/>
    <col min="14848" max="14848" width="9.109375" style="84" customWidth="1"/>
    <col min="14849" max="14849" width="1.109375" style="84" customWidth="1"/>
    <col min="14850" max="14850" width="10" style="84" customWidth="1"/>
    <col min="14851" max="14851" width="1.109375" style="84" customWidth="1"/>
    <col min="14852" max="14852" width="9.109375" style="84" customWidth="1"/>
    <col min="14853" max="14853" width="1.109375" style="84" customWidth="1"/>
    <col min="14854" max="14854" width="11.109375" style="84" customWidth="1"/>
    <col min="14855" max="14855" width="1.109375" style="84" customWidth="1"/>
    <col min="14856" max="14856" width="9.109375" style="84" customWidth="1"/>
    <col min="14857" max="14857" width="1.88671875" style="84" customWidth="1"/>
    <col min="14858" max="14858" width="11" style="84" customWidth="1"/>
    <col min="14859" max="14859" width="1.109375" style="84" customWidth="1"/>
    <col min="14860" max="14860" width="10.88671875" style="84" customWidth="1"/>
    <col min="14861" max="14861" width="1.109375" style="84" customWidth="1"/>
    <col min="14862" max="14862" width="10" style="84" customWidth="1"/>
    <col min="14863" max="14863" width="1.109375" style="84" customWidth="1"/>
    <col min="14864" max="14864" width="9.109375" style="84" customWidth="1"/>
    <col min="14865" max="14865" width="1.109375" style="84" customWidth="1"/>
    <col min="14866" max="14866" width="7.88671875" style="84" customWidth="1"/>
    <col min="14867" max="14867" width="1.109375" style="84" customWidth="1"/>
    <col min="14868" max="14868" width="0.88671875" style="84" customWidth="1"/>
    <col min="14869" max="14869" width="9.109375" style="84" customWidth="1"/>
    <col min="14870" max="14870" width="1.109375" style="84" customWidth="1"/>
    <col min="14871" max="14871" width="0.88671875" style="84" customWidth="1"/>
    <col min="14872" max="14872" width="9.5546875" style="84" bestFit="1" customWidth="1"/>
    <col min="14873" max="14874" width="0.88671875" style="84" customWidth="1"/>
    <col min="14875" max="14875" width="9.88671875" style="84" customWidth="1"/>
    <col min="14876" max="14876" width="1.109375" style="84" customWidth="1"/>
    <col min="14877" max="14877" width="8.5546875" style="84" customWidth="1"/>
    <col min="14878" max="14878" width="14.5546875" style="84" customWidth="1"/>
    <col min="14879" max="14879" width="10" style="84" customWidth="1"/>
    <col min="14880" max="14880" width="7.88671875" style="84" bestFit="1" customWidth="1"/>
    <col min="14881" max="14881" width="9.88671875" style="84" customWidth="1"/>
    <col min="14882" max="15098" width="8.88671875" style="84"/>
    <col min="15099" max="15099" width="38.44140625" style="84" customWidth="1"/>
    <col min="15100" max="15100" width="8.5546875" style="84" customWidth="1"/>
    <col min="15101" max="15101" width="1.109375" style="84" customWidth="1"/>
    <col min="15102" max="15102" width="8.88671875" style="84" customWidth="1"/>
    <col min="15103" max="15103" width="1.109375" style="84" customWidth="1"/>
    <col min="15104" max="15104" width="9.109375" style="84" customWidth="1"/>
    <col min="15105" max="15105" width="1.109375" style="84" customWidth="1"/>
    <col min="15106" max="15106" width="10" style="84" customWidth="1"/>
    <col min="15107" max="15107" width="1.109375" style="84" customWidth="1"/>
    <col min="15108" max="15108" width="9.109375" style="84" customWidth="1"/>
    <col min="15109" max="15109" width="1.109375" style="84" customWidth="1"/>
    <col min="15110" max="15110" width="11.109375" style="84" customWidth="1"/>
    <col min="15111" max="15111" width="1.109375" style="84" customWidth="1"/>
    <col min="15112" max="15112" width="9.109375" style="84" customWidth="1"/>
    <col min="15113" max="15113" width="1.88671875" style="84" customWidth="1"/>
    <col min="15114" max="15114" width="11" style="84" customWidth="1"/>
    <col min="15115" max="15115" width="1.109375" style="84" customWidth="1"/>
    <col min="15116" max="15116" width="10.88671875" style="84" customWidth="1"/>
    <col min="15117" max="15117" width="1.109375" style="84" customWidth="1"/>
    <col min="15118" max="15118" width="10" style="84" customWidth="1"/>
    <col min="15119" max="15119" width="1.109375" style="84" customWidth="1"/>
    <col min="15120" max="15120" width="9.109375" style="84" customWidth="1"/>
    <col min="15121" max="15121" width="1.109375" style="84" customWidth="1"/>
    <col min="15122" max="15122" width="7.88671875" style="84" customWidth="1"/>
    <col min="15123" max="15123" width="1.109375" style="84" customWidth="1"/>
    <col min="15124" max="15124" width="0.88671875" style="84" customWidth="1"/>
    <col min="15125" max="15125" width="9.109375" style="84" customWidth="1"/>
    <col min="15126" max="15126" width="1.109375" style="84" customWidth="1"/>
    <col min="15127" max="15127" width="0.88671875" style="84" customWidth="1"/>
    <col min="15128" max="15128" width="9.5546875" style="84" bestFit="1" customWidth="1"/>
    <col min="15129" max="15130" width="0.88671875" style="84" customWidth="1"/>
    <col min="15131" max="15131" width="9.88671875" style="84" customWidth="1"/>
    <col min="15132" max="15132" width="1.109375" style="84" customWidth="1"/>
    <col min="15133" max="15133" width="8.5546875" style="84" customWidth="1"/>
    <col min="15134" max="15134" width="14.5546875" style="84" customWidth="1"/>
    <col min="15135" max="15135" width="10" style="84" customWidth="1"/>
    <col min="15136" max="15136" width="7.88671875" style="84" bestFit="1" customWidth="1"/>
    <col min="15137" max="15137" width="9.88671875" style="84" customWidth="1"/>
    <col min="15138" max="15354" width="8.88671875" style="84"/>
    <col min="15355" max="15355" width="38.44140625" style="84" customWidth="1"/>
    <col min="15356" max="15356" width="8.5546875" style="84" customWidth="1"/>
    <col min="15357" max="15357" width="1.109375" style="84" customWidth="1"/>
    <col min="15358" max="15358" width="8.88671875" style="84" customWidth="1"/>
    <col min="15359" max="15359" width="1.109375" style="84" customWidth="1"/>
    <col min="15360" max="15360" width="9.109375" style="84" customWidth="1"/>
    <col min="15361" max="15361" width="1.109375" style="84" customWidth="1"/>
    <col min="15362" max="15362" width="10" style="84" customWidth="1"/>
    <col min="15363" max="15363" width="1.109375" style="84" customWidth="1"/>
    <col min="15364" max="15364" width="9.109375" style="84" customWidth="1"/>
    <col min="15365" max="15365" width="1.109375" style="84" customWidth="1"/>
    <col min="15366" max="15366" width="11.109375" style="84" customWidth="1"/>
    <col min="15367" max="15367" width="1.109375" style="84" customWidth="1"/>
    <col min="15368" max="15368" width="9.109375" style="84" customWidth="1"/>
    <col min="15369" max="15369" width="1.88671875" style="84" customWidth="1"/>
    <col min="15370" max="15370" width="11" style="84" customWidth="1"/>
    <col min="15371" max="15371" width="1.109375" style="84" customWidth="1"/>
    <col min="15372" max="15372" width="10.88671875" style="84" customWidth="1"/>
    <col min="15373" max="15373" width="1.109375" style="84" customWidth="1"/>
    <col min="15374" max="15374" width="10" style="84" customWidth="1"/>
    <col min="15375" max="15375" width="1.109375" style="84" customWidth="1"/>
    <col min="15376" max="15376" width="9.109375" style="84" customWidth="1"/>
    <col min="15377" max="15377" width="1.109375" style="84" customWidth="1"/>
    <col min="15378" max="15378" width="7.88671875" style="84" customWidth="1"/>
    <col min="15379" max="15379" width="1.109375" style="84" customWidth="1"/>
    <col min="15380" max="15380" width="0.88671875" style="84" customWidth="1"/>
    <col min="15381" max="15381" width="9.109375" style="84" customWidth="1"/>
    <col min="15382" max="15382" width="1.109375" style="84" customWidth="1"/>
    <col min="15383" max="15383" width="0.88671875" style="84" customWidth="1"/>
    <col min="15384" max="15384" width="9.5546875" style="84" bestFit="1" customWidth="1"/>
    <col min="15385" max="15386" width="0.88671875" style="84" customWidth="1"/>
    <col min="15387" max="15387" width="9.88671875" style="84" customWidth="1"/>
    <col min="15388" max="15388" width="1.109375" style="84" customWidth="1"/>
    <col min="15389" max="15389" width="8.5546875" style="84" customWidth="1"/>
    <col min="15390" max="15390" width="14.5546875" style="84" customWidth="1"/>
    <col min="15391" max="15391" width="10" style="84" customWidth="1"/>
    <col min="15392" max="15392" width="7.88671875" style="84" bestFit="1" customWidth="1"/>
    <col min="15393" max="15393" width="9.88671875" style="84" customWidth="1"/>
    <col min="15394" max="15610" width="8.88671875" style="84"/>
    <col min="15611" max="15611" width="38.44140625" style="84" customWidth="1"/>
    <col min="15612" max="15612" width="8.5546875" style="84" customWidth="1"/>
    <col min="15613" max="15613" width="1.109375" style="84" customWidth="1"/>
    <col min="15614" max="15614" width="8.88671875" style="84" customWidth="1"/>
    <col min="15615" max="15615" width="1.109375" style="84" customWidth="1"/>
    <col min="15616" max="15616" width="9.109375" style="84" customWidth="1"/>
    <col min="15617" max="15617" width="1.109375" style="84" customWidth="1"/>
    <col min="15618" max="15618" width="10" style="84" customWidth="1"/>
    <col min="15619" max="15619" width="1.109375" style="84" customWidth="1"/>
    <col min="15620" max="15620" width="9.109375" style="84" customWidth="1"/>
    <col min="15621" max="15621" width="1.109375" style="84" customWidth="1"/>
    <col min="15622" max="15622" width="11.109375" style="84" customWidth="1"/>
    <col min="15623" max="15623" width="1.109375" style="84" customWidth="1"/>
    <col min="15624" max="15624" width="9.109375" style="84" customWidth="1"/>
    <col min="15625" max="15625" width="1.88671875" style="84" customWidth="1"/>
    <col min="15626" max="15626" width="11" style="84" customWidth="1"/>
    <col min="15627" max="15627" width="1.109375" style="84" customWidth="1"/>
    <col min="15628" max="15628" width="10.88671875" style="84" customWidth="1"/>
    <col min="15629" max="15629" width="1.109375" style="84" customWidth="1"/>
    <col min="15630" max="15630" width="10" style="84" customWidth="1"/>
    <col min="15631" max="15631" width="1.109375" style="84" customWidth="1"/>
    <col min="15632" max="15632" width="9.109375" style="84" customWidth="1"/>
    <col min="15633" max="15633" width="1.109375" style="84" customWidth="1"/>
    <col min="15634" max="15634" width="7.88671875" style="84" customWidth="1"/>
    <col min="15635" max="15635" width="1.109375" style="84" customWidth="1"/>
    <col min="15636" max="15636" width="0.88671875" style="84" customWidth="1"/>
    <col min="15637" max="15637" width="9.109375" style="84" customWidth="1"/>
    <col min="15638" max="15638" width="1.109375" style="84" customWidth="1"/>
    <col min="15639" max="15639" width="0.88671875" style="84" customWidth="1"/>
    <col min="15640" max="15640" width="9.5546875" style="84" bestFit="1" customWidth="1"/>
    <col min="15641" max="15642" width="0.88671875" style="84" customWidth="1"/>
    <col min="15643" max="15643" width="9.88671875" style="84" customWidth="1"/>
    <col min="15644" max="15644" width="1.109375" style="84" customWidth="1"/>
    <col min="15645" max="15645" width="8.5546875" style="84" customWidth="1"/>
    <col min="15646" max="15646" width="14.5546875" style="84" customWidth="1"/>
    <col min="15647" max="15647" width="10" style="84" customWidth="1"/>
    <col min="15648" max="15648" width="7.88671875" style="84" bestFit="1" customWidth="1"/>
    <col min="15649" max="15649" width="9.88671875" style="84" customWidth="1"/>
    <col min="15650" max="15866" width="8.88671875" style="84"/>
    <col min="15867" max="15867" width="38.44140625" style="84" customWidth="1"/>
    <col min="15868" max="15868" width="8.5546875" style="84" customWidth="1"/>
    <col min="15869" max="15869" width="1.109375" style="84" customWidth="1"/>
    <col min="15870" max="15870" width="8.88671875" style="84" customWidth="1"/>
    <col min="15871" max="15871" width="1.109375" style="84" customWidth="1"/>
    <col min="15872" max="15872" width="9.109375" style="84" customWidth="1"/>
    <col min="15873" max="15873" width="1.109375" style="84" customWidth="1"/>
    <col min="15874" max="15874" width="10" style="84" customWidth="1"/>
    <col min="15875" max="15875" width="1.109375" style="84" customWidth="1"/>
    <col min="15876" max="15876" width="9.109375" style="84" customWidth="1"/>
    <col min="15877" max="15877" width="1.109375" style="84" customWidth="1"/>
    <col min="15878" max="15878" width="11.109375" style="84" customWidth="1"/>
    <col min="15879" max="15879" width="1.109375" style="84" customWidth="1"/>
    <col min="15880" max="15880" width="9.109375" style="84" customWidth="1"/>
    <col min="15881" max="15881" width="1.88671875" style="84" customWidth="1"/>
    <col min="15882" max="15882" width="11" style="84" customWidth="1"/>
    <col min="15883" max="15883" width="1.109375" style="84" customWidth="1"/>
    <col min="15884" max="15884" width="10.88671875" style="84" customWidth="1"/>
    <col min="15885" max="15885" width="1.109375" style="84" customWidth="1"/>
    <col min="15886" max="15886" width="10" style="84" customWidth="1"/>
    <col min="15887" max="15887" width="1.109375" style="84" customWidth="1"/>
    <col min="15888" max="15888" width="9.109375" style="84" customWidth="1"/>
    <col min="15889" max="15889" width="1.109375" style="84" customWidth="1"/>
    <col min="15890" max="15890" width="7.88671875" style="84" customWidth="1"/>
    <col min="15891" max="15891" width="1.109375" style="84" customWidth="1"/>
    <col min="15892" max="15892" width="0.88671875" style="84" customWidth="1"/>
    <col min="15893" max="15893" width="9.109375" style="84" customWidth="1"/>
    <col min="15894" max="15894" width="1.109375" style="84" customWidth="1"/>
    <col min="15895" max="15895" width="0.88671875" style="84" customWidth="1"/>
    <col min="15896" max="15896" width="9.5546875" style="84" bestFit="1" customWidth="1"/>
    <col min="15897" max="15898" width="0.88671875" style="84" customWidth="1"/>
    <col min="15899" max="15899" width="9.88671875" style="84" customWidth="1"/>
    <col min="15900" max="15900" width="1.109375" style="84" customWidth="1"/>
    <col min="15901" max="15901" width="8.5546875" style="84" customWidth="1"/>
    <col min="15902" max="15902" width="14.5546875" style="84" customWidth="1"/>
    <col min="15903" max="15903" width="10" style="84" customWidth="1"/>
    <col min="15904" max="15904" width="7.88671875" style="84" bestFit="1" customWidth="1"/>
    <col min="15905" max="15905" width="9.88671875" style="84" customWidth="1"/>
    <col min="15906" max="16122" width="8.88671875" style="84"/>
    <col min="16123" max="16123" width="38.44140625" style="84" customWidth="1"/>
    <col min="16124" max="16124" width="8.5546875" style="84" customWidth="1"/>
    <col min="16125" max="16125" width="1.109375" style="84" customWidth="1"/>
    <col min="16126" max="16126" width="8.88671875" style="84" customWidth="1"/>
    <col min="16127" max="16127" width="1.109375" style="84" customWidth="1"/>
    <col min="16128" max="16128" width="9.109375" style="84" customWidth="1"/>
    <col min="16129" max="16129" width="1.109375" style="84" customWidth="1"/>
    <col min="16130" max="16130" width="10" style="84" customWidth="1"/>
    <col min="16131" max="16131" width="1.109375" style="84" customWidth="1"/>
    <col min="16132" max="16132" width="9.109375" style="84" customWidth="1"/>
    <col min="16133" max="16133" width="1.109375" style="84" customWidth="1"/>
    <col min="16134" max="16134" width="11.109375" style="84" customWidth="1"/>
    <col min="16135" max="16135" width="1.109375" style="84" customWidth="1"/>
    <col min="16136" max="16136" width="9.109375" style="84" customWidth="1"/>
    <col min="16137" max="16137" width="1.88671875" style="84" customWidth="1"/>
    <col min="16138" max="16138" width="11" style="84" customWidth="1"/>
    <col min="16139" max="16139" width="1.109375" style="84" customWidth="1"/>
    <col min="16140" max="16140" width="10.88671875" style="84" customWidth="1"/>
    <col min="16141" max="16141" width="1.109375" style="84" customWidth="1"/>
    <col min="16142" max="16142" width="10" style="84" customWidth="1"/>
    <col min="16143" max="16143" width="1.109375" style="84" customWidth="1"/>
    <col min="16144" max="16144" width="9.109375" style="84" customWidth="1"/>
    <col min="16145" max="16145" width="1.109375" style="84" customWidth="1"/>
    <col min="16146" max="16146" width="7.88671875" style="84" customWidth="1"/>
    <col min="16147" max="16147" width="1.109375" style="84" customWidth="1"/>
    <col min="16148" max="16148" width="0.88671875" style="84" customWidth="1"/>
    <col min="16149" max="16149" width="9.109375" style="84" customWidth="1"/>
    <col min="16150" max="16150" width="1.109375" style="84" customWidth="1"/>
    <col min="16151" max="16151" width="0.88671875" style="84" customWidth="1"/>
    <col min="16152" max="16152" width="9.5546875" style="84" bestFit="1" customWidth="1"/>
    <col min="16153" max="16154" width="0.88671875" style="84" customWidth="1"/>
    <col min="16155" max="16155" width="9.88671875" style="84" customWidth="1"/>
    <col min="16156" max="16156" width="1.109375" style="84" customWidth="1"/>
    <col min="16157" max="16157" width="8.5546875" style="84" customWidth="1"/>
    <col min="16158" max="16158" width="14.5546875" style="84" customWidth="1"/>
    <col min="16159" max="16159" width="10" style="84" customWidth="1"/>
    <col min="16160" max="16160" width="7.88671875" style="84" bestFit="1" customWidth="1"/>
    <col min="16161" max="16161" width="9.88671875" style="84" customWidth="1"/>
    <col min="16162" max="16384" width="8.88671875" style="84"/>
  </cols>
  <sheetData>
    <row r="1" spans="1:37" ht="15">
      <c r="A1" s="289" t="s">
        <v>97</v>
      </c>
    </row>
    <row r="2" spans="1:37" ht="10.5" customHeight="1"/>
    <row r="3" spans="1:37" ht="18">
      <c r="A3" s="732" t="s">
        <v>98</v>
      </c>
      <c r="AI3" s="733" t="s">
        <v>542</v>
      </c>
    </row>
    <row r="4" spans="1:37" ht="18">
      <c r="A4" s="85" t="s">
        <v>543</v>
      </c>
    </row>
    <row r="5" spans="1:37" ht="18">
      <c r="A5" s="85" t="s">
        <v>447</v>
      </c>
      <c r="AB5" s="2103"/>
      <c r="AC5" s="2104"/>
      <c r="AD5" s="2104"/>
      <c r="AE5" s="1240"/>
      <c r="AF5" s="1240"/>
      <c r="AG5" s="1240"/>
      <c r="AH5" s="1240"/>
      <c r="AI5" s="1240"/>
    </row>
    <row r="6" spans="1:37" ht="18">
      <c r="A6" s="732" t="str">
        <f>'Cashflow Governmental'!A6</f>
        <v>FISCAL YEAR 2025-2026</v>
      </c>
    </row>
    <row r="7" spans="1:37" ht="18">
      <c r="A7" s="85" t="s">
        <v>102</v>
      </c>
    </row>
    <row r="8" spans="1:37" ht="18">
      <c r="A8" s="85"/>
      <c r="AJ8" s="84"/>
    </row>
    <row r="9" spans="1:37" ht="15.75">
      <c r="B9" s="1591"/>
      <c r="Z9" s="2100" t="str">
        <f>'Cashflow Governmental'!$AB$12</f>
        <v>8 Months Ended November 30</v>
      </c>
      <c r="AA9" s="2100"/>
      <c r="AB9" s="2100"/>
      <c r="AC9" s="2100"/>
      <c r="AD9" s="2100"/>
      <c r="AE9" s="2100"/>
      <c r="AF9" s="2100"/>
      <c r="AG9" s="2100"/>
      <c r="AH9" s="2100"/>
      <c r="AI9" s="2100"/>
      <c r="AJ9" s="84"/>
    </row>
    <row r="10" spans="1:37" ht="15.75">
      <c r="B10" s="734" t="str">
        <f>'Cashflow Governmental'!C13</f>
        <v>2025</v>
      </c>
      <c r="C10" s="87"/>
      <c r="D10" s="87"/>
      <c r="E10" s="87"/>
      <c r="F10" s="1147"/>
      <c r="G10" s="87"/>
      <c r="H10" s="87"/>
      <c r="I10" s="87"/>
      <c r="J10" s="87"/>
      <c r="K10" s="87"/>
      <c r="L10" s="87"/>
      <c r="M10" s="87"/>
      <c r="N10" s="87"/>
      <c r="O10" s="87"/>
      <c r="P10" s="87"/>
      <c r="Q10" s="87"/>
      <c r="R10" s="87"/>
      <c r="S10" s="87"/>
      <c r="T10" s="734">
        <f>'Cashflow Governmental'!U13</f>
        <v>2026</v>
      </c>
      <c r="U10" s="87"/>
      <c r="V10" s="87"/>
      <c r="W10" s="87"/>
      <c r="X10" s="734"/>
      <c r="Y10" s="87"/>
      <c r="Z10" s="87"/>
      <c r="AA10" s="87"/>
      <c r="AB10" s="87"/>
      <c r="AC10" s="87"/>
      <c r="AD10" s="87"/>
      <c r="AE10" s="87"/>
      <c r="AF10" s="87"/>
      <c r="AG10" s="735" t="s">
        <v>110</v>
      </c>
      <c r="AH10" s="736"/>
      <c r="AI10" s="737" t="s">
        <v>111</v>
      </c>
      <c r="AJ10" s="84"/>
    </row>
    <row r="11" spans="1:37" ht="15.75">
      <c r="B11" s="1069" t="s">
        <v>332</v>
      </c>
      <c r="C11" s="87"/>
      <c r="D11" s="1069" t="s">
        <v>333</v>
      </c>
      <c r="E11" s="734"/>
      <c r="F11" s="1070" t="s">
        <v>334</v>
      </c>
      <c r="G11" s="734"/>
      <c r="H11" s="1069" t="s">
        <v>335</v>
      </c>
      <c r="I11" s="734"/>
      <c r="J11" s="1069" t="s">
        <v>336</v>
      </c>
      <c r="K11" s="734"/>
      <c r="L11" s="1241" t="s">
        <v>448</v>
      </c>
      <c r="M11" s="734"/>
      <c r="N11" s="1069" t="s">
        <v>449</v>
      </c>
      <c r="O11" s="734"/>
      <c r="P11" s="1069" t="s">
        <v>339</v>
      </c>
      <c r="Q11" s="734"/>
      <c r="R11" s="1069" t="s">
        <v>340</v>
      </c>
      <c r="S11" s="87"/>
      <c r="T11" s="1069" t="s">
        <v>341</v>
      </c>
      <c r="U11" s="734"/>
      <c r="V11" s="1069" t="s">
        <v>342</v>
      </c>
      <c r="W11" s="734"/>
      <c r="X11" s="1069" t="s">
        <v>450</v>
      </c>
      <c r="Y11" s="734"/>
      <c r="Z11" s="734"/>
      <c r="AA11" s="1069" t="str">
        <f>'Cashflow Governmental'!AB14</f>
        <v>2025</v>
      </c>
      <c r="AB11" s="734"/>
      <c r="AC11" s="734"/>
      <c r="AD11" s="1069" t="str">
        <f>'Cashflow Governmental'!AE14</f>
        <v>2024</v>
      </c>
      <c r="AE11" s="734"/>
      <c r="AF11" s="734"/>
      <c r="AG11" s="1070" t="s">
        <v>112</v>
      </c>
      <c r="AH11" s="736"/>
      <c r="AI11" s="1070" t="s">
        <v>113</v>
      </c>
    </row>
    <row r="12" spans="1:37" ht="3" customHeight="1">
      <c r="B12" s="914"/>
      <c r="C12" s="745"/>
      <c r="D12" s="914"/>
      <c r="E12" s="914"/>
      <c r="F12" s="1071"/>
      <c r="G12" s="914"/>
      <c r="H12" s="914"/>
      <c r="I12" s="914"/>
      <c r="J12" s="914"/>
      <c r="K12" s="914"/>
      <c r="L12" s="1072"/>
      <c r="M12" s="914"/>
      <c r="N12" s="914"/>
      <c r="O12" s="914"/>
      <c r="P12" s="914"/>
      <c r="Q12" s="914"/>
      <c r="R12" s="914"/>
      <c r="S12" s="745"/>
      <c r="T12" s="1073"/>
      <c r="U12" s="914"/>
      <c r="V12" s="914"/>
      <c r="W12" s="914"/>
      <c r="X12" s="914"/>
      <c r="Y12" s="914"/>
      <c r="Z12" s="914"/>
      <c r="AA12" s="914"/>
      <c r="AB12" s="914"/>
      <c r="AC12" s="914"/>
      <c r="AD12" s="914"/>
      <c r="AE12" s="914"/>
      <c r="AF12" s="914"/>
      <c r="AG12" s="914"/>
      <c r="AH12" s="745"/>
      <c r="AI12" s="745"/>
    </row>
    <row r="13" spans="1:37" ht="15.75">
      <c r="A13" s="738" t="s">
        <v>544</v>
      </c>
      <c r="B13" s="86">
        <v>117.4</v>
      </c>
      <c r="C13" s="86"/>
      <c r="D13" s="739">
        <f>B78</f>
        <v>174.8</v>
      </c>
      <c r="E13" s="739"/>
      <c r="F13" s="739">
        <f>D78</f>
        <v>322.89999999999998</v>
      </c>
      <c r="G13" s="86"/>
      <c r="H13" s="739">
        <f>F78</f>
        <v>190.2</v>
      </c>
      <c r="I13" s="86"/>
      <c r="J13" s="739">
        <f>H78</f>
        <v>445.1</v>
      </c>
      <c r="K13" s="86"/>
      <c r="L13" s="739">
        <f>J78</f>
        <v>563.9</v>
      </c>
      <c r="M13" s="86"/>
      <c r="N13" s="739">
        <f>L78</f>
        <v>84.6</v>
      </c>
      <c r="O13" s="86"/>
      <c r="P13" s="739">
        <f>N78</f>
        <v>225.6</v>
      </c>
      <c r="Q13" s="739"/>
      <c r="R13" s="739"/>
      <c r="S13" s="739"/>
      <c r="T13" s="739"/>
      <c r="U13" s="739"/>
      <c r="V13" s="739"/>
      <c r="W13" s="739"/>
      <c r="X13" s="739"/>
      <c r="Y13" s="1255"/>
      <c r="Z13" s="86"/>
      <c r="AA13" s="86">
        <f>B13</f>
        <v>117.4</v>
      </c>
      <c r="AB13" s="1255"/>
      <c r="AC13" s="86"/>
      <c r="AD13" s="2002">
        <v>104.6</v>
      </c>
      <c r="AE13" s="1865"/>
      <c r="AF13" s="740"/>
      <c r="AG13" s="86">
        <f>ROUND(SUM(AA13-AD13),1)</f>
        <v>12.8</v>
      </c>
      <c r="AH13" s="87"/>
      <c r="AI13" s="741">
        <f>ROUND(SUM(AG13/AD13),3)</f>
        <v>0.122</v>
      </c>
      <c r="AJ13" s="1592"/>
      <c r="AK13" s="1568"/>
    </row>
    <row r="14" spans="1:37" ht="12.75" customHeight="1">
      <c r="A14" s="745"/>
      <c r="B14" s="745"/>
      <c r="C14" s="745"/>
      <c r="D14" s="745"/>
      <c r="E14" s="745"/>
      <c r="F14" s="913"/>
      <c r="G14" s="745"/>
      <c r="H14" s="913"/>
      <c r="I14" s="745"/>
      <c r="J14" s="745"/>
      <c r="K14" s="745"/>
      <c r="L14" s="745"/>
      <c r="M14" s="745"/>
      <c r="N14" s="745"/>
      <c r="O14" s="745"/>
      <c r="P14" s="745"/>
      <c r="Q14" s="745"/>
      <c r="R14" s="745"/>
      <c r="S14" s="745"/>
      <c r="T14" s="745"/>
      <c r="U14" s="745"/>
      <c r="V14" s="745"/>
      <c r="W14" s="745"/>
      <c r="X14" s="745"/>
      <c r="Y14" s="1256"/>
      <c r="Z14" s="745"/>
      <c r="AA14" s="913"/>
      <c r="AB14" s="1257"/>
      <c r="AC14" s="913"/>
      <c r="AD14" s="558"/>
      <c r="AE14" s="914"/>
      <c r="AF14" s="915"/>
      <c r="AG14" s="913"/>
      <c r="AH14" s="745"/>
      <c r="AI14" s="745"/>
      <c r="AJ14" s="1592"/>
      <c r="AK14" s="1568"/>
    </row>
    <row r="15" spans="1:37" ht="14.25" customHeight="1">
      <c r="A15" s="87" t="s">
        <v>114</v>
      </c>
      <c r="B15" s="745"/>
      <c r="C15" s="745"/>
      <c r="D15" s="745"/>
      <c r="E15" s="745"/>
      <c r="F15" s="913"/>
      <c r="G15" s="745"/>
      <c r="H15" s="913"/>
      <c r="I15" s="745"/>
      <c r="J15" s="745"/>
      <c r="K15" s="745"/>
      <c r="L15" s="745"/>
      <c r="M15" s="745"/>
      <c r="N15" s="745"/>
      <c r="O15" s="745"/>
      <c r="P15" s="745"/>
      <c r="Q15" s="745"/>
      <c r="R15" s="745"/>
      <c r="S15" s="745"/>
      <c r="T15" s="745"/>
      <c r="U15" s="745"/>
      <c r="V15" s="745"/>
      <c r="W15" s="745"/>
      <c r="X15" s="745"/>
      <c r="Y15" s="1256"/>
      <c r="Z15" s="745"/>
      <c r="AA15" s="913"/>
      <c r="AB15" s="1257"/>
      <c r="AC15" s="913"/>
      <c r="AD15" s="558"/>
      <c r="AE15" s="914"/>
      <c r="AF15" s="915"/>
      <c r="AG15" s="913"/>
      <c r="AH15" s="745"/>
      <c r="AI15" s="745"/>
      <c r="AJ15" s="1592"/>
      <c r="AK15" s="1568"/>
    </row>
    <row r="16" spans="1:37" ht="14.25" customHeight="1">
      <c r="A16" s="1235" t="s">
        <v>345</v>
      </c>
      <c r="B16" s="65"/>
      <c r="C16" s="65"/>
      <c r="D16" s="65"/>
      <c r="E16" s="196"/>
      <c r="F16" s="65"/>
      <c r="G16" s="196"/>
      <c r="H16" s="65"/>
      <c r="I16" s="745"/>
      <c r="J16" s="745"/>
      <c r="K16" s="745"/>
      <c r="L16" s="745"/>
      <c r="M16" s="745"/>
      <c r="N16" s="745"/>
      <c r="O16" s="745"/>
      <c r="P16" s="745"/>
      <c r="Q16" s="745"/>
      <c r="R16" s="745"/>
      <c r="S16" s="745"/>
      <c r="T16" s="745"/>
      <c r="U16" s="745"/>
      <c r="V16" s="745"/>
      <c r="W16" s="745"/>
      <c r="X16" s="745"/>
      <c r="Y16" s="1256"/>
      <c r="Z16" s="745"/>
      <c r="AA16" s="913"/>
      <c r="AB16" s="1257"/>
      <c r="AC16" s="913"/>
      <c r="AD16" s="65"/>
      <c r="AE16" s="914"/>
      <c r="AF16" s="915"/>
      <c r="AG16" s="913"/>
      <c r="AH16" s="745"/>
      <c r="AI16" s="745"/>
      <c r="AJ16" s="1592"/>
      <c r="AK16" s="1568"/>
    </row>
    <row r="17" spans="1:37" ht="14.25" customHeight="1">
      <c r="A17" s="418" t="s">
        <v>482</v>
      </c>
      <c r="B17" s="537">
        <v>4846.8</v>
      </c>
      <c r="C17" s="518"/>
      <c r="D17" s="537">
        <v>1912.1999999999998</v>
      </c>
      <c r="E17" s="518"/>
      <c r="F17" s="537">
        <v>2845.7000000000007</v>
      </c>
      <c r="G17" s="518"/>
      <c r="H17" s="537">
        <v>2248.1999999999998</v>
      </c>
      <c r="I17" s="558"/>
      <c r="J17" s="537">
        <v>2125.0999999999985</v>
      </c>
      <c r="K17" s="558"/>
      <c r="L17" s="537">
        <v>2778.7999999999993</v>
      </c>
      <c r="M17" s="558"/>
      <c r="N17" s="537">
        <v>1010.7999999999993</v>
      </c>
      <c r="O17" s="558"/>
      <c r="P17" s="518">
        <f>$AA17-L17-N17-J17-H17-F17-D17-B17</f>
        <v>1348</v>
      </c>
      <c r="Q17" s="518"/>
      <c r="R17" s="518"/>
      <c r="S17" s="518"/>
      <c r="T17" s="518"/>
      <c r="U17" s="518"/>
      <c r="V17" s="518"/>
      <c r="W17" s="518"/>
      <c r="X17" s="518"/>
      <c r="Y17" s="1256"/>
      <c r="Z17" s="745"/>
      <c r="AA17" s="537">
        <v>19115.599999999999</v>
      </c>
      <c r="AB17" s="281"/>
      <c r="AC17" s="1820"/>
      <c r="AD17" s="537">
        <v>17664.599999999999</v>
      </c>
      <c r="AE17" s="914"/>
      <c r="AF17" s="915"/>
      <c r="AG17" s="953">
        <f>ROUND(SUM(AA17-AD17),1)</f>
        <v>1451</v>
      </c>
      <c r="AH17" s="745"/>
      <c r="AI17" s="271">
        <f>ROUND(IF(AD17=0,0,AG17/ABS(AD17)),3)</f>
        <v>8.2000000000000003E-2</v>
      </c>
      <c r="AJ17" s="1592"/>
      <c r="AK17" s="1568"/>
    </row>
    <row r="18" spans="1:37" ht="6" customHeight="1">
      <c r="A18" s="418"/>
      <c r="B18" s="518"/>
      <c r="C18" s="537"/>
      <c r="D18" s="518"/>
      <c r="E18" s="537"/>
      <c r="F18" s="518"/>
      <c r="G18" s="296"/>
      <c r="H18" s="537">
        <v>0</v>
      </c>
      <c r="I18" s="745"/>
      <c r="J18" s="537"/>
      <c r="K18" s="745"/>
      <c r="L18" s="518"/>
      <c r="M18" s="745"/>
      <c r="N18" s="518"/>
      <c r="O18" s="745"/>
      <c r="P18" s="518">
        <f t="shared" ref="P18:P20" si="0">$AA18-L18-N18-J18-H18-F18-D18-B18</f>
        <v>0</v>
      </c>
      <c r="Q18" s="745"/>
      <c r="R18" s="518"/>
      <c r="S18" s="745"/>
      <c r="T18" s="518"/>
      <c r="U18" s="745"/>
      <c r="V18" s="518"/>
      <c r="W18" s="745"/>
      <c r="X18" s="518"/>
      <c r="Y18" s="1256"/>
      <c r="Z18" s="745"/>
      <c r="AA18" s="518"/>
      <c r="AB18" s="1257"/>
      <c r="AC18" s="913"/>
      <c r="AD18" s="518"/>
      <c r="AE18" s="914"/>
      <c r="AF18" s="915"/>
      <c r="AG18" s="953"/>
      <c r="AH18" s="745"/>
      <c r="AI18" s="271"/>
      <c r="AJ18" s="1592"/>
      <c r="AK18" s="1568"/>
    </row>
    <row r="19" spans="1:37" ht="14.25" customHeight="1">
      <c r="A19" s="418" t="s">
        <v>357</v>
      </c>
      <c r="B19" s="13"/>
      <c r="C19" s="269"/>
      <c r="D19" s="518"/>
      <c r="E19" s="269"/>
      <c r="F19" s="518"/>
      <c r="G19" s="269"/>
      <c r="H19" s="537"/>
      <c r="I19" s="745"/>
      <c r="J19" s="537"/>
      <c r="K19" s="745"/>
      <c r="L19" s="518"/>
      <c r="M19" s="745"/>
      <c r="N19" s="518"/>
      <c r="O19" s="745"/>
      <c r="P19" s="518"/>
      <c r="Q19" s="745"/>
      <c r="R19" s="518"/>
      <c r="S19" s="745"/>
      <c r="T19" s="518"/>
      <c r="U19" s="745"/>
      <c r="V19" s="518"/>
      <c r="W19" s="745"/>
      <c r="X19" s="518"/>
      <c r="Y19" s="1256"/>
      <c r="Z19" s="745"/>
      <c r="AA19" s="13"/>
      <c r="AB19" s="1257"/>
      <c r="AC19" s="913"/>
      <c r="AD19" s="13"/>
      <c r="AE19" s="914"/>
      <c r="AF19" s="915"/>
      <c r="AG19" s="913"/>
      <c r="AH19" s="745"/>
      <c r="AI19" s="745"/>
      <c r="AJ19" s="1592"/>
      <c r="AK19" s="1568"/>
    </row>
    <row r="20" spans="1:37" ht="14.25" customHeight="1">
      <c r="A20" s="289" t="s">
        <v>358</v>
      </c>
      <c r="B20" s="537">
        <v>737</v>
      </c>
      <c r="C20" s="537"/>
      <c r="D20" s="537">
        <v>758</v>
      </c>
      <c r="E20" s="537"/>
      <c r="F20" s="537">
        <v>939.30000000000018</v>
      </c>
      <c r="G20" s="269"/>
      <c r="H20" s="537">
        <v>791.79999999999973</v>
      </c>
      <c r="I20" s="558"/>
      <c r="J20" s="537">
        <v>819.5</v>
      </c>
      <c r="K20" s="558"/>
      <c r="L20" s="537">
        <v>977.50000000000091</v>
      </c>
      <c r="M20" s="558"/>
      <c r="N20" s="537">
        <v>835.49999999999955</v>
      </c>
      <c r="O20" s="558"/>
      <c r="P20" s="518">
        <f t="shared" si="0"/>
        <v>813.099999999999</v>
      </c>
      <c r="Q20" s="558"/>
      <c r="R20" s="518"/>
      <c r="S20" s="558"/>
      <c r="T20" s="518"/>
      <c r="U20" s="558"/>
      <c r="V20" s="518"/>
      <c r="W20" s="558"/>
      <c r="X20" s="518"/>
      <c r="Y20" s="1256"/>
      <c r="Z20" s="745"/>
      <c r="AA20" s="1211">
        <v>6671.7</v>
      </c>
      <c r="AB20" s="292"/>
      <c r="AC20" s="1806"/>
      <c r="AD20" s="1211">
        <v>6266.6</v>
      </c>
      <c r="AE20" s="914"/>
      <c r="AF20" s="915"/>
      <c r="AG20" s="953">
        <f>ROUND(SUM(AA20-AD20),1)</f>
        <v>405.1</v>
      </c>
      <c r="AH20" s="745"/>
      <c r="AI20" s="271">
        <f>ROUND(IF(AD20=0,0,AG20/ABS(AD20)),3)</f>
        <v>6.5000000000000002E-2</v>
      </c>
      <c r="AJ20" s="1592"/>
      <c r="AK20" s="1568"/>
    </row>
    <row r="21" spans="1:37" ht="14.25" customHeight="1">
      <c r="A21" s="87" t="s">
        <v>368</v>
      </c>
      <c r="B21" s="71">
        <f>ROUND(SUM(B20:B20),1)</f>
        <v>737</v>
      </c>
      <c r="C21" s="13"/>
      <c r="D21" s="71">
        <f>ROUND(SUM(D20:D20),1)</f>
        <v>758</v>
      </c>
      <c r="E21" s="13"/>
      <c r="F21" s="71">
        <f>ROUND(SUM(F20:F20),1)</f>
        <v>939.3</v>
      </c>
      <c r="G21" s="13"/>
      <c r="H21" s="71">
        <f>ROUND(SUM(H20:H20),1)</f>
        <v>791.8</v>
      </c>
      <c r="I21" s="745"/>
      <c r="J21" s="71">
        <f>ROUND(SUM(J20:J20),1)</f>
        <v>819.5</v>
      </c>
      <c r="K21" s="745"/>
      <c r="L21" s="71">
        <f>ROUND(SUM(L20:L20),1)</f>
        <v>977.5</v>
      </c>
      <c r="M21" s="745"/>
      <c r="N21" s="71">
        <f>ROUND(SUM(N20:N20),1)</f>
        <v>835.5</v>
      </c>
      <c r="O21" s="745"/>
      <c r="P21" s="71">
        <f>ROUND(SUM(P20:P20),1)</f>
        <v>813.1</v>
      </c>
      <c r="Q21" s="13"/>
      <c r="R21" s="71">
        <f>ROUND(SUM(R20:R20),1)</f>
        <v>0</v>
      </c>
      <c r="S21" s="745"/>
      <c r="T21" s="71">
        <f>ROUND(SUM(T20:T20),1)</f>
        <v>0</v>
      </c>
      <c r="U21" s="745"/>
      <c r="V21" s="71">
        <f>ROUND(SUM(V20:V20),1)</f>
        <v>0</v>
      </c>
      <c r="W21" s="745"/>
      <c r="X21" s="71">
        <f>ROUND(SUM(X20:X20),1)</f>
        <v>0</v>
      </c>
      <c r="Y21" s="1256"/>
      <c r="Z21" s="745"/>
      <c r="AA21" s="71">
        <f>ROUND(SUM(AA20:AA20),1)</f>
        <v>6671.7</v>
      </c>
      <c r="AB21" s="1257"/>
      <c r="AC21" s="913"/>
      <c r="AD21" s="71">
        <f>ROUND(SUM(AD20:AD20),1)</f>
        <v>6266.6</v>
      </c>
      <c r="AE21" s="914"/>
      <c r="AF21" s="915"/>
      <c r="AG21" s="1115">
        <f>ROUND(SUM(AA21-AD21),1)</f>
        <v>405.1</v>
      </c>
      <c r="AH21" s="87"/>
      <c r="AI21" s="543">
        <f>ROUND(IF(AD21=0,0,AG21/ABS(AD21)),3)</f>
        <v>6.5000000000000002E-2</v>
      </c>
      <c r="AJ21" s="1592"/>
      <c r="AK21" s="1568"/>
    </row>
    <row r="22" spans="1:37" ht="14.25" customHeight="1">
      <c r="A22" s="418" t="s">
        <v>369</v>
      </c>
      <c r="B22" s="13"/>
      <c r="C22" s="13"/>
      <c r="D22" s="13"/>
      <c r="E22" s="13"/>
      <c r="F22" s="13"/>
      <c r="G22" s="13"/>
      <c r="H22" s="13"/>
      <c r="I22" s="745"/>
      <c r="J22" s="13"/>
      <c r="K22" s="745"/>
      <c r="L22" s="13"/>
      <c r="M22" s="745"/>
      <c r="N22" s="13"/>
      <c r="O22" s="745"/>
      <c r="P22" s="13"/>
      <c r="Q22" s="745"/>
      <c r="R22" s="13"/>
      <c r="S22" s="745"/>
      <c r="T22" s="13"/>
      <c r="U22" s="745"/>
      <c r="V22" s="13"/>
      <c r="W22" s="745"/>
      <c r="X22" s="13"/>
      <c r="Y22" s="1256"/>
      <c r="Z22" s="745"/>
      <c r="AA22" s="13"/>
      <c r="AB22" s="1257"/>
      <c r="AC22" s="913"/>
      <c r="AD22" s="13"/>
      <c r="AE22" s="914"/>
      <c r="AF22" s="915"/>
      <c r="AG22" s="419"/>
      <c r="AH22" s="87"/>
      <c r="AI22" s="286"/>
      <c r="AJ22" s="1592"/>
      <c r="AK22" s="1568"/>
    </row>
    <row r="23" spans="1:37" ht="14.25" customHeight="1">
      <c r="A23" s="289" t="s">
        <v>374</v>
      </c>
      <c r="B23" s="537">
        <v>40.200000000000003</v>
      </c>
      <c r="C23" s="269"/>
      <c r="D23" s="537">
        <v>88.100000000000009</v>
      </c>
      <c r="E23" s="269"/>
      <c r="F23" s="537">
        <v>1841.1000000000001</v>
      </c>
      <c r="G23" s="269"/>
      <c r="H23" s="537">
        <v>-12.700000000000003</v>
      </c>
      <c r="I23" s="745"/>
      <c r="J23" s="537">
        <v>-2.700000000000145</v>
      </c>
      <c r="K23" s="745"/>
      <c r="L23" s="537">
        <v>1553.9</v>
      </c>
      <c r="M23" s="745"/>
      <c r="N23" s="537">
        <v>-411.89999999999992</v>
      </c>
      <c r="O23" s="745"/>
      <c r="P23" s="518">
        <f>$AA23-L23-N23-J23-H23-F23-D23-B23</f>
        <v>-11.300000000000466</v>
      </c>
      <c r="Q23" s="745"/>
      <c r="R23" s="518"/>
      <c r="S23" s="745"/>
      <c r="T23" s="518"/>
      <c r="U23" s="745"/>
      <c r="V23" s="518"/>
      <c r="W23" s="745"/>
      <c r="X23" s="518"/>
      <c r="Y23" s="1256"/>
      <c r="Z23" s="745"/>
      <c r="AA23" s="537">
        <v>3084.7</v>
      </c>
      <c r="AB23" s="269"/>
      <c r="AC23" s="530" t="s">
        <v>103</v>
      </c>
      <c r="AD23" s="537">
        <v>2792.6</v>
      </c>
      <c r="AE23" s="914"/>
      <c r="AF23" s="915"/>
      <c r="AG23" s="953">
        <f>ROUND(SUM(AA23-AD23),1)</f>
        <v>292.10000000000002</v>
      </c>
      <c r="AH23" s="745"/>
      <c r="AI23" s="271">
        <f>ROUND(IF(AD23=0,1,AG23/ABS(AD23)),3)</f>
        <v>0.105</v>
      </c>
      <c r="AJ23" s="1592"/>
      <c r="AK23" s="1568"/>
    </row>
    <row r="24" spans="1:37" ht="14.25" customHeight="1">
      <c r="A24" s="87" t="s">
        <v>376</v>
      </c>
      <c r="B24" s="71">
        <f>ROUND(SUM(B23),1)</f>
        <v>40.200000000000003</v>
      </c>
      <c r="C24" s="13"/>
      <c r="D24" s="71">
        <f>ROUND(SUM(D23),1)</f>
        <v>88.1</v>
      </c>
      <c r="E24" s="13"/>
      <c r="F24" s="71">
        <f>ROUND(SUM(F23),1)</f>
        <v>1841.1</v>
      </c>
      <c r="G24" s="13"/>
      <c r="H24" s="71">
        <f>ROUND(SUM(H23),1)</f>
        <v>-12.7</v>
      </c>
      <c r="I24" s="745"/>
      <c r="J24" s="71">
        <f>ROUND(SUM(J23),1)</f>
        <v>-2.7</v>
      </c>
      <c r="K24" s="745"/>
      <c r="L24" s="71">
        <f>ROUND(SUM(L23),1)</f>
        <v>1553.9</v>
      </c>
      <c r="M24" s="745"/>
      <c r="N24" s="71">
        <f>ROUND(SUM(N23),1)</f>
        <v>-411.9</v>
      </c>
      <c r="O24" s="745"/>
      <c r="P24" s="71">
        <f>ROUND(SUM(P23),1)</f>
        <v>-11.3</v>
      </c>
      <c r="Q24" s="13"/>
      <c r="R24" s="71">
        <f>ROUND(SUM(R23),1)</f>
        <v>0</v>
      </c>
      <c r="S24" s="745"/>
      <c r="T24" s="71">
        <f>ROUND(SUM(T23),1)</f>
        <v>0</v>
      </c>
      <c r="U24" s="745"/>
      <c r="V24" s="71">
        <f>ROUND(SUM(V23),1)</f>
        <v>0</v>
      </c>
      <c r="W24" s="745"/>
      <c r="X24" s="71">
        <f>ROUND(SUM(X23),1)</f>
        <v>0</v>
      </c>
      <c r="Y24" s="1256"/>
      <c r="Z24" s="745"/>
      <c r="AA24" s="71">
        <f>ROUND(SUM(AA23),1)</f>
        <v>3084.7</v>
      </c>
      <c r="AB24" s="1257"/>
      <c r="AC24" s="913"/>
      <c r="AD24" s="71">
        <f>ROUND(SUM(AD23),1)</f>
        <v>2792.6</v>
      </c>
      <c r="AE24" s="914"/>
      <c r="AF24" s="915"/>
      <c r="AG24" s="1115">
        <f>ROUND(SUM(AA24-AD24),1)</f>
        <v>292.10000000000002</v>
      </c>
      <c r="AH24" s="87"/>
      <c r="AI24" s="543">
        <f>ROUND(IF(AD24=0,1,AG24/ABS(AD24)),3)</f>
        <v>0.105</v>
      </c>
      <c r="AJ24" s="1592"/>
      <c r="AK24" s="1568"/>
    </row>
    <row r="25" spans="1:37" ht="14.25" customHeight="1">
      <c r="A25" s="418" t="s">
        <v>377</v>
      </c>
      <c r="B25" s="13"/>
      <c r="C25" s="13"/>
      <c r="D25" s="13"/>
      <c r="E25" s="13"/>
      <c r="F25" s="13"/>
      <c r="G25" s="13"/>
      <c r="H25" s="13"/>
      <c r="I25" s="745"/>
      <c r="J25" s="13"/>
      <c r="K25" s="745"/>
      <c r="L25" s="13"/>
      <c r="M25" s="745"/>
      <c r="N25" s="13"/>
      <c r="O25" s="745"/>
      <c r="P25" s="13"/>
      <c r="Q25" s="745"/>
      <c r="R25" s="13"/>
      <c r="S25" s="745"/>
      <c r="T25" s="13"/>
      <c r="U25" s="745"/>
      <c r="V25" s="13"/>
      <c r="W25" s="745"/>
      <c r="X25" s="13"/>
      <c r="Y25" s="1256"/>
      <c r="Z25" s="745"/>
      <c r="AA25" s="13"/>
      <c r="AB25" s="1257"/>
      <c r="AC25" s="913"/>
      <c r="AD25" s="13"/>
      <c r="AE25" s="914"/>
      <c r="AF25" s="915"/>
      <c r="AG25" s="913"/>
      <c r="AH25" s="745"/>
      <c r="AI25" s="745"/>
      <c r="AJ25" s="1592"/>
      <c r="AK25" s="1568"/>
    </row>
    <row r="26" spans="1:37" ht="14.25" customHeight="1">
      <c r="A26" s="289" t="s">
        <v>381</v>
      </c>
      <c r="B26" s="537">
        <v>94.5</v>
      </c>
      <c r="C26" s="537"/>
      <c r="D26" s="537">
        <v>114.1</v>
      </c>
      <c r="E26" s="537"/>
      <c r="F26" s="537">
        <v>82.200000000000017</v>
      </c>
      <c r="G26" s="13"/>
      <c r="H26" s="537">
        <v>86.599999999999937</v>
      </c>
      <c r="I26" s="558"/>
      <c r="J26" s="537">
        <v>127.70000000000007</v>
      </c>
      <c r="K26" s="558"/>
      <c r="L26" s="537">
        <v>104.19999999999996</v>
      </c>
      <c r="M26" s="558"/>
      <c r="N26" s="537">
        <v>100.3000000000001</v>
      </c>
      <c r="O26" s="558"/>
      <c r="P26" s="518">
        <f>$AA26-L26-N26-J26-H26-F26-D26-B26</f>
        <v>94.799999999999983</v>
      </c>
      <c r="Q26" s="558"/>
      <c r="R26" s="518"/>
      <c r="S26" s="558"/>
      <c r="T26" s="518"/>
      <c r="U26" s="558"/>
      <c r="V26" s="518"/>
      <c r="W26" s="558"/>
      <c r="X26" s="518"/>
      <c r="Y26" s="1256"/>
      <c r="Z26" s="745"/>
      <c r="AA26" s="537">
        <v>804.4</v>
      </c>
      <c r="AB26" s="269">
        <f>'Exhibit F'!AD1191</f>
        <v>0</v>
      </c>
      <c r="AC26" s="530" t="s">
        <v>103</v>
      </c>
      <c r="AD26" s="537">
        <v>677.7</v>
      </c>
      <c r="AE26" s="914"/>
      <c r="AF26" s="915"/>
      <c r="AG26" s="953">
        <f>ROUND(SUM(AA26-AD26),1)</f>
        <v>126.7</v>
      </c>
      <c r="AH26" s="745"/>
      <c r="AI26" s="271">
        <f>ROUND(IF(AD26=0,0,AG26/ABS(AD26)),3)</f>
        <v>0.187</v>
      </c>
      <c r="AJ26" s="1592"/>
      <c r="AK26" s="1568"/>
    </row>
    <row r="27" spans="1:37" ht="14.25" customHeight="1">
      <c r="A27" s="426" t="s">
        <v>383</v>
      </c>
      <c r="B27" s="537">
        <v>0.2</v>
      </c>
      <c r="C27" s="269"/>
      <c r="D27" s="537">
        <v>9.9999999999999978E-2</v>
      </c>
      <c r="E27" s="269"/>
      <c r="F27" s="537">
        <v>0.2</v>
      </c>
      <c r="G27" s="269"/>
      <c r="H27" s="537">
        <v>0.20000000000000007</v>
      </c>
      <c r="I27" s="745"/>
      <c r="J27" s="537">
        <v>0.1999999999999999</v>
      </c>
      <c r="K27" s="745"/>
      <c r="L27" s="537">
        <v>0.10000000000000009</v>
      </c>
      <c r="M27" s="745"/>
      <c r="N27" s="537">
        <v>0.39999999999999974</v>
      </c>
      <c r="O27" s="745"/>
      <c r="P27" s="518">
        <f>$AA27-L27-N27-J27-H27-F27-D27-B27</f>
        <v>0.20000000000000023</v>
      </c>
      <c r="Q27" s="745"/>
      <c r="R27" s="518"/>
      <c r="S27" s="745"/>
      <c r="T27" s="518"/>
      <c r="U27" s="745"/>
      <c r="V27" s="518"/>
      <c r="W27" s="745"/>
      <c r="X27" s="518"/>
      <c r="Y27" s="1256"/>
      <c r="Z27" s="745"/>
      <c r="AA27" s="537">
        <v>1.6</v>
      </c>
      <c r="AB27" s="269"/>
      <c r="AC27" s="530" t="s">
        <v>103</v>
      </c>
      <c r="AD27" s="537">
        <v>1.8</v>
      </c>
      <c r="AE27" s="914"/>
      <c r="AF27" s="915"/>
      <c r="AG27" s="953">
        <f>ROUND(SUM(AA27-AD27),1)</f>
        <v>-0.2</v>
      </c>
      <c r="AH27" s="745"/>
      <c r="AI27" s="271">
        <f>ROUND(IF(AD27=0,1,AG27/ABS(AD27)),3)</f>
        <v>-0.111</v>
      </c>
      <c r="AJ27" s="1592"/>
      <c r="AK27" s="1568"/>
    </row>
    <row r="28" spans="1:37" ht="14.25" customHeight="1">
      <c r="A28" s="87" t="s">
        <v>384</v>
      </c>
      <c r="B28" s="1116">
        <f>ROUND(SUM(B26:B27),1)</f>
        <v>94.7</v>
      </c>
      <c r="C28" s="13"/>
      <c r="D28" s="71">
        <f>ROUND(SUM(D26:D27),1)</f>
        <v>114.2</v>
      </c>
      <c r="E28" s="13"/>
      <c r="F28" s="71">
        <f>ROUND(SUM(F26:F27),1)</f>
        <v>82.4</v>
      </c>
      <c r="G28" s="13"/>
      <c r="H28" s="71">
        <f>ROUND(SUM(H26:H27),1)</f>
        <v>86.8</v>
      </c>
      <c r="I28" s="745"/>
      <c r="J28" s="71">
        <f>ROUND(SUM(J26:J27),1)</f>
        <v>127.9</v>
      </c>
      <c r="K28" s="745"/>
      <c r="L28" s="71">
        <f>ROUND(SUM(L26:L27),1)</f>
        <v>104.3</v>
      </c>
      <c r="M28" s="745"/>
      <c r="N28" s="71">
        <f>ROUND(SUM(N26:N27),1)</f>
        <v>100.7</v>
      </c>
      <c r="O28" s="745"/>
      <c r="P28" s="71">
        <f>ROUND(SUM(P26:P27),1)</f>
        <v>95</v>
      </c>
      <c r="Q28" s="13"/>
      <c r="R28" s="71">
        <f>ROUND(SUM(R26:R27),1)</f>
        <v>0</v>
      </c>
      <c r="S28" s="745"/>
      <c r="T28" s="71">
        <f>ROUND(SUM(T26:T27),1)</f>
        <v>0</v>
      </c>
      <c r="U28" s="745"/>
      <c r="V28" s="71">
        <f>ROUND(SUM(V26:V27),1)</f>
        <v>0</v>
      </c>
      <c r="W28" s="745"/>
      <c r="X28" s="71">
        <f>ROUND(SUM(X26:X27),1)</f>
        <v>0</v>
      </c>
      <c r="Y28" s="1256"/>
      <c r="Z28" s="745"/>
      <c r="AA28" s="71">
        <f>ROUND(SUM(AA26:AA27),1)</f>
        <v>806</v>
      </c>
      <c r="AB28" s="1257"/>
      <c r="AC28" s="913"/>
      <c r="AD28" s="71">
        <f>ROUND(SUM(AD26:AD27),1)</f>
        <v>679.5</v>
      </c>
      <c r="AE28" s="914"/>
      <c r="AF28" s="915"/>
      <c r="AG28" s="1115">
        <f>ROUND(SUM(AA28-AD28),1)</f>
        <v>126.5</v>
      </c>
      <c r="AH28" s="87"/>
      <c r="AI28" s="543">
        <f>ROUND(IF(AD28=0,0,AG28/ABS(AD28)),3)</f>
        <v>0.186</v>
      </c>
      <c r="AJ28" s="1592"/>
      <c r="AK28" s="1568"/>
    </row>
    <row r="29" spans="1:37" ht="14.25" customHeight="1">
      <c r="A29" s="87"/>
      <c r="B29" s="1116"/>
      <c r="C29" s="13"/>
      <c r="D29" s="13"/>
      <c r="E29" s="13"/>
      <c r="F29" s="13"/>
      <c r="G29" s="13"/>
      <c r="H29" s="13"/>
      <c r="I29" s="745"/>
      <c r="J29" s="13"/>
      <c r="K29" s="745"/>
      <c r="L29" s="13"/>
      <c r="M29" s="745"/>
      <c r="N29" s="13"/>
      <c r="O29" s="745"/>
      <c r="P29" s="13"/>
      <c r="Q29" s="745"/>
      <c r="R29" s="13"/>
      <c r="S29" s="745"/>
      <c r="T29" s="13"/>
      <c r="U29" s="745"/>
      <c r="V29" s="13"/>
      <c r="W29" s="745"/>
      <c r="X29" s="13"/>
      <c r="Y29" s="1256"/>
      <c r="Z29" s="745"/>
      <c r="AA29" s="1116"/>
      <c r="AB29" s="1257"/>
      <c r="AC29" s="913"/>
      <c r="AD29" s="1116"/>
      <c r="AE29" s="914"/>
      <c r="AF29" s="915"/>
      <c r="AG29" s="913"/>
      <c r="AH29" s="745"/>
      <c r="AI29" s="745"/>
      <c r="AJ29" s="1592"/>
      <c r="AK29" s="1568"/>
    </row>
    <row r="30" spans="1:37" ht="14.25" customHeight="1">
      <c r="A30" s="87" t="s">
        <v>385</v>
      </c>
      <c r="B30" s="715">
        <f>ROUND(SUM(B17+B21+B24+B28),1)</f>
        <v>5718.7</v>
      </c>
      <c r="C30" s="269"/>
      <c r="D30" s="715">
        <f>ROUND(SUM(D17+D21+D24+D28),1)</f>
        <v>2872.5</v>
      </c>
      <c r="E30" s="269"/>
      <c r="F30" s="715">
        <f>ROUND(SUM(F17+F21+F24+F28),1)</f>
        <v>5708.5</v>
      </c>
      <c r="G30" s="269"/>
      <c r="H30" s="715">
        <f>ROUND(SUM(H17+H21+H24+H28),1)</f>
        <v>3114.1</v>
      </c>
      <c r="I30" s="745"/>
      <c r="J30" s="1034">
        <f>ROUND(SUM(J17+J21+J24+J28),1)</f>
        <v>3069.8</v>
      </c>
      <c r="K30" s="745"/>
      <c r="L30" s="1034">
        <f>ROUND(SUM(L17+L21+L24+L28),1)</f>
        <v>5414.5</v>
      </c>
      <c r="M30" s="745"/>
      <c r="N30" s="1034">
        <f>ROUND(SUM(N17+N21+N24+N28),1)</f>
        <v>1535.1</v>
      </c>
      <c r="O30" s="745"/>
      <c r="P30" s="1034">
        <f>ROUND(SUM(P17+P21+P24+P28),1)</f>
        <v>2244.8000000000002</v>
      </c>
      <c r="Q30" s="677"/>
      <c r="R30" s="1034">
        <f>ROUND(SUM(R17+R21+R24+R28),1)</f>
        <v>0</v>
      </c>
      <c r="S30" s="745"/>
      <c r="T30" s="1034">
        <f>ROUND(SUM(T17+T21+T24+T28),1)</f>
        <v>0</v>
      </c>
      <c r="U30" s="745"/>
      <c r="V30" s="1034">
        <f>ROUND(SUM(V17+V21+V24+V28),1)</f>
        <v>0</v>
      </c>
      <c r="W30" s="745"/>
      <c r="X30" s="1034">
        <f>ROUND(SUM(X17+X21+X24+X28),1)</f>
        <v>0</v>
      </c>
      <c r="Y30" s="1256"/>
      <c r="Z30" s="745"/>
      <c r="AA30" s="1034">
        <f>ROUND(SUM(AA17+AA21+AA24+AA28),1)</f>
        <v>29678</v>
      </c>
      <c r="AB30" s="1257"/>
      <c r="AC30" s="913"/>
      <c r="AD30" s="1034">
        <f>ROUND(SUM(AD17+AD21+AD24+AD28),1)</f>
        <v>27403.3</v>
      </c>
      <c r="AE30" s="914"/>
      <c r="AF30" s="915"/>
      <c r="AG30" s="1034">
        <f>ROUND(SUM(AG17+AG21+AG24+AG28),1)</f>
        <v>2274.6999999999998</v>
      </c>
      <c r="AH30" s="87"/>
      <c r="AI30" s="544">
        <f>ROUND(IF(AD30=0,0,AG30/ABS(AD30)),3)</f>
        <v>8.3000000000000004E-2</v>
      </c>
      <c r="AJ30" s="1592"/>
      <c r="AK30" s="1568"/>
    </row>
    <row r="31" spans="1:37" ht="14.25" customHeight="1">
      <c r="A31" s="1235"/>
      <c r="B31" s="269"/>
      <c r="C31" s="269"/>
      <c r="D31" s="269"/>
      <c r="E31" s="269"/>
      <c r="F31" s="269"/>
      <c r="G31" s="269"/>
      <c r="H31" s="269"/>
      <c r="I31" s="745"/>
      <c r="J31" s="269"/>
      <c r="K31" s="745"/>
      <c r="L31" s="269"/>
      <c r="M31" s="745"/>
      <c r="N31" s="269"/>
      <c r="O31" s="745"/>
      <c r="P31" s="269"/>
      <c r="Q31" s="745"/>
      <c r="R31" s="269"/>
      <c r="S31" s="745"/>
      <c r="T31" s="269"/>
      <c r="U31" s="745"/>
      <c r="V31" s="269"/>
      <c r="W31" s="745"/>
      <c r="X31" s="269"/>
      <c r="Y31" s="1256"/>
      <c r="Z31" s="745"/>
      <c r="AA31" s="269"/>
      <c r="AB31" s="1257"/>
      <c r="AC31" s="913"/>
      <c r="AD31" s="269"/>
      <c r="AE31" s="914"/>
      <c r="AF31" s="915"/>
      <c r="AG31" s="913"/>
      <c r="AH31" s="745"/>
      <c r="AI31" s="745"/>
      <c r="AJ31" s="1592"/>
      <c r="AK31" s="1568"/>
    </row>
    <row r="32" spans="1:37" ht="14.25" customHeight="1">
      <c r="A32" s="1235" t="s">
        <v>386</v>
      </c>
      <c r="B32" s="673"/>
      <c r="C32" s="559"/>
      <c r="D32" s="559"/>
      <c r="E32" s="559"/>
      <c r="F32" s="559"/>
      <c r="G32" s="559"/>
      <c r="H32" s="559"/>
      <c r="I32" s="953"/>
      <c r="J32" s="953"/>
      <c r="K32" s="953"/>
      <c r="L32" s="953"/>
      <c r="M32" s="953"/>
      <c r="N32" s="953"/>
      <c r="O32" s="953"/>
      <c r="P32" s="953"/>
      <c r="Q32" s="953"/>
      <c r="R32" s="953"/>
      <c r="S32" s="953"/>
      <c r="T32" s="953"/>
      <c r="U32" s="953"/>
      <c r="V32" s="953"/>
      <c r="W32" s="953"/>
      <c r="X32" s="953"/>
      <c r="Y32" s="1258"/>
      <c r="Z32" s="953"/>
      <c r="AA32" s="673"/>
      <c r="AB32" s="1258"/>
      <c r="AC32" s="953"/>
      <c r="AD32" s="673"/>
      <c r="AE32" s="1074"/>
      <c r="AF32" s="952"/>
      <c r="AG32" s="953"/>
      <c r="AH32" s="745"/>
      <c r="AI32" s="1075"/>
      <c r="AJ32" s="1592"/>
      <c r="AK32" s="1568"/>
    </row>
    <row r="33" spans="1:37" ht="14.25" customHeight="1">
      <c r="A33" s="355" t="s">
        <v>390</v>
      </c>
      <c r="B33" s="673"/>
      <c r="C33" s="559"/>
      <c r="D33" s="559"/>
      <c r="E33" s="559"/>
      <c r="F33" s="559"/>
      <c r="G33" s="559"/>
      <c r="H33" s="559"/>
      <c r="I33" s="953"/>
      <c r="J33" s="953"/>
      <c r="K33" s="953"/>
      <c r="L33" s="953"/>
      <c r="M33" s="953"/>
      <c r="N33" s="953"/>
      <c r="O33" s="953"/>
      <c r="P33" s="953"/>
      <c r="Q33" s="953"/>
      <c r="R33" s="953"/>
      <c r="S33" s="953"/>
      <c r="T33" s="953"/>
      <c r="U33" s="953"/>
      <c r="V33" s="953"/>
      <c r="W33" s="953"/>
      <c r="X33" s="953"/>
      <c r="Y33" s="1258"/>
      <c r="Z33" s="953"/>
      <c r="AA33" s="673"/>
      <c r="AB33" s="1258"/>
      <c r="AC33" s="953"/>
      <c r="AD33" s="673"/>
      <c r="AE33" s="1074"/>
      <c r="AF33" s="952"/>
      <c r="AG33" s="953"/>
      <c r="AH33" s="745"/>
      <c r="AI33" s="1075"/>
      <c r="AJ33" s="1592"/>
      <c r="AK33" s="1568"/>
    </row>
    <row r="34" spans="1:37" ht="14.25" customHeight="1">
      <c r="A34" s="355" t="s">
        <v>392</v>
      </c>
      <c r="B34" s="537">
        <v>0</v>
      </c>
      <c r="C34" s="559"/>
      <c r="D34" s="537">
        <v>0</v>
      </c>
      <c r="E34" s="559"/>
      <c r="F34" s="537">
        <v>0</v>
      </c>
      <c r="G34" s="559"/>
      <c r="H34" s="537">
        <v>0</v>
      </c>
      <c r="I34" s="558"/>
      <c r="J34" s="537">
        <v>0</v>
      </c>
      <c r="K34" s="558"/>
      <c r="L34" s="537">
        <v>0</v>
      </c>
      <c r="M34" s="558"/>
      <c r="N34" s="537">
        <v>0</v>
      </c>
      <c r="O34" s="558"/>
      <c r="P34" s="518">
        <f>$AA34-L34-N34-J34-H34-F34-D34-B34</f>
        <v>0</v>
      </c>
      <c r="Q34" s="558"/>
      <c r="R34" s="518"/>
      <c r="S34" s="558"/>
      <c r="T34" s="518"/>
      <c r="U34" s="558"/>
      <c r="V34" s="518"/>
      <c r="W34" s="558"/>
      <c r="X34" s="518"/>
      <c r="Y34" s="1256"/>
      <c r="Z34" s="745"/>
      <c r="AA34" s="537">
        <v>0</v>
      </c>
      <c r="AB34" s="269"/>
      <c r="AC34" s="530" t="s">
        <v>103</v>
      </c>
      <c r="AD34" s="537">
        <v>0</v>
      </c>
      <c r="AE34" s="1074"/>
      <c r="AF34" s="952"/>
      <c r="AG34" s="953">
        <f>ROUND(SUM(AA34-AD34),1)</f>
        <v>0</v>
      </c>
      <c r="AH34" s="745"/>
      <c r="AI34" s="271">
        <f>ROUND(IF(AD34=0,0,AG34/ABS(AD34)),3)</f>
        <v>0</v>
      </c>
      <c r="AJ34" s="1592"/>
      <c r="AK34" s="1568"/>
    </row>
    <row r="35" spans="1:37" ht="14.25" customHeight="1">
      <c r="A35" s="355" t="s">
        <v>395</v>
      </c>
      <c r="B35" s="537" t="s">
        <v>103</v>
      </c>
      <c r="C35" s="559"/>
      <c r="D35" s="518"/>
      <c r="E35" s="559"/>
      <c r="F35" s="537"/>
      <c r="G35" s="559"/>
      <c r="H35" s="537"/>
      <c r="I35" s="558"/>
      <c r="J35" s="537"/>
      <c r="K35" s="558"/>
      <c r="L35" s="537"/>
      <c r="M35" s="558"/>
      <c r="N35" s="537"/>
      <c r="O35" s="558"/>
      <c r="P35" s="518"/>
      <c r="Q35" s="558"/>
      <c r="R35" s="518"/>
      <c r="S35" s="558"/>
      <c r="T35" s="518"/>
      <c r="U35" s="558"/>
      <c r="V35" s="518"/>
      <c r="W35" s="558"/>
      <c r="X35" s="518"/>
      <c r="Y35" s="1256"/>
      <c r="Z35" s="745"/>
      <c r="AA35" s="518" t="s">
        <v>103</v>
      </c>
      <c r="AB35" s="1257"/>
      <c r="AC35" s="913"/>
      <c r="AD35" s="518" t="s">
        <v>103</v>
      </c>
      <c r="AE35" s="1074"/>
      <c r="AF35" s="952"/>
      <c r="AG35" s="953"/>
      <c r="AH35" s="745"/>
      <c r="AI35" s="1075"/>
      <c r="AJ35" s="1592"/>
      <c r="AK35" s="1568"/>
    </row>
    <row r="36" spans="1:37" ht="14.25" customHeight="1">
      <c r="A36" s="355" t="s">
        <v>396</v>
      </c>
      <c r="B36" s="537">
        <v>0</v>
      </c>
      <c r="C36" s="559"/>
      <c r="D36" s="537">
        <v>0</v>
      </c>
      <c r="E36" s="559"/>
      <c r="F36" s="537">
        <v>0</v>
      </c>
      <c r="G36" s="559"/>
      <c r="H36" s="537">
        <v>0</v>
      </c>
      <c r="I36" s="558"/>
      <c r="J36" s="537">
        <v>0</v>
      </c>
      <c r="K36" s="558"/>
      <c r="L36" s="537">
        <v>0</v>
      </c>
      <c r="M36" s="558"/>
      <c r="N36" s="537">
        <v>0</v>
      </c>
      <c r="O36" s="558"/>
      <c r="P36" s="518">
        <f t="shared" ref="P36:P50" si="1">$AA36-L36-N36-J36-H36-F36-D36-B36</f>
        <v>0</v>
      </c>
      <c r="Q36" s="558"/>
      <c r="R36" s="518"/>
      <c r="S36" s="558"/>
      <c r="T36" s="518"/>
      <c r="U36" s="558"/>
      <c r="V36" s="518"/>
      <c r="W36" s="558"/>
      <c r="X36" s="518"/>
      <c r="Y36" s="1256"/>
      <c r="Z36" s="745"/>
      <c r="AA36" s="537">
        <v>0</v>
      </c>
      <c r="AB36" s="269"/>
      <c r="AC36" s="530" t="s">
        <v>103</v>
      </c>
      <c r="AD36" s="537">
        <v>0</v>
      </c>
      <c r="AE36" s="1074"/>
      <c r="AF36" s="952"/>
      <c r="AG36" s="953">
        <f t="shared" ref="AG36:AG46" si="2">ROUND(SUM(AA36-AD36),1)</f>
        <v>0</v>
      </c>
      <c r="AH36" s="745"/>
      <c r="AI36" s="271">
        <f t="shared" ref="AI36:AI46" si="3">ROUND(IF(AD36=0,0,AG36/ABS(AD36)),3)</f>
        <v>0</v>
      </c>
      <c r="AJ36" s="1592"/>
      <c r="AK36" s="1568"/>
    </row>
    <row r="37" spans="1:37" ht="14.25" customHeight="1">
      <c r="A37" s="355" t="s">
        <v>398</v>
      </c>
      <c r="B37" s="537">
        <v>0</v>
      </c>
      <c r="C37" s="559"/>
      <c r="D37" s="537">
        <v>0</v>
      </c>
      <c r="E37" s="559"/>
      <c r="F37" s="537">
        <v>0</v>
      </c>
      <c r="G37" s="559"/>
      <c r="H37" s="537">
        <v>0</v>
      </c>
      <c r="I37" s="558"/>
      <c r="J37" s="537">
        <v>0</v>
      </c>
      <c r="K37" s="558"/>
      <c r="L37" s="537">
        <v>0</v>
      </c>
      <c r="M37" s="558"/>
      <c r="N37" s="537">
        <v>0</v>
      </c>
      <c r="O37" s="558"/>
      <c r="P37" s="518">
        <f t="shared" si="1"/>
        <v>0</v>
      </c>
      <c r="Q37" s="558"/>
      <c r="R37" s="518"/>
      <c r="S37" s="558"/>
      <c r="T37" s="518"/>
      <c r="U37" s="558"/>
      <c r="V37" s="518"/>
      <c r="W37" s="558"/>
      <c r="X37" s="518"/>
      <c r="Y37" s="1256"/>
      <c r="Z37" s="745"/>
      <c r="AA37" s="537">
        <v>0</v>
      </c>
      <c r="AB37" s="269"/>
      <c r="AC37" s="530" t="s">
        <v>103</v>
      </c>
      <c r="AD37" s="537">
        <v>0</v>
      </c>
      <c r="AE37" s="1074"/>
      <c r="AF37" s="952"/>
      <c r="AG37" s="953">
        <f t="shared" si="2"/>
        <v>0</v>
      </c>
      <c r="AH37" s="745"/>
      <c r="AI37" s="271">
        <f t="shared" si="3"/>
        <v>0</v>
      </c>
      <c r="AJ37" s="1592"/>
      <c r="AK37" s="1568"/>
    </row>
    <row r="38" spans="1:37" ht="14.25" customHeight="1">
      <c r="A38" s="355" t="s">
        <v>399</v>
      </c>
      <c r="B38" s="537">
        <v>0</v>
      </c>
      <c r="C38" s="559"/>
      <c r="D38" s="537">
        <v>0</v>
      </c>
      <c r="E38" s="559"/>
      <c r="F38" s="537">
        <v>0</v>
      </c>
      <c r="G38" s="559"/>
      <c r="H38" s="537">
        <v>0</v>
      </c>
      <c r="I38" s="558"/>
      <c r="J38" s="537">
        <v>0</v>
      </c>
      <c r="K38" s="558"/>
      <c r="L38" s="537">
        <v>0</v>
      </c>
      <c r="M38" s="558"/>
      <c r="N38" s="537">
        <v>0</v>
      </c>
      <c r="O38" s="558"/>
      <c r="P38" s="518">
        <f t="shared" si="1"/>
        <v>0</v>
      </c>
      <c r="Q38" s="558"/>
      <c r="R38" s="518"/>
      <c r="S38" s="558"/>
      <c r="T38" s="518"/>
      <c r="U38" s="558"/>
      <c r="V38" s="518"/>
      <c r="W38" s="558"/>
      <c r="X38" s="518"/>
      <c r="Y38" s="1256"/>
      <c r="Z38" s="745"/>
      <c r="AA38" s="537">
        <v>0</v>
      </c>
      <c r="AB38" s="269"/>
      <c r="AC38" s="530" t="s">
        <v>103</v>
      </c>
      <c r="AD38" s="537">
        <v>0</v>
      </c>
      <c r="AE38" s="1074"/>
      <c r="AF38" s="952"/>
      <c r="AG38" s="953">
        <f t="shared" si="2"/>
        <v>0</v>
      </c>
      <c r="AH38" s="745"/>
      <c r="AI38" s="271">
        <f t="shared" si="3"/>
        <v>0</v>
      </c>
      <c r="AJ38" s="1592"/>
      <c r="AK38" s="1568"/>
    </row>
    <row r="39" spans="1:37" ht="14.25" customHeight="1">
      <c r="A39" s="355" t="s">
        <v>400</v>
      </c>
      <c r="B39" s="537">
        <v>0</v>
      </c>
      <c r="C39" s="559"/>
      <c r="D39" s="537">
        <v>0</v>
      </c>
      <c r="E39" s="559"/>
      <c r="F39" s="537">
        <v>0</v>
      </c>
      <c r="G39" s="559"/>
      <c r="H39" s="537">
        <v>0</v>
      </c>
      <c r="I39" s="558"/>
      <c r="J39" s="537">
        <v>0</v>
      </c>
      <c r="K39" s="558"/>
      <c r="L39" s="537">
        <v>0</v>
      </c>
      <c r="M39" s="558"/>
      <c r="N39" s="537">
        <v>0</v>
      </c>
      <c r="O39" s="558"/>
      <c r="P39" s="518">
        <f t="shared" si="1"/>
        <v>0</v>
      </c>
      <c r="Q39" s="558"/>
      <c r="R39" s="518"/>
      <c r="S39" s="558"/>
      <c r="T39" s="518"/>
      <c r="U39" s="558"/>
      <c r="V39" s="518"/>
      <c r="W39" s="558"/>
      <c r="X39" s="518"/>
      <c r="Y39" s="1256"/>
      <c r="Z39" s="745"/>
      <c r="AA39" s="537">
        <v>0</v>
      </c>
      <c r="AB39" s="269"/>
      <c r="AC39" s="530" t="s">
        <v>103</v>
      </c>
      <c r="AD39" s="537">
        <v>0</v>
      </c>
      <c r="AE39" s="1074"/>
      <c r="AF39" s="952"/>
      <c r="AG39" s="953">
        <f t="shared" si="2"/>
        <v>0</v>
      </c>
      <c r="AH39" s="745"/>
      <c r="AI39" s="271">
        <f t="shared" si="3"/>
        <v>0</v>
      </c>
      <c r="AJ39" s="1592"/>
      <c r="AK39" s="1568"/>
    </row>
    <row r="40" spans="1:37" ht="14.25" customHeight="1">
      <c r="A40" s="355" t="s">
        <v>401</v>
      </c>
      <c r="B40" s="537">
        <v>0</v>
      </c>
      <c r="C40" s="559"/>
      <c r="D40" s="537">
        <v>0</v>
      </c>
      <c r="E40" s="559"/>
      <c r="F40" s="537">
        <v>0</v>
      </c>
      <c r="G40" s="559"/>
      <c r="H40" s="537">
        <v>0</v>
      </c>
      <c r="I40" s="558"/>
      <c r="J40" s="537">
        <v>0</v>
      </c>
      <c r="K40" s="558"/>
      <c r="L40" s="537">
        <v>0</v>
      </c>
      <c r="M40" s="558"/>
      <c r="N40" s="537">
        <v>0</v>
      </c>
      <c r="O40" s="558"/>
      <c r="P40" s="518">
        <f t="shared" si="1"/>
        <v>0</v>
      </c>
      <c r="Q40" s="558"/>
      <c r="R40" s="518"/>
      <c r="S40" s="558"/>
      <c r="T40" s="518"/>
      <c r="U40" s="558"/>
      <c r="V40" s="518"/>
      <c r="W40" s="558"/>
      <c r="X40" s="518"/>
      <c r="Y40" s="1256"/>
      <c r="Z40" s="745"/>
      <c r="AA40" s="537">
        <v>0</v>
      </c>
      <c r="AB40" s="269"/>
      <c r="AC40" s="530" t="s">
        <v>103</v>
      </c>
      <c r="AD40" s="537">
        <v>0</v>
      </c>
      <c r="AE40" s="1074"/>
      <c r="AF40" s="952"/>
      <c r="AG40" s="953">
        <f>ROUND(SUM(AA40-AD40),1)</f>
        <v>0</v>
      </c>
      <c r="AH40" s="745"/>
      <c r="AI40" s="271">
        <f t="shared" si="3"/>
        <v>0</v>
      </c>
      <c r="AJ40" s="1592"/>
      <c r="AK40" s="1568"/>
    </row>
    <row r="41" spans="1:37" ht="14.25" customHeight="1">
      <c r="A41" s="355" t="s">
        <v>402</v>
      </c>
      <c r="B41" s="537">
        <v>0</v>
      </c>
      <c r="C41" s="559"/>
      <c r="D41" s="537">
        <v>0</v>
      </c>
      <c r="E41" s="559"/>
      <c r="F41" s="537">
        <v>0</v>
      </c>
      <c r="G41" s="559"/>
      <c r="H41" s="537">
        <v>0</v>
      </c>
      <c r="I41" s="558"/>
      <c r="J41" s="537">
        <v>0</v>
      </c>
      <c r="K41" s="558"/>
      <c r="L41" s="537">
        <v>0</v>
      </c>
      <c r="M41" s="558"/>
      <c r="N41" s="537">
        <v>0</v>
      </c>
      <c r="O41" s="558"/>
      <c r="P41" s="518">
        <f t="shared" si="1"/>
        <v>0</v>
      </c>
      <c r="Q41" s="558"/>
      <c r="R41" s="518"/>
      <c r="S41" s="558"/>
      <c r="T41" s="518"/>
      <c r="U41" s="558"/>
      <c r="V41" s="518"/>
      <c r="W41" s="558"/>
      <c r="X41" s="518"/>
      <c r="Y41" s="1256"/>
      <c r="Z41" s="745"/>
      <c r="AA41" s="537">
        <v>0</v>
      </c>
      <c r="AB41" s="269"/>
      <c r="AC41" s="530" t="s">
        <v>103</v>
      </c>
      <c r="AD41" s="537">
        <v>0</v>
      </c>
      <c r="AE41" s="1074"/>
      <c r="AF41" s="952"/>
      <c r="AG41" s="953">
        <f t="shared" si="2"/>
        <v>0</v>
      </c>
      <c r="AH41" s="745"/>
      <c r="AI41" s="271">
        <f t="shared" si="3"/>
        <v>0</v>
      </c>
      <c r="AJ41" s="1592"/>
      <c r="AK41" s="1568"/>
    </row>
    <row r="42" spans="1:37" ht="14.25" customHeight="1">
      <c r="A42" s="355" t="s">
        <v>409</v>
      </c>
      <c r="B42" s="537">
        <v>0.19999999999999998</v>
      </c>
      <c r="C42" s="559"/>
      <c r="D42" s="537">
        <v>0.1</v>
      </c>
      <c r="E42" s="559"/>
      <c r="F42" s="537">
        <v>0</v>
      </c>
      <c r="G42" s="559"/>
      <c r="H42" s="537">
        <v>0</v>
      </c>
      <c r="I42" s="558"/>
      <c r="J42" s="537">
        <v>0</v>
      </c>
      <c r="K42" s="558"/>
      <c r="L42" s="537">
        <v>0</v>
      </c>
      <c r="M42" s="558"/>
      <c r="N42" s="537">
        <v>0.30000000000000004</v>
      </c>
      <c r="O42" s="558"/>
      <c r="P42" s="518">
        <f t="shared" si="1"/>
        <v>0</v>
      </c>
      <c r="Q42" s="558"/>
      <c r="R42" s="518"/>
      <c r="S42" s="558"/>
      <c r="T42" s="518"/>
      <c r="U42" s="558"/>
      <c r="V42" s="518"/>
      <c r="W42" s="558"/>
      <c r="X42" s="518"/>
      <c r="Y42" s="1256"/>
      <c r="Z42" s="745"/>
      <c r="AA42" s="537">
        <v>0.6</v>
      </c>
      <c r="AB42" s="1251"/>
      <c r="AC42" s="269" t="s">
        <v>103</v>
      </c>
      <c r="AD42" s="537">
        <v>0.7</v>
      </c>
      <c r="AE42" s="1074"/>
      <c r="AF42" s="952"/>
      <c r="AG42" s="953">
        <f t="shared" si="2"/>
        <v>-0.1</v>
      </c>
      <c r="AH42" s="745"/>
      <c r="AI42" s="271">
        <f>ROUND(IF(AD42=0,1,AG42/ABS(AD42)),3)</f>
        <v>-0.14299999999999999</v>
      </c>
      <c r="AJ42" s="1592"/>
      <c r="AK42" s="1568"/>
    </row>
    <row r="43" spans="1:37" ht="14.25" customHeight="1">
      <c r="A43" s="355" t="s">
        <v>410</v>
      </c>
      <c r="B43" s="537">
        <v>0</v>
      </c>
      <c r="C43" s="559"/>
      <c r="D43" s="537">
        <v>0</v>
      </c>
      <c r="E43" s="559"/>
      <c r="F43" s="537">
        <v>0</v>
      </c>
      <c r="G43" s="559"/>
      <c r="H43" s="537">
        <v>0</v>
      </c>
      <c r="I43" s="558"/>
      <c r="J43" s="537">
        <v>0</v>
      </c>
      <c r="K43" s="558"/>
      <c r="L43" s="537">
        <v>0</v>
      </c>
      <c r="M43" s="558"/>
      <c r="N43" s="537">
        <v>0</v>
      </c>
      <c r="O43" s="558"/>
      <c r="P43" s="518">
        <f t="shared" si="1"/>
        <v>0</v>
      </c>
      <c r="Q43" s="558"/>
      <c r="R43" s="518"/>
      <c r="S43" s="558"/>
      <c r="T43" s="518"/>
      <c r="U43" s="558"/>
      <c r="V43" s="518"/>
      <c r="W43" s="558"/>
      <c r="X43" s="518"/>
      <c r="Y43" s="1256"/>
      <c r="Z43" s="745"/>
      <c r="AA43" s="537">
        <v>0</v>
      </c>
      <c r="AB43" s="269"/>
      <c r="AC43" s="530" t="s">
        <v>103</v>
      </c>
      <c r="AD43" s="537">
        <v>0.6</v>
      </c>
      <c r="AE43" s="1074"/>
      <c r="AF43" s="952"/>
      <c r="AG43" s="953">
        <f>ROUND(SUM(AA43-AD43),1)</f>
        <v>-0.6</v>
      </c>
      <c r="AH43" s="745"/>
      <c r="AI43" s="271">
        <f>ROUND(IF(AD43=0,0,AG43/ABS(AD43)),3)</f>
        <v>-1</v>
      </c>
      <c r="AJ43" s="1592"/>
      <c r="AK43" s="1568"/>
    </row>
    <row r="44" spans="1:37" ht="14.25" customHeight="1">
      <c r="A44" s="355" t="s">
        <v>411</v>
      </c>
      <c r="B44" s="537" t="s">
        <v>103</v>
      </c>
      <c r="C44" s="559"/>
      <c r="D44" s="537"/>
      <c r="E44" s="559"/>
      <c r="F44" s="537"/>
      <c r="G44" s="559"/>
      <c r="H44" s="537"/>
      <c r="I44" s="558"/>
      <c r="J44" s="537"/>
      <c r="K44" s="558"/>
      <c r="L44" s="537"/>
      <c r="M44" s="558"/>
      <c r="N44" s="537"/>
      <c r="O44" s="558"/>
      <c r="P44" s="518"/>
      <c r="Q44" s="558"/>
      <c r="R44" s="518"/>
      <c r="S44" s="558"/>
      <c r="T44" s="518"/>
      <c r="U44" s="558"/>
      <c r="V44" s="518"/>
      <c r="W44" s="558"/>
      <c r="X44" s="518"/>
      <c r="Y44" s="1256"/>
      <c r="Z44" s="745"/>
      <c r="AA44" s="518" t="s">
        <v>103</v>
      </c>
      <c r="AB44" s="1257"/>
      <c r="AC44" s="913" t="s">
        <v>103</v>
      </c>
      <c r="AD44" s="518" t="s">
        <v>103</v>
      </c>
      <c r="AE44" s="1074"/>
      <c r="AF44" s="952" t="s">
        <v>103</v>
      </c>
      <c r="AG44" s="953" t="s">
        <v>103</v>
      </c>
      <c r="AH44" s="745"/>
      <c r="AI44" s="271" t="s">
        <v>103</v>
      </c>
      <c r="AJ44" s="1592"/>
      <c r="AK44" s="1568"/>
    </row>
    <row r="45" spans="1:37" ht="14.25" customHeight="1">
      <c r="A45" s="355" t="s">
        <v>497</v>
      </c>
      <c r="B45" s="537">
        <v>0</v>
      </c>
      <c r="C45" s="559"/>
      <c r="D45" s="537">
        <v>0</v>
      </c>
      <c r="E45" s="559"/>
      <c r="F45" s="537">
        <v>0</v>
      </c>
      <c r="G45" s="559"/>
      <c r="H45" s="537">
        <v>0</v>
      </c>
      <c r="I45" s="558"/>
      <c r="J45" s="537">
        <v>0</v>
      </c>
      <c r="K45" s="558"/>
      <c r="L45" s="537">
        <v>0</v>
      </c>
      <c r="M45" s="558"/>
      <c r="N45" s="537">
        <v>0</v>
      </c>
      <c r="O45" s="558"/>
      <c r="P45" s="518">
        <f t="shared" si="1"/>
        <v>0</v>
      </c>
      <c r="Q45" s="558"/>
      <c r="R45" s="518"/>
      <c r="S45" s="558"/>
      <c r="T45" s="518"/>
      <c r="U45" s="558"/>
      <c r="V45" s="518"/>
      <c r="W45" s="558"/>
      <c r="X45" s="518"/>
      <c r="Y45" s="1256"/>
      <c r="Z45" s="745"/>
      <c r="AA45" s="537">
        <v>0</v>
      </c>
      <c r="AB45" s="269"/>
      <c r="AC45" s="530"/>
      <c r="AD45" s="537">
        <v>0</v>
      </c>
      <c r="AE45" s="1074"/>
      <c r="AF45" s="952"/>
      <c r="AG45" s="953">
        <f>ROUND(SUM(AA45-AD45),1)</f>
        <v>0</v>
      </c>
      <c r="AH45" s="745"/>
      <c r="AI45" s="271">
        <f>ROUND(IF(AD45=0,0,AG45/ABS(AD45)),3)</f>
        <v>0</v>
      </c>
      <c r="AJ45" s="1592"/>
      <c r="AK45" s="1568"/>
    </row>
    <row r="46" spans="1:37" ht="14.25" customHeight="1">
      <c r="A46" s="355" t="s">
        <v>416</v>
      </c>
      <c r="B46" s="537">
        <v>0</v>
      </c>
      <c r="C46" s="559"/>
      <c r="D46" s="537">
        <v>0</v>
      </c>
      <c r="E46" s="559"/>
      <c r="F46" s="537">
        <v>0</v>
      </c>
      <c r="G46" s="559"/>
      <c r="H46" s="537">
        <v>0</v>
      </c>
      <c r="I46" s="558"/>
      <c r="J46" s="537">
        <v>0</v>
      </c>
      <c r="K46" s="558"/>
      <c r="L46" s="537">
        <v>0</v>
      </c>
      <c r="M46" s="558"/>
      <c r="N46" s="537">
        <v>0</v>
      </c>
      <c r="O46" s="558"/>
      <c r="P46" s="518">
        <f t="shared" si="1"/>
        <v>0</v>
      </c>
      <c r="Q46" s="558"/>
      <c r="R46" s="518"/>
      <c r="S46" s="558"/>
      <c r="T46" s="518"/>
      <c r="U46" s="558"/>
      <c r="V46" s="518"/>
      <c r="W46" s="558"/>
      <c r="X46" s="518"/>
      <c r="Y46" s="1256"/>
      <c r="Z46" s="745"/>
      <c r="AA46" s="537">
        <v>0</v>
      </c>
      <c r="AB46" s="269"/>
      <c r="AC46" s="530" t="s">
        <v>103</v>
      </c>
      <c r="AD46" s="537">
        <v>0</v>
      </c>
      <c r="AE46" s="1074"/>
      <c r="AF46" s="952"/>
      <c r="AG46" s="953">
        <f t="shared" si="2"/>
        <v>0</v>
      </c>
      <c r="AH46" s="745"/>
      <c r="AI46" s="271">
        <f t="shared" si="3"/>
        <v>0</v>
      </c>
      <c r="AJ46" s="1592"/>
      <c r="AK46" s="1568"/>
    </row>
    <row r="47" spans="1:37" ht="14.25" customHeight="1">
      <c r="A47" s="355" t="s">
        <v>417</v>
      </c>
      <c r="B47" s="537" t="s">
        <v>103</v>
      </c>
      <c r="C47" s="559"/>
      <c r="D47" s="537"/>
      <c r="E47" s="559"/>
      <c r="F47" s="537"/>
      <c r="G47" s="559"/>
      <c r="H47" s="537"/>
      <c r="I47" s="558"/>
      <c r="J47" s="537"/>
      <c r="K47" s="558"/>
      <c r="L47" s="537"/>
      <c r="M47" s="558"/>
      <c r="N47" s="537"/>
      <c r="O47" s="558"/>
      <c r="P47" s="518"/>
      <c r="Q47" s="558"/>
      <c r="R47" s="518"/>
      <c r="S47" s="558"/>
      <c r="T47" s="518"/>
      <c r="U47" s="558"/>
      <c r="V47" s="518"/>
      <c r="W47" s="558"/>
      <c r="X47" s="518"/>
      <c r="Y47" s="1256"/>
      <c r="Z47" s="745"/>
      <c r="AA47" s="518" t="s">
        <v>103</v>
      </c>
      <c r="AB47" s="1257"/>
      <c r="AC47" s="913"/>
      <c r="AD47" s="518" t="s">
        <v>103</v>
      </c>
      <c r="AE47" s="1074"/>
      <c r="AF47" s="952"/>
      <c r="AG47" s="953"/>
      <c r="AH47" s="745"/>
      <c r="AI47" s="1075"/>
      <c r="AJ47" s="1592"/>
      <c r="AK47" s="1568"/>
    </row>
    <row r="48" spans="1:37" ht="14.25" customHeight="1">
      <c r="A48" s="355" t="s">
        <v>545</v>
      </c>
      <c r="B48" s="537">
        <v>97.2</v>
      </c>
      <c r="C48" s="559"/>
      <c r="D48" s="537">
        <v>54.999999999999986</v>
      </c>
      <c r="E48" s="559"/>
      <c r="F48" s="537">
        <v>34.800000000000011</v>
      </c>
      <c r="G48" s="559"/>
      <c r="H48" s="537">
        <v>52.199999999999974</v>
      </c>
      <c r="I48" s="558"/>
      <c r="J48" s="537">
        <v>36.100000000000009</v>
      </c>
      <c r="K48" s="558"/>
      <c r="L48" s="537">
        <v>51.399999999999963</v>
      </c>
      <c r="M48" s="558"/>
      <c r="N48" s="537">
        <v>51.100000000000009</v>
      </c>
      <c r="O48" s="558"/>
      <c r="P48" s="518">
        <f t="shared" si="1"/>
        <v>50.599999999999952</v>
      </c>
      <c r="Q48" s="558"/>
      <c r="R48" s="518"/>
      <c r="S48" s="558"/>
      <c r="T48" s="518"/>
      <c r="U48" s="558"/>
      <c r="V48" s="518"/>
      <c r="W48" s="558"/>
      <c r="X48" s="518"/>
      <c r="Y48" s="1256"/>
      <c r="Z48" s="745"/>
      <c r="AA48" s="537">
        <v>428.4</v>
      </c>
      <c r="AB48" s="269"/>
      <c r="AC48" s="530" t="s">
        <v>103</v>
      </c>
      <c r="AD48" s="537">
        <v>369.4</v>
      </c>
      <c r="AE48" s="1074"/>
      <c r="AF48" s="952"/>
      <c r="AG48" s="953">
        <f>ROUND(SUM(AA48-AD48),1)</f>
        <v>59</v>
      </c>
      <c r="AH48" s="745"/>
      <c r="AI48" s="548">
        <f>ROUND(IF(AD48=0,0,AG48/ABS(AD48)),3)</f>
        <v>0.16</v>
      </c>
      <c r="AJ48" s="1592"/>
      <c r="AK48" s="1568"/>
    </row>
    <row r="49" spans="1:37" ht="14.25" customHeight="1">
      <c r="A49" s="355" t="s">
        <v>426</v>
      </c>
      <c r="B49" s="537">
        <v>0</v>
      </c>
      <c r="C49" s="559"/>
      <c r="D49" s="537">
        <v>0</v>
      </c>
      <c r="E49" s="559"/>
      <c r="F49" s="537">
        <v>0</v>
      </c>
      <c r="G49" s="559"/>
      <c r="H49" s="537">
        <v>0</v>
      </c>
      <c r="I49" s="558"/>
      <c r="J49" s="537">
        <v>0</v>
      </c>
      <c r="K49" s="558"/>
      <c r="L49" s="537">
        <v>0</v>
      </c>
      <c r="M49" s="558"/>
      <c r="N49" s="537">
        <v>0</v>
      </c>
      <c r="O49" s="558"/>
      <c r="P49" s="518">
        <f t="shared" si="1"/>
        <v>0</v>
      </c>
      <c r="Q49" s="558"/>
      <c r="R49" s="518"/>
      <c r="S49" s="558"/>
      <c r="T49" s="518"/>
      <c r="U49" s="558"/>
      <c r="V49" s="518"/>
      <c r="W49" s="558"/>
      <c r="X49" s="518"/>
      <c r="Y49" s="1256"/>
      <c r="Z49" s="745"/>
      <c r="AA49" s="537">
        <v>0</v>
      </c>
      <c r="AB49" s="269"/>
      <c r="AC49" s="530" t="s">
        <v>103</v>
      </c>
      <c r="AD49" s="537">
        <v>0</v>
      </c>
      <c r="AE49" s="1074"/>
      <c r="AF49" s="952"/>
      <c r="AG49" s="953">
        <f>ROUND(SUM(AA49-AD49),1)</f>
        <v>0</v>
      </c>
      <c r="AH49" s="745"/>
      <c r="AI49" s="271">
        <f>ROUND(IF(AD49=0,0,AG49/ABS(AD49)),3)</f>
        <v>0</v>
      </c>
      <c r="AJ49" s="1592"/>
      <c r="AK49" s="1568"/>
    </row>
    <row r="50" spans="1:37" ht="14.25" customHeight="1">
      <c r="A50" s="355" t="s">
        <v>427</v>
      </c>
      <c r="B50" s="537">
        <v>0</v>
      </c>
      <c r="C50" s="559"/>
      <c r="D50" s="537">
        <v>0</v>
      </c>
      <c r="E50" s="559"/>
      <c r="F50" s="537">
        <v>0</v>
      </c>
      <c r="G50" s="559"/>
      <c r="H50" s="537">
        <v>0</v>
      </c>
      <c r="I50" s="558"/>
      <c r="J50" s="537">
        <v>0</v>
      </c>
      <c r="K50" s="558"/>
      <c r="L50" s="537">
        <v>0</v>
      </c>
      <c r="M50" s="558"/>
      <c r="N50" s="537">
        <v>0</v>
      </c>
      <c r="O50" s="558"/>
      <c r="P50" s="518">
        <f t="shared" si="1"/>
        <v>0</v>
      </c>
      <c r="Q50" s="558"/>
      <c r="R50" s="518"/>
      <c r="S50" s="558"/>
      <c r="T50" s="518"/>
      <c r="U50" s="558"/>
      <c r="V50" s="518"/>
      <c r="W50" s="558"/>
      <c r="X50" s="518"/>
      <c r="Y50" s="1256"/>
      <c r="Z50" s="745"/>
      <c r="AA50" s="537">
        <v>0</v>
      </c>
      <c r="AB50" s="269"/>
      <c r="AC50" s="530" t="s">
        <v>103</v>
      </c>
      <c r="AD50" s="537">
        <v>0</v>
      </c>
      <c r="AE50" s="1074"/>
      <c r="AF50" s="952"/>
      <c r="AG50" s="953">
        <f>ROUND(SUM(AA50-AD50),1)</f>
        <v>0</v>
      </c>
      <c r="AH50" s="745"/>
      <c r="AI50" s="271">
        <f>ROUND(IF(AD50=0,0,AG50/ABS(AD50)),3)</f>
        <v>0</v>
      </c>
      <c r="AJ50" s="1592"/>
      <c r="AK50" s="1568"/>
    </row>
    <row r="51" spans="1:37" s="744" customFormat="1" ht="15.75">
      <c r="A51" s="87" t="s">
        <v>429</v>
      </c>
      <c r="B51" s="71">
        <f>ROUND(SUM(B34:B50),1)</f>
        <v>97.4</v>
      </c>
      <c r="C51" s="742"/>
      <c r="D51" s="71">
        <f>ROUND(SUM(D34:D50),1)</f>
        <v>55.1</v>
      </c>
      <c r="E51" s="742"/>
      <c r="F51" s="71">
        <f>ROUND(SUM(F34:F50),1)</f>
        <v>34.799999999999997</v>
      </c>
      <c r="G51" s="742"/>
      <c r="H51" s="71">
        <f>ROUND(SUM(H34:H50),1)</f>
        <v>52.2</v>
      </c>
      <c r="I51" s="419"/>
      <c r="J51" s="71">
        <f>ROUND(SUM(J34:J50),1)</f>
        <v>36.1</v>
      </c>
      <c r="K51" s="419"/>
      <c r="L51" s="71">
        <f>ROUND(SUM(L34:L50),1)</f>
        <v>51.4</v>
      </c>
      <c r="M51" s="419"/>
      <c r="N51" s="71">
        <f>ROUND(SUM(N34:N50),1)</f>
        <v>51.4</v>
      </c>
      <c r="O51" s="419"/>
      <c r="P51" s="71">
        <f>ROUND(SUM(P34:P50),1)</f>
        <v>50.6</v>
      </c>
      <c r="Q51" s="13"/>
      <c r="R51" s="71">
        <f>ROUND(SUM(R34:R50),1)</f>
        <v>0</v>
      </c>
      <c r="S51" s="419"/>
      <c r="T51" s="71">
        <f>ROUND(SUM(T34:T50),1)</f>
        <v>0</v>
      </c>
      <c r="U51" s="419"/>
      <c r="V51" s="71">
        <f>ROUND(SUM(V34:V50),1)</f>
        <v>0</v>
      </c>
      <c r="W51" s="419"/>
      <c r="X51" s="71">
        <f>ROUND(SUM(X34:X50),1)</f>
        <v>0</v>
      </c>
      <c r="Y51" s="1259"/>
      <c r="Z51" s="419"/>
      <c r="AA51" s="71">
        <f>ROUND(SUM(AA34:AA50),1)</f>
        <v>429</v>
      </c>
      <c r="AB51" s="1259"/>
      <c r="AC51" s="419"/>
      <c r="AD51" s="71">
        <f>ROUND(SUM(AD34:AD50),1)</f>
        <v>370.7</v>
      </c>
      <c r="AE51" s="1866"/>
      <c r="AF51" s="743"/>
      <c r="AG51" s="71">
        <f>ROUND(SUM(AG34:AG50),1)</f>
        <v>58.3</v>
      </c>
      <c r="AH51" s="87"/>
      <c r="AI51" s="1117">
        <f>ROUND(IF(AD51=0,0,AG51/ABS(AD51)),3)</f>
        <v>0.157</v>
      </c>
      <c r="AJ51" s="1592"/>
      <c r="AK51" s="1568"/>
    </row>
    <row r="52" spans="1:37" s="744" customFormat="1" ht="14.25" customHeight="1">
      <c r="A52" s="87"/>
      <c r="B52" s="13"/>
      <c r="C52" s="742"/>
      <c r="D52" s="13"/>
      <c r="E52" s="742"/>
      <c r="F52" s="13"/>
      <c r="G52" s="742"/>
      <c r="H52" s="13"/>
      <c r="I52" s="419"/>
      <c r="J52" s="13"/>
      <c r="K52" s="419"/>
      <c r="L52" s="13"/>
      <c r="M52" s="419"/>
      <c r="N52" s="13"/>
      <c r="O52" s="419"/>
      <c r="P52" s="13"/>
      <c r="Q52" s="419"/>
      <c r="R52" s="13"/>
      <c r="S52" s="419"/>
      <c r="T52" s="13"/>
      <c r="U52" s="419"/>
      <c r="V52" s="13"/>
      <c r="W52" s="419"/>
      <c r="X52" s="13"/>
      <c r="Y52" s="1259"/>
      <c r="Z52" s="419"/>
      <c r="AA52" s="13"/>
      <c r="AB52" s="1259"/>
      <c r="AC52" s="419"/>
      <c r="AD52" s="13"/>
      <c r="AE52" s="1866"/>
      <c r="AF52" s="743"/>
      <c r="AG52" s="419"/>
      <c r="AH52" s="87"/>
      <c r="AI52" s="741"/>
      <c r="AJ52" s="1592"/>
      <c r="AK52" s="1568"/>
    </row>
    <row r="53" spans="1:37" ht="15">
      <c r="A53" s="745" t="s">
        <v>546</v>
      </c>
      <c r="B53" s="537">
        <v>29.2</v>
      </c>
      <c r="C53" s="559"/>
      <c r="D53" s="537">
        <v>0</v>
      </c>
      <c r="E53" s="559"/>
      <c r="F53" s="537">
        <v>0</v>
      </c>
      <c r="G53" s="559"/>
      <c r="H53" s="537">
        <v>0.80000000000000071</v>
      </c>
      <c r="I53" s="953"/>
      <c r="J53" s="537">
        <v>20.000000000000004</v>
      </c>
      <c r="K53" s="953"/>
      <c r="L53" s="537">
        <v>6.8000000000000007</v>
      </c>
      <c r="M53" s="953"/>
      <c r="N53" s="537">
        <v>9.9999999999990763E-2</v>
      </c>
      <c r="O53" s="953"/>
      <c r="P53" s="518">
        <f>$AA53-L53-N53-J53-H53-F53-D53-B53</f>
        <v>0</v>
      </c>
      <c r="Q53" s="953"/>
      <c r="R53" s="518"/>
      <c r="S53" s="953"/>
      <c r="T53" s="518"/>
      <c r="U53" s="953"/>
      <c r="V53" s="518"/>
      <c r="W53" s="953"/>
      <c r="X53" s="518"/>
      <c r="Y53" s="1258"/>
      <c r="Z53" s="953"/>
      <c r="AA53" s="1001">
        <v>56.9</v>
      </c>
      <c r="AB53" s="269"/>
      <c r="AC53" s="530" t="s">
        <v>103</v>
      </c>
      <c r="AD53" s="1001">
        <v>37.700000000000003</v>
      </c>
      <c r="AE53" s="1074"/>
      <c r="AF53" s="952"/>
      <c r="AG53" s="1076">
        <f>ROUND(SUM(AA53-AD53),1)</f>
        <v>19.2</v>
      </c>
      <c r="AH53" s="745"/>
      <c r="AI53" s="539">
        <f>ROUND(IF(AD53=0,1,AG53/ABS(AD53)),3)</f>
        <v>0.50900000000000001</v>
      </c>
      <c r="AJ53" s="1592"/>
      <c r="AK53" s="1568"/>
    </row>
    <row r="54" spans="1:37" ht="12" customHeight="1">
      <c r="A54" s="745"/>
      <c r="B54" s="1118"/>
      <c r="C54" s="559"/>
      <c r="D54" s="1118"/>
      <c r="E54" s="559"/>
      <c r="F54" s="1118"/>
      <c r="G54" s="559"/>
      <c r="H54" s="1118"/>
      <c r="I54" s="953"/>
      <c r="J54" s="1119"/>
      <c r="K54" s="953"/>
      <c r="L54" s="1119"/>
      <c r="M54" s="953"/>
      <c r="N54" s="1119"/>
      <c r="O54" s="953"/>
      <c r="P54" s="1119"/>
      <c r="Q54" s="953"/>
      <c r="R54" s="1119"/>
      <c r="S54" s="953"/>
      <c r="T54" s="1119"/>
      <c r="U54" s="953"/>
      <c r="V54" s="1119"/>
      <c r="W54" s="953"/>
      <c r="X54" s="1119"/>
      <c r="Y54" s="1258"/>
      <c r="Z54" s="953"/>
      <c r="AA54" s="559"/>
      <c r="AB54" s="1258"/>
      <c r="AC54" s="953"/>
      <c r="AD54" s="559"/>
      <c r="AE54" s="1074"/>
      <c r="AF54" s="952"/>
      <c r="AG54" s="953"/>
      <c r="AH54" s="745"/>
      <c r="AI54" s="745"/>
      <c r="AJ54" s="1592"/>
      <c r="AK54" s="1568"/>
    </row>
    <row r="55" spans="1:37" ht="14.25" customHeight="1">
      <c r="A55" s="87" t="s">
        <v>547</v>
      </c>
      <c r="B55" s="615">
        <f>B30+B51+B53</f>
        <v>5845.2999999999993</v>
      </c>
      <c r="C55" s="742"/>
      <c r="D55" s="615">
        <f>D30+D51+D53</f>
        <v>2927.6</v>
      </c>
      <c r="E55" s="746"/>
      <c r="F55" s="615">
        <f>F30+F51+F53</f>
        <v>5743.3</v>
      </c>
      <c r="G55" s="746"/>
      <c r="H55" s="615">
        <f>H30+H51+H53</f>
        <v>3167.1</v>
      </c>
      <c r="I55" s="747"/>
      <c r="J55" s="1077">
        <f>J30+J51+J53</f>
        <v>3125.9</v>
      </c>
      <c r="K55" s="747"/>
      <c r="L55" s="1077">
        <f>L30+L51+L53</f>
        <v>5472.7</v>
      </c>
      <c r="M55" s="747"/>
      <c r="N55" s="1077">
        <f>N30+N51+N53</f>
        <v>1586.6</v>
      </c>
      <c r="O55" s="747"/>
      <c r="P55" s="1077">
        <f>P30+P51+P53</f>
        <v>2295.4</v>
      </c>
      <c r="Q55" s="419"/>
      <c r="R55" s="1077">
        <f>R30+R51+R53</f>
        <v>0</v>
      </c>
      <c r="S55" s="747"/>
      <c r="T55" s="1077">
        <f>T30+T51+T53</f>
        <v>0</v>
      </c>
      <c r="U55" s="747"/>
      <c r="V55" s="1077">
        <f>V30+V51+V53</f>
        <v>0</v>
      </c>
      <c r="W55" s="747"/>
      <c r="X55" s="1077">
        <f>X30+X51+X53</f>
        <v>0</v>
      </c>
      <c r="Y55" s="1259"/>
      <c r="Z55" s="419"/>
      <c r="AA55" s="1077">
        <f>AA30+AA51+AA53</f>
        <v>30163.9</v>
      </c>
      <c r="AB55" s="1259"/>
      <c r="AC55" s="419"/>
      <c r="AD55" s="1077">
        <f>AD30+AD51+AD53</f>
        <v>27811.7</v>
      </c>
      <c r="AE55" s="1866"/>
      <c r="AF55" s="743"/>
      <c r="AG55" s="1077">
        <f>ROUND(SUM(AG30+AG51+AG53),1)</f>
        <v>2352.1999999999998</v>
      </c>
      <c r="AH55" s="87"/>
      <c r="AI55" s="544">
        <f>ROUND(IF(AD55=0,0,AG55/ABS(AD55)),3)</f>
        <v>8.5000000000000006E-2</v>
      </c>
      <c r="AJ55" s="1568"/>
      <c r="AK55" s="1568"/>
    </row>
    <row r="56" spans="1:37" ht="19.5" customHeight="1">
      <c r="A56" s="745"/>
      <c r="B56" s="559"/>
      <c r="C56" s="559"/>
      <c r="D56" s="559"/>
      <c r="E56" s="559"/>
      <c r="F56" s="559"/>
      <c r="G56" s="559"/>
      <c r="H56" s="559"/>
      <c r="I56" s="953"/>
      <c r="J56" s="953"/>
      <c r="K56" s="953"/>
      <c r="L56" s="953"/>
      <c r="M56" s="953"/>
      <c r="N56" s="953"/>
      <c r="O56" s="953"/>
      <c r="P56" s="953"/>
      <c r="Q56" s="953"/>
      <c r="R56" s="953"/>
      <c r="S56" s="953"/>
      <c r="T56" s="953"/>
      <c r="U56" s="953"/>
      <c r="V56" s="953"/>
      <c r="W56" s="953"/>
      <c r="X56" s="953"/>
      <c r="Y56" s="1258"/>
      <c r="Z56" s="953"/>
      <c r="AA56" s="559"/>
      <c r="AB56" s="1258"/>
      <c r="AC56" s="953"/>
      <c r="AD56" s="559"/>
      <c r="AE56" s="1074"/>
      <c r="AF56" s="952"/>
      <c r="AG56" s="953"/>
      <c r="AH56" s="745"/>
      <c r="AI56" s="745"/>
      <c r="AJ56" s="1592"/>
      <c r="AK56" s="1568"/>
    </row>
    <row r="57" spans="1:37" ht="15.75">
      <c r="A57" s="748" t="s">
        <v>548</v>
      </c>
      <c r="B57" s="559"/>
      <c r="C57" s="559"/>
      <c r="D57" s="559"/>
      <c r="E57" s="559"/>
      <c r="F57" s="559"/>
      <c r="G57" s="559"/>
      <c r="H57" s="559"/>
      <c r="I57" s="953"/>
      <c r="J57" s="953"/>
      <c r="K57" s="953"/>
      <c r="L57" s="953"/>
      <c r="M57" s="953"/>
      <c r="N57" s="953"/>
      <c r="O57" s="953"/>
      <c r="P57" s="953"/>
      <c r="Q57" s="953"/>
      <c r="R57" s="953"/>
      <c r="S57" s="953"/>
      <c r="T57" s="953"/>
      <c r="U57" s="953"/>
      <c r="V57" s="953"/>
      <c r="W57" s="953"/>
      <c r="X57" s="953"/>
      <c r="Y57" s="1258"/>
      <c r="Z57" s="953"/>
      <c r="AA57" s="559"/>
      <c r="AB57" s="1258"/>
      <c r="AC57" s="953"/>
      <c r="AD57" s="559"/>
      <c r="AE57" s="1074"/>
      <c r="AF57" s="952"/>
      <c r="AG57" s="953"/>
      <c r="AH57" s="745"/>
      <c r="AI57" s="745"/>
      <c r="AJ57" s="1592"/>
      <c r="AK57" s="1568"/>
    </row>
    <row r="58" spans="1:37" ht="14.25" customHeight="1">
      <c r="A58" s="749" t="s">
        <v>456</v>
      </c>
      <c r="B58" s="559"/>
      <c r="C58" s="559"/>
      <c r="D58" s="559"/>
      <c r="E58" s="559"/>
      <c r="F58" s="559"/>
      <c r="G58" s="559"/>
      <c r="H58" s="559"/>
      <c r="I58" s="953"/>
      <c r="J58" s="953"/>
      <c r="K58" s="953"/>
      <c r="L58" s="953"/>
      <c r="M58" s="953"/>
      <c r="N58" s="953"/>
      <c r="O58" s="953"/>
      <c r="P58" s="953"/>
      <c r="Q58" s="953"/>
      <c r="R58" s="953"/>
      <c r="S58" s="953"/>
      <c r="T58" s="953"/>
      <c r="U58" s="953"/>
      <c r="V58" s="953"/>
      <c r="W58" s="953"/>
      <c r="X58" s="953"/>
      <c r="Y58" s="1258"/>
      <c r="Z58" s="953"/>
      <c r="AA58" s="559"/>
      <c r="AB58" s="1258"/>
      <c r="AC58" s="953"/>
      <c r="AD58" s="559"/>
      <c r="AE58" s="1074"/>
      <c r="AF58" s="952"/>
      <c r="AG58" s="953"/>
      <c r="AH58" s="745"/>
      <c r="AI58" s="745"/>
      <c r="AJ58" s="1592"/>
      <c r="AK58" s="1568"/>
    </row>
    <row r="59" spans="1:37" ht="14.25" customHeight="1">
      <c r="A59" s="749" t="s">
        <v>137</v>
      </c>
      <c r="B59" s="537">
        <v>0.1</v>
      </c>
      <c r="C59" s="559"/>
      <c r="D59" s="537">
        <v>1.5</v>
      </c>
      <c r="E59" s="1148"/>
      <c r="F59" s="537">
        <v>0</v>
      </c>
      <c r="G59" s="559"/>
      <c r="H59" s="537">
        <v>14.1</v>
      </c>
      <c r="I59" s="953"/>
      <c r="J59" s="537">
        <v>7.1999999999999993</v>
      </c>
      <c r="K59" s="953"/>
      <c r="L59" s="537">
        <v>1.4000000000000017</v>
      </c>
      <c r="M59" s="953"/>
      <c r="N59" s="537">
        <v>9.9999999999997508E-2</v>
      </c>
      <c r="O59" s="953"/>
      <c r="P59" s="518">
        <f>$AA59-L59-N59-J59-H59-F59-D59-B59</f>
        <v>0.9000000000000018</v>
      </c>
      <c r="Q59" s="953"/>
      <c r="R59" s="518"/>
      <c r="S59" s="953"/>
      <c r="T59" s="518"/>
      <c r="U59" s="953"/>
      <c r="V59" s="518"/>
      <c r="W59" s="953"/>
      <c r="X59" s="518"/>
      <c r="Y59" s="1258"/>
      <c r="Z59" s="953"/>
      <c r="AA59" s="537">
        <v>25.3</v>
      </c>
      <c r="AB59" s="269"/>
      <c r="AC59" s="530" t="s">
        <v>103</v>
      </c>
      <c r="AD59" s="537">
        <v>29.1</v>
      </c>
      <c r="AE59" s="1074"/>
      <c r="AF59" s="952"/>
      <c r="AG59" s="953">
        <f>ROUND(SUM(AA59-AD59),1)</f>
        <v>-3.8</v>
      </c>
      <c r="AH59" s="745"/>
      <c r="AI59" s="548">
        <f>ROUND(IF(AD59=0,1,AG59/ABS(AD59)),3)</f>
        <v>-0.13100000000000001</v>
      </c>
      <c r="AJ59" s="1592"/>
      <c r="AK59" s="1568"/>
    </row>
    <row r="60" spans="1:37" ht="14.25" customHeight="1">
      <c r="A60" s="749" t="s">
        <v>515</v>
      </c>
      <c r="B60" s="537" t="s">
        <v>103</v>
      </c>
      <c r="C60" s="559"/>
      <c r="D60" s="518"/>
      <c r="E60" s="559"/>
      <c r="F60" s="518"/>
      <c r="G60" s="559"/>
      <c r="H60" s="537"/>
      <c r="I60" s="953"/>
      <c r="J60" s="537"/>
      <c r="K60" s="953"/>
      <c r="L60" s="537"/>
      <c r="M60" s="953"/>
      <c r="N60" s="537"/>
      <c r="O60" s="953"/>
      <c r="P60" s="518"/>
      <c r="Q60" s="953"/>
      <c r="R60" s="518"/>
      <c r="S60" s="953"/>
      <c r="T60" s="518"/>
      <c r="U60" s="953"/>
      <c r="V60" s="518"/>
      <c r="W60" s="953"/>
      <c r="X60" s="518"/>
      <c r="Y60" s="1258"/>
      <c r="Z60" s="953"/>
      <c r="AA60" s="559" t="s">
        <v>233</v>
      </c>
      <c r="AB60" s="1258"/>
      <c r="AC60" s="953"/>
      <c r="AD60" s="559" t="s">
        <v>233</v>
      </c>
      <c r="AE60" s="1074"/>
      <c r="AF60" s="952"/>
      <c r="AG60" s="953"/>
      <c r="AH60" s="745"/>
      <c r="AI60" s="745"/>
      <c r="AJ60" s="1592"/>
      <c r="AK60" s="1568"/>
    </row>
    <row r="61" spans="1:37" ht="14.25" customHeight="1">
      <c r="A61" s="750" t="s">
        <v>1475</v>
      </c>
      <c r="B61" s="537">
        <v>4.8</v>
      </c>
      <c r="C61" s="559"/>
      <c r="D61" s="537">
        <v>14.099999999999998</v>
      </c>
      <c r="E61" s="559"/>
      <c r="F61" s="537">
        <v>8.8000000000000007</v>
      </c>
      <c r="G61" s="559"/>
      <c r="H61" s="537">
        <v>0</v>
      </c>
      <c r="I61" s="953"/>
      <c r="J61" s="537">
        <v>48.300000000000011</v>
      </c>
      <c r="K61" s="953"/>
      <c r="L61" s="537">
        <v>212.89999999999995</v>
      </c>
      <c r="M61" s="953"/>
      <c r="N61" s="537">
        <v>0.10000000000004139</v>
      </c>
      <c r="O61" s="953"/>
      <c r="P61" s="518">
        <f t="shared" ref="P61" si="4">$AA61-L61-N61-J61-H61-F61-D61-B61</f>
        <v>6.0000000000000044</v>
      </c>
      <c r="Q61" s="953"/>
      <c r="R61" s="518"/>
      <c r="S61" s="953"/>
      <c r="T61" s="518"/>
      <c r="U61" s="953"/>
      <c r="V61" s="518"/>
      <c r="W61" s="953"/>
      <c r="X61" s="518"/>
      <c r="Y61" s="1258"/>
      <c r="Z61" s="953"/>
      <c r="AA61" s="1001">
        <v>295</v>
      </c>
      <c r="AB61" s="269"/>
      <c r="AC61" s="530" t="s">
        <v>103</v>
      </c>
      <c r="AD61" s="1001">
        <v>348.3</v>
      </c>
      <c r="AE61" s="1074"/>
      <c r="AF61" s="952"/>
      <c r="AG61" s="1078">
        <f>ROUND(SUM(AA61-AD61),1)</f>
        <v>-53.3</v>
      </c>
      <c r="AH61" s="745"/>
      <c r="AI61" s="539">
        <f>ROUND(IF(AD61=0,0,AG61/ABS(AD61)),3)</f>
        <v>-0.153</v>
      </c>
      <c r="AJ61" s="1592"/>
      <c r="AK61" s="1568"/>
    </row>
    <row r="62" spans="1:37" ht="15">
      <c r="A62" s="745"/>
      <c r="B62" s="1118"/>
      <c r="C62" s="559"/>
      <c r="D62" s="1118"/>
      <c r="E62" s="559"/>
      <c r="F62" s="1118"/>
      <c r="G62" s="559"/>
      <c r="H62" s="1118"/>
      <c r="I62" s="953"/>
      <c r="J62" s="1119"/>
      <c r="K62" s="953"/>
      <c r="L62" s="1119"/>
      <c r="M62" s="953"/>
      <c r="N62" s="1119"/>
      <c r="O62" s="953"/>
      <c r="P62" s="1119"/>
      <c r="Q62" s="953"/>
      <c r="R62" s="1119"/>
      <c r="S62" s="953"/>
      <c r="T62" s="1119"/>
      <c r="U62" s="953"/>
      <c r="V62" s="1119"/>
      <c r="W62" s="953"/>
      <c r="X62" s="1119"/>
      <c r="Y62" s="1258"/>
      <c r="Z62" s="953"/>
      <c r="AA62" s="559"/>
      <c r="AB62" s="1258"/>
      <c r="AC62" s="953"/>
      <c r="AD62" s="559"/>
      <c r="AE62" s="1074"/>
      <c r="AF62" s="952"/>
      <c r="AG62" s="953"/>
      <c r="AH62" s="745"/>
      <c r="AI62" s="745"/>
      <c r="AJ62" s="1592"/>
      <c r="AK62" s="1568"/>
    </row>
    <row r="63" spans="1:37" ht="14.25" customHeight="1">
      <c r="A63" s="748" t="s">
        <v>549</v>
      </c>
      <c r="B63" s="615">
        <f>ROUND(SUM(B59:B61),1)</f>
        <v>4.9000000000000004</v>
      </c>
      <c r="C63" s="742"/>
      <c r="D63" s="615">
        <f>ROUND(SUM(D59:D61),1)</f>
        <v>15.6</v>
      </c>
      <c r="E63" s="746"/>
      <c r="F63" s="615">
        <f>ROUND(SUM(F59:F61),1)</f>
        <v>8.8000000000000007</v>
      </c>
      <c r="G63" s="746"/>
      <c r="H63" s="615">
        <f>ROUND(SUM(H59:H61),1)</f>
        <v>14.1</v>
      </c>
      <c r="I63" s="747"/>
      <c r="J63" s="1077">
        <f>ROUND(SUM(J59:J61),1)</f>
        <v>55.5</v>
      </c>
      <c r="K63" s="747"/>
      <c r="L63" s="1077">
        <f>ROUND(SUM(L59:L61),1)</f>
        <v>214.3</v>
      </c>
      <c r="M63" s="747"/>
      <c r="N63" s="1077">
        <f>ROUND(SUM(N59:N61),1)</f>
        <v>0.2</v>
      </c>
      <c r="O63" s="747"/>
      <c r="P63" s="1077">
        <f>ROUND(SUM(P59:P61),1)</f>
        <v>6.9</v>
      </c>
      <c r="Q63" s="419"/>
      <c r="R63" s="1077">
        <f>ROUND(SUM(R59:R61),1)</f>
        <v>0</v>
      </c>
      <c r="S63" s="747"/>
      <c r="T63" s="1077">
        <f>ROUND(SUM(T59:T61),1)</f>
        <v>0</v>
      </c>
      <c r="U63" s="747"/>
      <c r="V63" s="1077">
        <f>ROUND(SUM(V59:V61),1)</f>
        <v>0</v>
      </c>
      <c r="W63" s="747"/>
      <c r="X63" s="1077">
        <f>ROUND(SUM(X59:X61),1)</f>
        <v>0</v>
      </c>
      <c r="Y63" s="1259"/>
      <c r="Z63" s="419"/>
      <c r="AA63" s="1077">
        <f>ROUND(SUM(AA59:AA61),1)</f>
        <v>320.3</v>
      </c>
      <c r="AB63" s="1259"/>
      <c r="AC63" s="419"/>
      <c r="AD63" s="1077">
        <f>ROUND(SUM(AD59:AD61),1)</f>
        <v>377.4</v>
      </c>
      <c r="AE63" s="1866"/>
      <c r="AF63" s="743"/>
      <c r="AG63" s="1077">
        <f>ROUND(SUM(AG59:AG61),1)</f>
        <v>-57.1</v>
      </c>
      <c r="AH63" s="87"/>
      <c r="AI63" s="544">
        <f>ROUND(IF(AD63=0,0,AG63/ABS(AD63)),3)</f>
        <v>-0.151</v>
      </c>
      <c r="AJ63" s="1568"/>
      <c r="AK63" s="1568"/>
    </row>
    <row r="64" spans="1:37" ht="12" customHeight="1">
      <c r="A64" s="745"/>
      <c r="B64" s="559"/>
      <c r="C64" s="559"/>
      <c r="D64" s="751"/>
      <c r="E64" s="751"/>
      <c r="F64" s="751"/>
      <c r="G64" s="751"/>
      <c r="H64" s="751"/>
      <c r="I64" s="1079"/>
      <c r="J64" s="1079"/>
      <c r="K64" s="1079"/>
      <c r="L64" s="1079"/>
      <c r="M64" s="1079"/>
      <c r="N64" s="1079"/>
      <c r="O64" s="1079"/>
      <c r="P64" s="1079"/>
      <c r="Q64" s="1079"/>
      <c r="R64" s="1079"/>
      <c r="S64" s="1079"/>
      <c r="T64" s="1079"/>
      <c r="U64" s="1079"/>
      <c r="V64" s="1079"/>
      <c r="W64" s="1079"/>
      <c r="X64" s="1079"/>
      <c r="Y64" s="1258"/>
      <c r="Z64" s="953"/>
      <c r="AA64" s="559"/>
      <c r="AB64" s="1258"/>
      <c r="AC64" s="953"/>
      <c r="AD64" s="559"/>
      <c r="AE64" s="1074"/>
      <c r="AF64" s="952"/>
      <c r="AG64" s="953"/>
      <c r="AH64" s="745"/>
      <c r="AI64" s="745"/>
      <c r="AJ64" s="1592"/>
      <c r="AK64" s="1568"/>
    </row>
    <row r="65" spans="1:37" ht="14.25" customHeight="1">
      <c r="A65" s="748" t="s">
        <v>143</v>
      </c>
      <c r="B65" s="559"/>
      <c r="C65" s="559"/>
      <c r="D65" s="751"/>
      <c r="E65" s="751"/>
      <c r="F65" s="751"/>
      <c r="G65" s="751"/>
      <c r="H65" s="751"/>
      <c r="I65" s="1079"/>
      <c r="J65" s="1079"/>
      <c r="K65" s="1079"/>
      <c r="L65" s="1079"/>
      <c r="M65" s="1079"/>
      <c r="N65" s="1079"/>
      <c r="O65" s="1079"/>
      <c r="P65" s="1079"/>
      <c r="Q65" s="1079"/>
      <c r="R65" s="1079"/>
      <c r="S65" s="1079"/>
      <c r="T65" s="1079"/>
      <c r="U65" s="1079"/>
      <c r="V65" s="1079"/>
      <c r="W65" s="1079"/>
      <c r="X65" s="1079"/>
      <c r="Y65" s="1258"/>
      <c r="Z65" s="953"/>
      <c r="AA65" s="559"/>
      <c r="AB65" s="1258"/>
      <c r="AC65" s="953"/>
      <c r="AD65" s="559"/>
      <c r="AE65" s="1074"/>
      <c r="AF65" s="952"/>
      <c r="AG65" s="953"/>
      <c r="AH65" s="745"/>
      <c r="AI65" s="745"/>
      <c r="AJ65" s="1592"/>
      <c r="AK65" s="1568"/>
    </row>
    <row r="66" spans="1:37" ht="14.25" customHeight="1">
      <c r="A66" s="87" t="s">
        <v>550</v>
      </c>
      <c r="B66" s="615">
        <f>ROUND(SUM(B55-B63),1)</f>
        <v>5840.4</v>
      </c>
      <c r="C66" s="742"/>
      <c r="D66" s="615">
        <f>ROUND(SUM(D55-D63),1)</f>
        <v>2912</v>
      </c>
      <c r="E66" s="746"/>
      <c r="F66" s="615">
        <f>ROUND(SUM(F55-F63),1)</f>
        <v>5734.5</v>
      </c>
      <c r="G66" s="746"/>
      <c r="H66" s="615">
        <f>ROUND(SUM(H55-H63),1)</f>
        <v>3153</v>
      </c>
      <c r="I66" s="747"/>
      <c r="J66" s="1077">
        <f>ROUND(SUM(J55-J63),1)</f>
        <v>3070.4</v>
      </c>
      <c r="K66" s="747"/>
      <c r="L66" s="1077">
        <f>ROUND(SUM(L55-L63),1)</f>
        <v>5258.4</v>
      </c>
      <c r="M66" s="747"/>
      <c r="N66" s="1077">
        <f>ROUND(SUM(N55-N63),1)</f>
        <v>1586.4</v>
      </c>
      <c r="O66" s="747"/>
      <c r="P66" s="1077">
        <f>ROUND(SUM(P55-P63),1)</f>
        <v>2288.5</v>
      </c>
      <c r="Q66" s="419"/>
      <c r="R66" s="1077">
        <f>ROUND(SUM(R55-R63),1)</f>
        <v>0</v>
      </c>
      <c r="S66" s="747"/>
      <c r="T66" s="1077">
        <f>ROUND(SUM(T55-T63),1)</f>
        <v>0</v>
      </c>
      <c r="U66" s="747"/>
      <c r="V66" s="1077">
        <f>ROUND(SUM(V55-V63),1)</f>
        <v>0</v>
      </c>
      <c r="W66" s="747"/>
      <c r="X66" s="1077">
        <f>ROUND(SUM(X55-X63),1)</f>
        <v>0</v>
      </c>
      <c r="Y66" s="1259"/>
      <c r="Z66" s="419"/>
      <c r="AA66" s="1077">
        <f>ROUND(SUM(AA55-AA63),1)</f>
        <v>29843.599999999999</v>
      </c>
      <c r="AB66" s="1259"/>
      <c r="AC66" s="419"/>
      <c r="AD66" s="1077">
        <f>ROUND(SUM(AD55-AD63),1)</f>
        <v>27434.3</v>
      </c>
      <c r="AE66" s="1866"/>
      <c r="AF66" s="743"/>
      <c r="AG66" s="1077">
        <f>ROUND(SUM(+AG55-AG63),1)</f>
        <v>2409.3000000000002</v>
      </c>
      <c r="AH66" s="87"/>
      <c r="AI66" s="544">
        <f>ROUND(IF(AD66=0,0,AG66/ABS(AD66)),3)</f>
        <v>8.7999999999999995E-2</v>
      </c>
      <c r="AJ66" s="1568"/>
      <c r="AK66" s="1568"/>
    </row>
    <row r="67" spans="1:37" ht="19.5" customHeight="1">
      <c r="A67" s="745"/>
      <c r="B67" s="559"/>
      <c r="C67" s="559"/>
      <c r="D67" s="559"/>
      <c r="E67" s="559"/>
      <c r="F67" s="559"/>
      <c r="G67" s="559"/>
      <c r="H67" s="559"/>
      <c r="I67" s="953"/>
      <c r="J67" s="953"/>
      <c r="K67" s="953"/>
      <c r="L67" s="953"/>
      <c r="M67" s="953"/>
      <c r="N67" s="953"/>
      <c r="O67" s="953"/>
      <c r="P67" s="953"/>
      <c r="Q67" s="953"/>
      <c r="R67" s="953"/>
      <c r="S67" s="953"/>
      <c r="T67" s="953"/>
      <c r="U67" s="953"/>
      <c r="V67" s="953"/>
      <c r="W67" s="953"/>
      <c r="X67" s="953"/>
      <c r="Y67" s="1258"/>
      <c r="Z67" s="953"/>
      <c r="AA67" s="559"/>
      <c r="AB67" s="1258"/>
      <c r="AC67" s="953"/>
      <c r="AD67" s="559"/>
      <c r="AE67" s="1074"/>
      <c r="AF67" s="952"/>
      <c r="AG67" s="953"/>
      <c r="AH67" s="745"/>
      <c r="AI67" s="745"/>
      <c r="AJ67" s="1592"/>
      <c r="AK67" s="1568"/>
    </row>
    <row r="68" spans="1:37" ht="14.25" customHeight="1">
      <c r="A68" s="748" t="s">
        <v>145</v>
      </c>
      <c r="B68" s="559"/>
      <c r="C68" s="559"/>
      <c r="D68" s="559"/>
      <c r="E68" s="559"/>
      <c r="F68" s="559"/>
      <c r="G68" s="559"/>
      <c r="H68" s="559"/>
      <c r="I68" s="953"/>
      <c r="J68" s="953"/>
      <c r="K68" s="953"/>
      <c r="L68" s="953"/>
      <c r="M68" s="953"/>
      <c r="N68" s="953"/>
      <c r="O68" s="953"/>
      <c r="P68" s="953"/>
      <c r="Q68" s="953"/>
      <c r="R68" s="953"/>
      <c r="S68" s="953"/>
      <c r="T68" s="953"/>
      <c r="U68" s="953"/>
      <c r="V68" s="953"/>
      <c r="W68" s="953"/>
      <c r="X68" s="953"/>
      <c r="Y68" s="1258"/>
      <c r="Z68" s="953"/>
      <c r="AA68" s="559"/>
      <c r="AB68" s="1258"/>
      <c r="AC68" s="953"/>
      <c r="AD68" s="559"/>
      <c r="AE68" s="1074"/>
      <c r="AF68" s="952"/>
      <c r="AG68" s="953"/>
      <c r="AH68" s="745"/>
      <c r="AI68" s="745"/>
      <c r="AJ68" s="1592"/>
      <c r="AK68" s="1568"/>
    </row>
    <row r="69" spans="1:37" ht="14.25" customHeight="1">
      <c r="A69" s="749" t="s">
        <v>540</v>
      </c>
      <c r="B69" s="537">
        <v>203.8</v>
      </c>
      <c r="C69" s="559"/>
      <c r="D69" s="537">
        <v>193.89999999999998</v>
      </c>
      <c r="E69" s="559"/>
      <c r="F69" s="537">
        <v>100</v>
      </c>
      <c r="G69" s="559"/>
      <c r="H69" s="537">
        <v>336.3</v>
      </c>
      <c r="I69" s="953"/>
      <c r="J69" s="537">
        <v>125.59999999999997</v>
      </c>
      <c r="K69" s="953"/>
      <c r="L69" s="537">
        <v>19.600000000000193</v>
      </c>
      <c r="M69" s="953"/>
      <c r="N69" s="537">
        <v>205.59999999999997</v>
      </c>
      <c r="O69" s="953"/>
      <c r="P69" s="518">
        <f>$AA69-L69-N69-J69-H69-F69-D69-B69</f>
        <v>29.800000000000011</v>
      </c>
      <c r="Q69" s="953"/>
      <c r="R69" s="518"/>
      <c r="S69" s="953"/>
      <c r="T69" s="518"/>
      <c r="U69" s="953"/>
      <c r="V69" s="518"/>
      <c r="W69" s="953"/>
      <c r="X69" s="518"/>
      <c r="Y69" s="1258"/>
      <c r="Z69" s="953"/>
      <c r="AA69" s="537">
        <v>1214.5999999999999</v>
      </c>
      <c r="AB69" s="292"/>
      <c r="AC69" s="1806"/>
      <c r="AD69" s="537">
        <v>1216.1999999999998</v>
      </c>
      <c r="AE69" s="1074"/>
      <c r="AF69" s="952"/>
      <c r="AG69" s="953">
        <f>ROUND(SUM(AA69-AD69),1)</f>
        <v>-1.6</v>
      </c>
      <c r="AH69" s="745"/>
      <c r="AI69" s="271">
        <f>ROUND(IF(AD69=0,0,AG69/ABS(AD69)),3)</f>
        <v>-1E-3</v>
      </c>
      <c r="AJ69" s="1592"/>
      <c r="AK69" s="1568"/>
    </row>
    <row r="70" spans="1:37" ht="14.25" customHeight="1">
      <c r="A70" s="749" t="s">
        <v>551</v>
      </c>
      <c r="B70" s="537">
        <v>-5986.8</v>
      </c>
      <c r="C70" s="559"/>
      <c r="D70" s="537">
        <v>-2957.8</v>
      </c>
      <c r="E70" s="559"/>
      <c r="F70" s="537">
        <v>-5967.2</v>
      </c>
      <c r="G70" s="559"/>
      <c r="H70" s="537">
        <v>-3234.4000000000005</v>
      </c>
      <c r="I70" s="953"/>
      <c r="J70" s="537">
        <v>-3077.2</v>
      </c>
      <c r="K70" s="953"/>
      <c r="L70" s="537">
        <v>-5757.2999999999984</v>
      </c>
      <c r="M70" s="953"/>
      <c r="N70" s="537">
        <v>-1650.9999999999982</v>
      </c>
      <c r="O70" s="953"/>
      <c r="P70" s="518">
        <f>$AA70-L70-N70-J70-H70-F70-D70-B70</f>
        <v>-2378.300000000002</v>
      </c>
      <c r="Q70" s="953"/>
      <c r="R70" s="518"/>
      <c r="S70" s="953"/>
      <c r="T70" s="518"/>
      <c r="U70" s="953"/>
      <c r="V70" s="518"/>
      <c r="W70" s="953"/>
      <c r="X70" s="518"/>
      <c r="Y70" s="1258"/>
      <c r="Z70" s="953"/>
      <c r="AA70" s="1001">
        <v>-31010</v>
      </c>
      <c r="AB70" s="292"/>
      <c r="AC70" s="1806"/>
      <c r="AD70" s="1001">
        <v>-28386.6</v>
      </c>
      <c r="AE70" s="1074"/>
      <c r="AF70" s="952"/>
      <c r="AG70" s="1078">
        <f>ROUND(SUM(-(AA70-AD70)),1)</f>
        <v>2623.4</v>
      </c>
      <c r="AH70" s="745"/>
      <c r="AI70" s="539">
        <f>ROUND(IF(AD70=0,0,AG70/ABS(AD70)),3)</f>
        <v>9.1999999999999998E-2</v>
      </c>
      <c r="AJ70" s="1592"/>
      <c r="AK70" s="1568"/>
    </row>
    <row r="71" spans="1:37" ht="15">
      <c r="A71" s="745"/>
      <c r="B71" s="1119"/>
      <c r="C71" s="953"/>
      <c r="D71" s="1120"/>
      <c r="E71" s="953"/>
      <c r="F71" s="1120"/>
      <c r="G71" s="953"/>
      <c r="H71" s="1120"/>
      <c r="I71" s="953"/>
      <c r="J71" s="1120"/>
      <c r="K71" s="953"/>
      <c r="L71" s="1120"/>
      <c r="M71" s="953"/>
      <c r="N71" s="1120"/>
      <c r="O71" s="953"/>
      <c r="P71" s="1120"/>
      <c r="Q71" s="953"/>
      <c r="R71" s="1120"/>
      <c r="S71" s="953"/>
      <c r="T71" s="1120"/>
      <c r="U71" s="953"/>
      <c r="V71" s="1120"/>
      <c r="W71" s="953"/>
      <c r="X71" s="1120"/>
      <c r="Y71" s="1258"/>
      <c r="Z71" s="953"/>
      <c r="AA71" s="559"/>
      <c r="AB71" s="1258"/>
      <c r="AC71" s="953"/>
      <c r="AD71" s="559"/>
      <c r="AE71" s="1074"/>
      <c r="AF71" s="952"/>
      <c r="AG71" s="953"/>
      <c r="AH71" s="745"/>
      <c r="AI71" s="745"/>
      <c r="AJ71" s="1592"/>
      <c r="AK71" s="1568"/>
    </row>
    <row r="72" spans="1:37" ht="14.25" customHeight="1">
      <c r="A72" s="748" t="s">
        <v>552</v>
      </c>
      <c r="B72" s="1034">
        <f>ROUND(SUM(B69:B70),1)</f>
        <v>-5783</v>
      </c>
      <c r="C72" s="419"/>
      <c r="D72" s="1034">
        <f>ROUND(SUM(D69:D70),1)</f>
        <v>-2763.9</v>
      </c>
      <c r="E72" s="747"/>
      <c r="F72" s="1034">
        <f>ROUND(SUM(F69:F70),1)</f>
        <v>-5867.2</v>
      </c>
      <c r="G72" s="747"/>
      <c r="H72" s="1034">
        <f>ROUND(SUM(H69:H70),1)</f>
        <v>-2898.1</v>
      </c>
      <c r="I72" s="747"/>
      <c r="J72" s="1034">
        <f>ROUND(SUM(J69:J70),1)</f>
        <v>-2951.6</v>
      </c>
      <c r="K72" s="747"/>
      <c r="L72" s="1034">
        <f>ROUND(SUM(L69:L70),1)</f>
        <v>-5737.7</v>
      </c>
      <c r="M72" s="747"/>
      <c r="N72" s="1034">
        <f>ROUND(SUM(N69:N70),1)</f>
        <v>-1445.4</v>
      </c>
      <c r="O72" s="747"/>
      <c r="P72" s="1034">
        <f>ROUND(SUM(P69:P70),1)</f>
        <v>-2348.5</v>
      </c>
      <c r="Q72" s="677"/>
      <c r="R72" s="1034">
        <f>ROUND(SUM(R69:R70),1)</f>
        <v>0</v>
      </c>
      <c r="S72" s="747"/>
      <c r="T72" s="1034">
        <f>ROUND(SUM(T69:T70),1)</f>
        <v>0</v>
      </c>
      <c r="U72" s="747"/>
      <c r="V72" s="1034">
        <f>ROUND(SUM(V69:V70),1)</f>
        <v>0</v>
      </c>
      <c r="W72" s="747"/>
      <c r="X72" s="1034">
        <f>ROUND(SUM(X69:X70),1)</f>
        <v>0</v>
      </c>
      <c r="Y72" s="1259"/>
      <c r="Z72" s="419"/>
      <c r="AA72" s="1034">
        <f>ROUND(SUM(AA69:AA70),1)</f>
        <v>-29795.4</v>
      </c>
      <c r="AB72" s="1259"/>
      <c r="AC72" s="419"/>
      <c r="AD72" s="1034">
        <f>ROUND(SUM(AD69:AD70),1)</f>
        <v>-27170.400000000001</v>
      </c>
      <c r="AE72" s="1866"/>
      <c r="AF72" s="743"/>
      <c r="AG72" s="1034">
        <f>ROUND(SUM(AA72-AD72),1)</f>
        <v>-2625</v>
      </c>
      <c r="AH72" s="87"/>
      <c r="AI72" s="544">
        <f>ROUND(IF(AD72=0,0,AG72/ABS(AD72)),3)</f>
        <v>-9.7000000000000003E-2</v>
      </c>
      <c r="AJ72" s="1568"/>
      <c r="AK72" s="1568"/>
    </row>
    <row r="73" spans="1:37" ht="19.5" customHeight="1">
      <c r="A73" s="745"/>
      <c r="B73" s="953"/>
      <c r="C73" s="953"/>
      <c r="D73" s="1074"/>
      <c r="E73" s="953"/>
      <c r="F73" s="1074"/>
      <c r="G73" s="953"/>
      <c r="H73" s="1074"/>
      <c r="I73" s="953"/>
      <c r="J73" s="1074"/>
      <c r="K73" s="953"/>
      <c r="L73" s="1074"/>
      <c r="M73" s="953"/>
      <c r="N73" s="1074"/>
      <c r="O73" s="953"/>
      <c r="P73" s="1074"/>
      <c r="Q73" s="953"/>
      <c r="R73" s="1074"/>
      <c r="S73" s="953"/>
      <c r="T73" s="1074"/>
      <c r="U73" s="953"/>
      <c r="V73" s="1074"/>
      <c r="W73" s="953"/>
      <c r="X73" s="1074"/>
      <c r="Y73" s="1258"/>
      <c r="Z73" s="953"/>
      <c r="AA73" s="559"/>
      <c r="AB73" s="1258"/>
      <c r="AC73" s="953"/>
      <c r="AD73" s="559"/>
      <c r="AE73" s="1074"/>
      <c r="AF73" s="952"/>
      <c r="AG73" s="953"/>
      <c r="AH73" s="745"/>
      <c r="AI73" s="745"/>
      <c r="AJ73" s="1592"/>
      <c r="AK73" s="1568"/>
    </row>
    <row r="74" spans="1:37" ht="14.25" customHeight="1">
      <c r="A74" s="87" t="s">
        <v>553</v>
      </c>
      <c r="B74" s="953"/>
      <c r="C74" s="953"/>
      <c r="D74" s="1079"/>
      <c r="E74" s="953"/>
      <c r="F74" s="1079"/>
      <c r="G74" s="953"/>
      <c r="H74" s="1079"/>
      <c r="I74" s="953"/>
      <c r="J74" s="1079"/>
      <c r="K74" s="953"/>
      <c r="L74" s="1079"/>
      <c r="M74" s="953"/>
      <c r="N74" s="1079"/>
      <c r="O74" s="953"/>
      <c r="P74" s="1079"/>
      <c r="Q74" s="953"/>
      <c r="R74" s="1079"/>
      <c r="S74" s="953"/>
      <c r="T74" s="1079"/>
      <c r="U74" s="953"/>
      <c r="V74" s="1079"/>
      <c r="W74" s="953"/>
      <c r="X74" s="1079"/>
      <c r="Y74" s="1258"/>
      <c r="Z74" s="953"/>
      <c r="AA74" s="559"/>
      <c r="AB74" s="1258"/>
      <c r="AC74" s="953"/>
      <c r="AD74" s="559"/>
      <c r="AE74" s="1074"/>
      <c r="AF74" s="952"/>
      <c r="AG74" s="953"/>
      <c r="AH74" s="745"/>
      <c r="AI74" s="745"/>
      <c r="AJ74" s="1592"/>
      <c r="AK74" s="1568"/>
    </row>
    <row r="75" spans="1:37" ht="14.25" customHeight="1">
      <c r="A75" s="87" t="s">
        <v>554</v>
      </c>
      <c r="B75" s="953"/>
      <c r="C75" s="953"/>
      <c r="D75" s="1079"/>
      <c r="E75" s="953"/>
      <c r="F75" s="1079"/>
      <c r="G75" s="953"/>
      <c r="H75" s="1079"/>
      <c r="I75" s="953"/>
      <c r="J75" s="1079"/>
      <c r="K75" s="953"/>
      <c r="L75" s="1079"/>
      <c r="M75" s="953"/>
      <c r="N75" s="1079"/>
      <c r="O75" s="953"/>
      <c r="P75" s="1079"/>
      <c r="Q75" s="953"/>
      <c r="R75" s="1079"/>
      <c r="S75" s="953"/>
      <c r="T75" s="1079"/>
      <c r="U75" s="953"/>
      <c r="V75" s="1079"/>
      <c r="W75" s="953"/>
      <c r="X75" s="1079"/>
      <c r="Y75" s="1258"/>
      <c r="Z75" s="953"/>
      <c r="AA75" s="559"/>
      <c r="AB75" s="1258"/>
      <c r="AC75" s="953"/>
      <c r="AD75" s="559"/>
      <c r="AE75" s="1074"/>
      <c r="AF75" s="952"/>
      <c r="AG75" s="953"/>
      <c r="AH75" s="745"/>
      <c r="AI75" s="745"/>
      <c r="AJ75" s="1592"/>
      <c r="AK75" s="1568"/>
    </row>
    <row r="76" spans="1:37" ht="14.25" customHeight="1">
      <c r="A76" s="87" t="s">
        <v>555</v>
      </c>
      <c r="B76" s="1077">
        <f>ROUND(SUM(+B66+B72),1)</f>
        <v>57.4</v>
      </c>
      <c r="C76" s="419"/>
      <c r="D76" s="1077">
        <f>ROUND(SUM(+D66+D72),1)</f>
        <v>148.1</v>
      </c>
      <c r="E76" s="419"/>
      <c r="F76" s="1077">
        <f>ROUND(SUM(+F66+F72),1)</f>
        <v>-132.69999999999999</v>
      </c>
      <c r="G76" s="419"/>
      <c r="H76" s="1077">
        <f>ROUND(SUM(+H66+H72),1)</f>
        <v>254.9</v>
      </c>
      <c r="I76" s="419"/>
      <c r="J76" s="1077">
        <f>ROUND(SUM(+J66+J72),1)</f>
        <v>118.8</v>
      </c>
      <c r="K76" s="419"/>
      <c r="L76" s="1077">
        <f>ROUND(SUM(+L66+L72),1)</f>
        <v>-479.3</v>
      </c>
      <c r="M76" s="419"/>
      <c r="N76" s="1077">
        <f>ROUND(SUM(+N66+N72),1)</f>
        <v>141</v>
      </c>
      <c r="O76" s="419"/>
      <c r="P76" s="1077">
        <f>ROUND(SUM(+P66+P72),1)</f>
        <v>-60</v>
      </c>
      <c r="Q76" s="419"/>
      <c r="R76" s="1077">
        <f>ROUND(SUM(+R66+R72),1)</f>
        <v>0</v>
      </c>
      <c r="S76" s="419"/>
      <c r="T76" s="1077">
        <f>ROUND(SUM(+T66+T72),1)</f>
        <v>0</v>
      </c>
      <c r="U76" s="419"/>
      <c r="V76" s="1077">
        <f>ROUND(SUM(+V66+V72),1)</f>
        <v>0</v>
      </c>
      <c r="W76" s="419"/>
      <c r="X76" s="1077">
        <f>ROUND(SUM(+X66+X72),1)</f>
        <v>0</v>
      </c>
      <c r="Y76" s="1259"/>
      <c r="Z76" s="419"/>
      <c r="AA76" s="1077">
        <f>ROUND(SUM(+AA66+AA72),1)</f>
        <v>48.2</v>
      </c>
      <c r="AB76" s="1259"/>
      <c r="AC76" s="419"/>
      <c r="AD76" s="1077">
        <f>ROUND(SUM(+AD66+AD72),1)</f>
        <v>263.89999999999998</v>
      </c>
      <c r="AE76" s="1866"/>
      <c r="AF76" s="743"/>
      <c r="AG76" s="1077">
        <f>ROUND(SUM(+AG66+AG72),1)</f>
        <v>-215.7</v>
      </c>
      <c r="AH76" s="87"/>
      <c r="AI76" s="545">
        <f>ROUND(IF(AD76=0,0,AG76/ABS(AD76)),3)</f>
        <v>-0.81699999999999995</v>
      </c>
      <c r="AJ76" s="1568"/>
      <c r="AK76" s="1568"/>
    </row>
    <row r="77" spans="1:37" ht="15">
      <c r="A77" s="745"/>
      <c r="B77" s="913"/>
      <c r="C77" s="913"/>
      <c r="D77" s="1071"/>
      <c r="E77" s="913"/>
      <c r="F77" s="1121"/>
      <c r="G77" s="913"/>
      <c r="H77" s="1121"/>
      <c r="I77" s="913"/>
      <c r="J77" s="1121"/>
      <c r="K77" s="913"/>
      <c r="L77" s="1122"/>
      <c r="M77" s="913"/>
      <c r="N77" s="1121"/>
      <c r="O77" s="913"/>
      <c r="P77" s="1121"/>
      <c r="Q77" s="913"/>
      <c r="R77" s="1121"/>
      <c r="S77" s="913"/>
      <c r="T77" s="1121"/>
      <c r="U77" s="913"/>
      <c r="V77" s="1121"/>
      <c r="W77" s="913"/>
      <c r="X77" s="1121"/>
      <c r="Y77" s="1257"/>
      <c r="Z77" s="913"/>
      <c r="AA77" s="913" t="s">
        <v>103</v>
      </c>
      <c r="AB77" s="1257"/>
      <c r="AC77" s="913"/>
      <c r="AD77" s="2006"/>
      <c r="AE77" s="1071"/>
      <c r="AF77" s="915"/>
      <c r="AG77" s="913"/>
      <c r="AH77" s="745"/>
      <c r="AI77" s="745"/>
      <c r="AJ77" s="1592"/>
      <c r="AK77" s="1568"/>
    </row>
    <row r="78" spans="1:37" ht="19.5" customHeight="1" thickBot="1">
      <c r="A78" s="87" t="s">
        <v>436</v>
      </c>
      <c r="B78" s="752">
        <f>ROUND(SUM(B13+B76),1)</f>
        <v>174.8</v>
      </c>
      <c r="C78" s="86"/>
      <c r="D78" s="752">
        <f>ROUND(SUM(D13+D76),1)</f>
        <v>322.89999999999998</v>
      </c>
      <c r="E78" s="86"/>
      <c r="F78" s="752">
        <f>ROUND(SUM(F13+F76),1)</f>
        <v>190.2</v>
      </c>
      <c r="G78" s="86"/>
      <c r="H78" s="752">
        <f>ROUND(SUM(H13+H76),1)</f>
        <v>445.1</v>
      </c>
      <c r="I78" s="86"/>
      <c r="J78" s="752">
        <f>ROUND(SUM(J13+J76),1)</f>
        <v>563.9</v>
      </c>
      <c r="K78" s="86"/>
      <c r="L78" s="752">
        <f>ROUND(SUM(L13+L76),1)</f>
        <v>84.6</v>
      </c>
      <c r="M78" s="86"/>
      <c r="N78" s="752">
        <f>ROUND(SUM(N13+N76),1)</f>
        <v>225.6</v>
      </c>
      <c r="O78" s="86"/>
      <c r="P78" s="752">
        <f>ROUND(SUM(P13+P76),1)</f>
        <v>165.6</v>
      </c>
      <c r="Q78" s="86"/>
      <c r="R78" s="752">
        <f>ROUND(SUM(R13+R76),1)</f>
        <v>0</v>
      </c>
      <c r="S78" s="86"/>
      <c r="T78" s="752">
        <f>ROUND(SUM(T13+T76),1)</f>
        <v>0</v>
      </c>
      <c r="U78" s="86"/>
      <c r="V78" s="752">
        <f>ROUND(SUM(V13+V76),1)</f>
        <v>0</v>
      </c>
      <c r="W78" s="86"/>
      <c r="X78" s="752">
        <f>ROUND(SUM(X13+X76),1)</f>
        <v>0</v>
      </c>
      <c r="Y78" s="1255"/>
      <c r="Z78" s="86"/>
      <c r="AA78" s="752">
        <f>ROUND(SUM(AA13+AA76),1)</f>
        <v>165.6</v>
      </c>
      <c r="AB78" s="1255"/>
      <c r="AC78" s="86"/>
      <c r="AD78" s="752">
        <f>ROUND(SUM(AD13+AD76),1)</f>
        <v>368.5</v>
      </c>
      <c r="AE78" s="1867"/>
      <c r="AF78" s="740"/>
      <c r="AG78" s="752">
        <f>ROUND(SUM(+AG13+AG76),1)</f>
        <v>-202.9</v>
      </c>
      <c r="AH78" s="87"/>
      <c r="AI78" s="990">
        <f>ROUND(IF(AD78=0,0,AG78/ABS(AD78)),3)</f>
        <v>-0.55100000000000005</v>
      </c>
      <c r="AJ78" s="1568"/>
      <c r="AK78" s="1568"/>
    </row>
    <row r="79" spans="1:37" ht="14.25" customHeight="1" thickTop="1">
      <c r="A79" s="744"/>
      <c r="B79" s="753"/>
      <c r="C79" s="753"/>
      <c r="D79" s="753"/>
      <c r="F79" s="753"/>
      <c r="H79" s="754"/>
      <c r="J79" s="754"/>
      <c r="L79" s="754"/>
      <c r="N79" s="754"/>
      <c r="P79" s="754"/>
      <c r="R79" s="754"/>
      <c r="T79" s="754"/>
      <c r="U79" s="730"/>
      <c r="V79" s="754"/>
      <c r="W79" s="730"/>
      <c r="X79" s="754"/>
      <c r="Y79" s="753"/>
      <c r="Z79" s="753"/>
      <c r="AA79" s="753"/>
      <c r="AB79" s="753"/>
      <c r="AC79" s="753"/>
      <c r="AD79" s="753"/>
      <c r="AE79" s="755"/>
      <c r="AF79" s="753"/>
      <c r="AG79" s="753"/>
      <c r="AI79" s="756"/>
    </row>
    <row r="80" spans="1:37">
      <c r="L80" s="730"/>
      <c r="T80" s="757"/>
      <c r="U80" s="757"/>
      <c r="V80" s="757"/>
      <c r="W80" s="757"/>
      <c r="X80" s="757"/>
      <c r="AD80" s="758"/>
    </row>
    <row r="81" spans="1:35" ht="12" customHeight="1">
      <c r="A81" s="745"/>
      <c r="L81" s="730"/>
      <c r="R81" s="759"/>
      <c r="T81" s="753"/>
      <c r="V81" s="753"/>
      <c r="X81" s="753"/>
    </row>
    <row r="82" spans="1:35">
      <c r="B82" s="758"/>
      <c r="L82" s="730"/>
      <c r="R82" s="759"/>
      <c r="T82" s="753"/>
      <c r="V82" s="753"/>
      <c r="X82" s="753"/>
    </row>
    <row r="83" spans="1:35">
      <c r="A83" s="760"/>
      <c r="L83" s="730"/>
    </row>
    <row r="84" spans="1:35">
      <c r="A84" s="761"/>
      <c r="B84" s="758"/>
      <c r="L84" s="730"/>
      <c r="R84" s="762"/>
    </row>
    <row r="85" spans="1:35">
      <c r="A85" s="763"/>
      <c r="B85" s="758"/>
      <c r="L85" s="730"/>
    </row>
    <row r="86" spans="1:35">
      <c r="A86" s="764"/>
      <c r="L86" s="730"/>
      <c r="AI86" s="753"/>
    </row>
    <row r="87" spans="1:35">
      <c r="L87" s="730"/>
    </row>
    <row r="88" spans="1:35">
      <c r="L88" s="730"/>
    </row>
    <row r="89" spans="1:35">
      <c r="L89" s="730"/>
    </row>
    <row r="90" spans="1:35">
      <c r="L90" s="730"/>
    </row>
    <row r="91" spans="1:35">
      <c r="L91" s="730"/>
    </row>
    <row r="92" spans="1:35">
      <c r="L92" s="730"/>
    </row>
    <row r="93" spans="1:35">
      <c r="L93" s="730"/>
    </row>
    <row r="94" spans="1:35">
      <c r="L94" s="730"/>
    </row>
    <row r="95" spans="1:35">
      <c r="L95" s="730"/>
    </row>
    <row r="96" spans="1:35">
      <c r="L96" s="730"/>
    </row>
    <row r="97" spans="12:12">
      <c r="L97" s="730"/>
    </row>
    <row r="98" spans="12:12">
      <c r="L98" s="730"/>
    </row>
    <row r="99" spans="12:12">
      <c r="L99" s="730"/>
    </row>
    <row r="100" spans="12:12">
      <c r="L100" s="730"/>
    </row>
    <row r="101" spans="12:12">
      <c r="L101" s="730"/>
    </row>
    <row r="102" spans="12:12">
      <c r="L102" s="730"/>
    </row>
    <row r="103" spans="12:12">
      <c r="L103" s="730"/>
    </row>
    <row r="104" spans="12:12">
      <c r="L104" s="730"/>
    </row>
    <row r="105" spans="12:12">
      <c r="L105" s="730"/>
    </row>
    <row r="106" spans="12:12">
      <c r="L106" s="730"/>
    </row>
    <row r="107" spans="12:12">
      <c r="L107" s="730"/>
    </row>
    <row r="108" spans="12:12">
      <c r="L108" s="730"/>
    </row>
    <row r="109" spans="12:12">
      <c r="L109" s="730"/>
    </row>
    <row r="110" spans="12:12">
      <c r="L110" s="730"/>
    </row>
    <row r="111" spans="12:12">
      <c r="L111" s="730"/>
    </row>
    <row r="112" spans="12:12">
      <c r="L112" s="730"/>
    </row>
    <row r="113" spans="12:12">
      <c r="L113" s="730"/>
    </row>
    <row r="114" spans="12:12">
      <c r="L114" s="730"/>
    </row>
    <row r="115" spans="12:12">
      <c r="L115" s="730"/>
    </row>
    <row r="116" spans="12:12">
      <c r="L116" s="730"/>
    </row>
    <row r="117" spans="12:12">
      <c r="L117" s="730"/>
    </row>
    <row r="118" spans="12:12">
      <c r="L118" s="730"/>
    </row>
    <row r="119" spans="12:12">
      <c r="L119" s="730"/>
    </row>
    <row r="120" spans="12:12">
      <c r="L120" s="730"/>
    </row>
    <row r="121" spans="12:12">
      <c r="L121" s="730"/>
    </row>
    <row r="122" spans="12:12">
      <c r="L122" s="730"/>
    </row>
    <row r="123" spans="12:12">
      <c r="L123" s="730"/>
    </row>
    <row r="124" spans="12:12">
      <c r="L124" s="730"/>
    </row>
    <row r="125" spans="12:12">
      <c r="L125" s="730"/>
    </row>
    <row r="126" spans="12:12">
      <c r="L126" s="730"/>
    </row>
    <row r="127" spans="12:12">
      <c r="L127" s="730"/>
    </row>
    <row r="128" spans="12:12">
      <c r="L128" s="730"/>
    </row>
    <row r="129" spans="12:12">
      <c r="L129" s="730"/>
    </row>
    <row r="130" spans="12:12">
      <c r="L130" s="730"/>
    </row>
    <row r="131" spans="12:12">
      <c r="L131" s="730"/>
    </row>
    <row r="132" spans="12:12">
      <c r="L132" s="730"/>
    </row>
    <row r="133" spans="12:12">
      <c r="L133" s="730"/>
    </row>
    <row r="134" spans="12:12">
      <c r="L134" s="730"/>
    </row>
    <row r="135" spans="12:12">
      <c r="L135" s="730"/>
    </row>
    <row r="136" spans="12:12">
      <c r="L136" s="730"/>
    </row>
    <row r="137" spans="12:12">
      <c r="L137" s="730"/>
    </row>
    <row r="138" spans="12:12">
      <c r="L138" s="730"/>
    </row>
    <row r="139" spans="12:12">
      <c r="L139" s="730"/>
    </row>
    <row r="140" spans="12:12">
      <c r="L140" s="730"/>
    </row>
    <row r="141" spans="12:12">
      <c r="L141" s="730"/>
    </row>
    <row r="142" spans="12:12">
      <c r="L142" s="730"/>
    </row>
    <row r="143" spans="12:12">
      <c r="L143" s="730"/>
    </row>
    <row r="144" spans="12:12">
      <c r="L144" s="730"/>
    </row>
    <row r="145" spans="12:12">
      <c r="L145" s="730"/>
    </row>
    <row r="146" spans="12:12">
      <c r="L146" s="730"/>
    </row>
    <row r="147" spans="12:12">
      <c r="L147" s="730"/>
    </row>
    <row r="148" spans="12:12">
      <c r="L148" s="730"/>
    </row>
    <row r="149" spans="12:12">
      <c r="L149" s="730"/>
    </row>
    <row r="150" spans="12:12">
      <c r="L150" s="730"/>
    </row>
    <row r="151" spans="12:12">
      <c r="L151" s="730"/>
    </row>
    <row r="152" spans="12:12">
      <c r="L152" s="730"/>
    </row>
    <row r="153" spans="12:12">
      <c r="L153" s="730"/>
    </row>
    <row r="154" spans="12:12">
      <c r="L154" s="730"/>
    </row>
    <row r="155" spans="12:12">
      <c r="L155" s="730"/>
    </row>
    <row r="156" spans="12:12">
      <c r="L156" s="730"/>
    </row>
    <row r="157" spans="12:12">
      <c r="L157" s="730"/>
    </row>
    <row r="158" spans="12:12">
      <c r="L158" s="730"/>
    </row>
    <row r="159" spans="12:12">
      <c r="L159" s="730"/>
    </row>
    <row r="160" spans="12:12">
      <c r="L160" s="730"/>
    </row>
    <row r="161" spans="12:12">
      <c r="L161" s="730"/>
    </row>
    <row r="162" spans="12:12">
      <c r="L162" s="730"/>
    </row>
    <row r="163" spans="12:12">
      <c r="L163" s="730"/>
    </row>
    <row r="164" spans="12:12">
      <c r="L164" s="730"/>
    </row>
    <row r="165" spans="12:12">
      <c r="L165" s="730"/>
    </row>
    <row r="166" spans="12:12">
      <c r="L166" s="730"/>
    </row>
    <row r="167" spans="12:12">
      <c r="L167" s="730"/>
    </row>
    <row r="168" spans="12:12">
      <c r="L168" s="730"/>
    </row>
    <row r="169" spans="12:12">
      <c r="L169" s="730"/>
    </row>
    <row r="170" spans="12:12">
      <c r="L170" s="730"/>
    </row>
    <row r="171" spans="12:12">
      <c r="L171" s="730"/>
    </row>
    <row r="172" spans="12:12">
      <c r="L172" s="730"/>
    </row>
    <row r="173" spans="12:12">
      <c r="L173" s="730"/>
    </row>
    <row r="174" spans="12:12">
      <c r="L174" s="730"/>
    </row>
    <row r="175" spans="12:12">
      <c r="L175" s="730"/>
    </row>
    <row r="176" spans="12:12">
      <c r="L176" s="730"/>
    </row>
    <row r="177" spans="12:12">
      <c r="L177" s="730"/>
    </row>
    <row r="178" spans="12:12">
      <c r="L178" s="730"/>
    </row>
    <row r="179" spans="12:12">
      <c r="L179" s="730"/>
    </row>
    <row r="180" spans="12:12">
      <c r="L180" s="730"/>
    </row>
    <row r="181" spans="12:12">
      <c r="L181" s="730"/>
    </row>
    <row r="182" spans="12:12">
      <c r="L182" s="730"/>
    </row>
    <row r="183" spans="12:12">
      <c r="L183" s="730"/>
    </row>
    <row r="184" spans="12:12">
      <c r="L184" s="730"/>
    </row>
    <row r="185" spans="12:12">
      <c r="L185" s="730"/>
    </row>
    <row r="186" spans="12:12">
      <c r="L186" s="730"/>
    </row>
    <row r="187" spans="12:12">
      <c r="L187" s="730"/>
    </row>
    <row r="188" spans="12:12">
      <c r="L188" s="730"/>
    </row>
    <row r="189" spans="12:12">
      <c r="L189" s="730"/>
    </row>
    <row r="190" spans="12:12">
      <c r="L190" s="730"/>
    </row>
    <row r="191" spans="12:12">
      <c r="L191" s="730"/>
    </row>
    <row r="192" spans="12:12">
      <c r="L192" s="730"/>
    </row>
    <row r="193" spans="12:12">
      <c r="L193" s="730"/>
    </row>
    <row r="194" spans="12:12">
      <c r="L194" s="730"/>
    </row>
    <row r="195" spans="12:12">
      <c r="L195" s="730"/>
    </row>
    <row r="196" spans="12:12">
      <c r="L196" s="730"/>
    </row>
    <row r="197" spans="12:12">
      <c r="L197" s="730"/>
    </row>
    <row r="198" spans="12:12">
      <c r="L198" s="730"/>
    </row>
    <row r="199" spans="12:12">
      <c r="L199" s="730"/>
    </row>
    <row r="200" spans="12:12">
      <c r="L200" s="730"/>
    </row>
    <row r="201" spans="12:12">
      <c r="L201" s="730"/>
    </row>
    <row r="202" spans="12:12">
      <c r="L202" s="730"/>
    </row>
    <row r="203" spans="12:12">
      <c r="L203" s="730"/>
    </row>
    <row r="204" spans="12:12">
      <c r="L204" s="730"/>
    </row>
    <row r="205" spans="12:12">
      <c r="L205" s="730"/>
    </row>
    <row r="206" spans="12:12">
      <c r="L206" s="730"/>
    </row>
    <row r="207" spans="12:12">
      <c r="L207" s="730"/>
    </row>
    <row r="208" spans="12:12">
      <c r="L208" s="730"/>
    </row>
    <row r="209" spans="12:12">
      <c r="L209" s="730"/>
    </row>
    <row r="210" spans="12:12">
      <c r="L210" s="730"/>
    </row>
    <row r="211" spans="12:12">
      <c r="L211" s="730"/>
    </row>
    <row r="212" spans="12:12">
      <c r="L212" s="730"/>
    </row>
    <row r="213" spans="12:12">
      <c r="L213" s="730"/>
    </row>
    <row r="214" spans="12:12">
      <c r="L214" s="730"/>
    </row>
    <row r="215" spans="12:12">
      <c r="L215" s="730"/>
    </row>
    <row r="216" spans="12:12">
      <c r="L216" s="730"/>
    </row>
    <row r="217" spans="12:12">
      <c r="L217" s="730"/>
    </row>
    <row r="218" spans="12:12">
      <c r="L218" s="730"/>
    </row>
    <row r="219" spans="12:12">
      <c r="L219" s="730"/>
    </row>
    <row r="220" spans="12:12">
      <c r="L220" s="730"/>
    </row>
    <row r="221" spans="12:12">
      <c r="L221" s="730"/>
    </row>
    <row r="222" spans="12:12">
      <c r="L222" s="730"/>
    </row>
    <row r="223" spans="12:12">
      <c r="L223" s="730"/>
    </row>
    <row r="224" spans="12:12">
      <c r="L224" s="730"/>
    </row>
    <row r="225" spans="12:12">
      <c r="L225" s="730"/>
    </row>
    <row r="226" spans="12:12">
      <c r="L226" s="730"/>
    </row>
    <row r="227" spans="12:12">
      <c r="L227" s="730"/>
    </row>
    <row r="228" spans="12:12">
      <c r="L228" s="730"/>
    </row>
    <row r="229" spans="12:12">
      <c r="L229" s="730"/>
    </row>
    <row r="230" spans="12:12">
      <c r="L230" s="730"/>
    </row>
    <row r="231" spans="12:12">
      <c r="L231" s="730"/>
    </row>
    <row r="232" spans="12:12">
      <c r="L232" s="730"/>
    </row>
    <row r="233" spans="12:12">
      <c r="L233" s="730"/>
    </row>
    <row r="234" spans="12:12">
      <c r="L234" s="730"/>
    </row>
    <row r="235" spans="12:12">
      <c r="L235" s="730"/>
    </row>
    <row r="236" spans="12:12">
      <c r="L236" s="730"/>
    </row>
    <row r="237" spans="12:12">
      <c r="L237" s="730"/>
    </row>
    <row r="238" spans="12:12">
      <c r="L238" s="730"/>
    </row>
    <row r="239" spans="12:12">
      <c r="L239" s="730"/>
    </row>
    <row r="240" spans="12:12">
      <c r="L240" s="730"/>
    </row>
    <row r="241" spans="12:12">
      <c r="L241" s="730"/>
    </row>
    <row r="242" spans="12:12">
      <c r="L242" s="730"/>
    </row>
    <row r="243" spans="12:12">
      <c r="L243" s="730"/>
    </row>
    <row r="244" spans="12:12">
      <c r="L244" s="730"/>
    </row>
    <row r="245" spans="12:12">
      <c r="L245" s="730"/>
    </row>
    <row r="246" spans="12:12">
      <c r="L246" s="730"/>
    </row>
    <row r="247" spans="12:12">
      <c r="L247" s="730"/>
    </row>
    <row r="248" spans="12:12">
      <c r="L248" s="730"/>
    </row>
    <row r="249" spans="12:12">
      <c r="L249" s="730"/>
    </row>
    <row r="250" spans="12:12">
      <c r="L250" s="730"/>
    </row>
    <row r="251" spans="12:12">
      <c r="L251" s="730"/>
    </row>
    <row r="252" spans="12:12">
      <c r="L252" s="730"/>
    </row>
    <row r="253" spans="12:12">
      <c r="L253" s="730"/>
    </row>
    <row r="254" spans="12:12">
      <c r="L254" s="730"/>
    </row>
    <row r="255" spans="12:12">
      <c r="L255" s="730"/>
    </row>
    <row r="256" spans="12:12">
      <c r="L256" s="730"/>
    </row>
    <row r="257" spans="12:12">
      <c r="L257" s="730"/>
    </row>
    <row r="258" spans="12:12">
      <c r="L258" s="730"/>
    </row>
    <row r="259" spans="12:12">
      <c r="L259" s="730"/>
    </row>
    <row r="260" spans="12:12">
      <c r="L260" s="730"/>
    </row>
    <row r="261" spans="12:12">
      <c r="L261" s="730"/>
    </row>
    <row r="262" spans="12:12">
      <c r="L262" s="730"/>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90" workbookViewId="0"/>
  </sheetViews>
  <sheetFormatPr defaultColWidth="8.88671875" defaultRowHeight="15"/>
  <cols>
    <col min="1" max="1" width="2.5546875" style="23" customWidth="1"/>
    <col min="2" max="2" width="15.88671875" style="23" customWidth="1"/>
    <col min="3" max="3" width="25.109375" style="23" customWidth="1"/>
    <col min="4" max="4" width="2" style="23" customWidth="1"/>
    <col min="5" max="5" width="12.5546875" style="23" customWidth="1"/>
    <col min="6" max="6" width="1.88671875" style="23" customWidth="1"/>
    <col min="7" max="7" width="11.88671875" style="23" bestFit="1" customWidth="1"/>
    <col min="8" max="8" width="1.88671875" style="23" customWidth="1"/>
    <col min="9" max="9" width="11.44140625" style="23" bestFit="1" customWidth="1"/>
    <col min="10" max="10" width="1.88671875" style="23" customWidth="1"/>
    <col min="11" max="11" width="11.88671875" style="23" bestFit="1" customWidth="1"/>
    <col min="12" max="12" width="1.109375" style="23" customWidth="1"/>
    <col min="13" max="13" width="10.5546875" style="23" customWidth="1"/>
    <col min="14" max="14" width="1.88671875" style="23" customWidth="1"/>
    <col min="15" max="15" width="12.44140625" style="23" customWidth="1"/>
    <col min="16" max="16" width="1.88671875" style="23" customWidth="1"/>
    <col min="17" max="17" width="12.109375" style="23" customWidth="1"/>
    <col min="18" max="18" width="1.88671875" style="23" customWidth="1"/>
    <col min="19" max="19" width="12.109375" style="23" customWidth="1"/>
    <col min="20" max="20" width="1.88671875" style="23" customWidth="1"/>
    <col min="21" max="21" width="10.88671875" style="23" customWidth="1"/>
    <col min="22" max="22" width="1.88671875" style="23" customWidth="1"/>
    <col min="23" max="23" width="13.88671875" style="23" customWidth="1"/>
    <col min="24" max="24" width="1.88671875" style="23" customWidth="1"/>
    <col min="25" max="25" width="12.88671875" style="23" customWidth="1"/>
    <col min="26" max="26" width="1.88671875" style="23" customWidth="1"/>
    <col min="27" max="27" width="11.88671875" style="23" customWidth="1"/>
    <col min="28" max="28" width="1.44140625" style="23" customWidth="1"/>
    <col min="29" max="29" width="14.109375" style="23" customWidth="1"/>
    <col min="30" max="31" width="1.109375" style="23" customWidth="1"/>
    <col min="32" max="32" width="12.88671875" style="23" customWidth="1"/>
    <col min="33" max="34" width="1.109375" style="23" customWidth="1"/>
    <col min="35" max="35" width="12.88671875" style="23" customWidth="1"/>
    <col min="36" max="37" width="1.109375" style="23" customWidth="1"/>
    <col min="38" max="38" width="12.88671875" style="23" customWidth="1"/>
    <col min="39" max="39" width="1.109375" style="23" customWidth="1"/>
    <col min="40" max="40" width="12.88671875" style="23" customWidth="1"/>
    <col min="41" max="16384" width="8.8867187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50"/>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50"/>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5"/>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100" t="str">
        <f>'Cashflow Governmental'!$AB$12</f>
        <v>8 Months Ended November 30</v>
      </c>
      <c r="AF9" s="2100"/>
      <c r="AG9" s="2100"/>
      <c r="AH9" s="2100"/>
      <c r="AI9" s="2100"/>
      <c r="AJ9" s="2100"/>
      <c r="AK9" s="2100"/>
      <c r="AL9" s="2100"/>
      <c r="AM9" s="2100"/>
      <c r="AN9" s="2100"/>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6" t="s">
        <v>332</v>
      </c>
      <c r="F11" s="3"/>
      <c r="G11" s="1236" t="s">
        <v>333</v>
      </c>
      <c r="H11" s="3"/>
      <c r="I11" s="1236" t="s">
        <v>334</v>
      </c>
      <c r="J11" s="3"/>
      <c r="K11" s="1236" t="s">
        <v>335</v>
      </c>
      <c r="L11" s="3"/>
      <c r="M11" s="1236" t="s">
        <v>336</v>
      </c>
      <c r="N11" s="3"/>
      <c r="O11" s="1236" t="s">
        <v>448</v>
      </c>
      <c r="P11" s="3"/>
      <c r="Q11" s="1236" t="s">
        <v>449</v>
      </c>
      <c r="R11" s="3"/>
      <c r="S11" s="1236" t="s">
        <v>339</v>
      </c>
      <c r="T11" s="3"/>
      <c r="U11" s="1236" t="s">
        <v>340</v>
      </c>
      <c r="V11" s="3"/>
      <c r="W11" s="1236" t="s">
        <v>341</v>
      </c>
      <c r="X11" s="3"/>
      <c r="Y11" s="1236" t="s">
        <v>342</v>
      </c>
      <c r="Z11" s="3"/>
      <c r="AA11" s="1236" t="s">
        <v>450</v>
      </c>
      <c r="AB11" s="54"/>
      <c r="AC11" s="1236" t="s">
        <v>480</v>
      </c>
      <c r="AD11" s="3"/>
      <c r="AE11" s="3"/>
      <c r="AF11" s="1236" t="str">
        <f>'Cashflow Governmental'!AB14</f>
        <v>2025</v>
      </c>
      <c r="AG11" s="3"/>
      <c r="AH11" s="3"/>
      <c r="AI11" s="1236" t="str">
        <f>'Cashflow Governmental'!AE14</f>
        <v>2024</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5" t="s">
        <v>559</v>
      </c>
      <c r="C13" s="3"/>
      <c r="D13" s="296"/>
      <c r="E13" s="86">
        <f>'Exhibit I State'!E13+'Exhibit I Federal'!E13</f>
        <v>-1456</v>
      </c>
      <c r="F13" s="20"/>
      <c r="G13" s="20">
        <f>E101</f>
        <v>-1556.3</v>
      </c>
      <c r="H13" s="20"/>
      <c r="I13" s="20">
        <f>G101</f>
        <v>-1826.2</v>
      </c>
      <c r="J13" s="20"/>
      <c r="K13" s="20">
        <f>I101</f>
        <v>-1987.6</v>
      </c>
      <c r="L13" s="20"/>
      <c r="M13" s="20">
        <f>K101</f>
        <v>-1959.8</v>
      </c>
      <c r="N13" s="20"/>
      <c r="O13" s="20">
        <f>M101</f>
        <v>-2363</v>
      </c>
      <c r="P13" s="20"/>
      <c r="Q13" s="20">
        <f>O101</f>
        <v>-2588.9</v>
      </c>
      <c r="R13" s="20"/>
      <c r="S13" s="20">
        <f>Q101</f>
        <v>-2005.6</v>
      </c>
      <c r="T13" s="20"/>
      <c r="U13" s="20"/>
      <c r="V13" s="20"/>
      <c r="W13" s="20"/>
      <c r="X13" s="20"/>
      <c r="Y13" s="20"/>
      <c r="Z13" s="20"/>
      <c r="AA13" s="20"/>
      <c r="AB13" s="20"/>
      <c r="AC13" s="20">
        <v>0</v>
      </c>
      <c r="AD13" s="20"/>
      <c r="AE13" s="21"/>
      <c r="AF13" s="20">
        <f>E13</f>
        <v>-1456</v>
      </c>
      <c r="AG13" s="1260"/>
      <c r="AH13" s="20"/>
      <c r="AI13" s="2007">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4"/>
      <c r="AF14" s="273"/>
      <c r="AG14" s="1261"/>
      <c r="AH14" s="273"/>
      <c r="AI14" s="273"/>
      <c r="AJ14" s="273"/>
      <c r="AK14" s="96"/>
    </row>
    <row r="15" spans="1:41"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4"/>
      <c r="AF15" s="273"/>
      <c r="AG15" s="1261"/>
      <c r="AH15" s="273"/>
      <c r="AI15" s="273"/>
      <c r="AJ15" s="273"/>
      <c r="AK15" s="96"/>
    </row>
    <row r="16" spans="1:41" ht="15.75">
      <c r="A16" s="296"/>
      <c r="B16" s="1235"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4"/>
      <c r="AF16" s="273"/>
      <c r="AG16" s="1261"/>
      <c r="AH16" s="273"/>
      <c r="AI16" s="273"/>
      <c r="AJ16" s="273"/>
      <c r="AK16" s="96"/>
    </row>
    <row r="17" spans="1:46" ht="15.75">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4"/>
      <c r="AF17" s="273"/>
      <c r="AG17" s="1261"/>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5"/>
      <c r="M18" s="518">
        <f>'Exhibit I State'!M18</f>
        <v>0</v>
      </c>
      <c r="N18" s="745"/>
      <c r="O18" s="518">
        <f>'Exhibit I State'!O18</f>
        <v>31.199999999999996</v>
      </c>
      <c r="P18" s="518"/>
      <c r="Q18" s="518">
        <f>'Exhibit I State'!Q18</f>
        <v>0.20000000000000284</v>
      </c>
      <c r="R18" s="745"/>
      <c r="S18" s="518">
        <f>'Exhibit I State'!S18</f>
        <v>0.10000000000000142</v>
      </c>
      <c r="T18" s="518"/>
      <c r="U18" s="518"/>
      <c r="V18" s="518"/>
      <c r="W18" s="518"/>
      <c r="X18" s="518"/>
      <c r="Y18" s="518"/>
      <c r="Z18" s="518"/>
      <c r="AA18" s="518"/>
      <c r="AB18" s="518"/>
      <c r="AC18" s="518">
        <v>0</v>
      </c>
      <c r="AD18" s="1256"/>
      <c r="AE18" s="745"/>
      <c r="AF18" s="269">
        <f>ROUND(SUM(E18:AC18),1)</f>
        <v>60.1</v>
      </c>
      <c r="AG18" s="1257"/>
      <c r="AH18" s="913"/>
      <c r="AI18" s="953">
        <f>+'Exhibit I State'!AG18</f>
        <v>61</v>
      </c>
      <c r="AJ18" s="914"/>
      <c r="AK18" s="915"/>
      <c r="AL18" s="953">
        <f>ROUND(SUM(AF18-AI18),1)</f>
        <v>-0.9</v>
      </c>
      <c r="AM18" s="745"/>
      <c r="AN18" s="548">
        <f>ROUND(IF(AI18=0,0,AL18/ABS(AI18)),3)</f>
        <v>-1.4999999999999999E-2</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5"/>
      <c r="M19" s="518">
        <f>'Exhibit I State'!M19</f>
        <v>35.399999999999977</v>
      </c>
      <c r="N19" s="745"/>
      <c r="O19" s="518">
        <f>'Exhibit I State'!O19</f>
        <v>33.000000000000014</v>
      </c>
      <c r="P19" s="745"/>
      <c r="Q19" s="518">
        <f>'Exhibit I State'!Q19</f>
        <v>34.300000000000026</v>
      </c>
      <c r="R19" s="745"/>
      <c r="S19" s="518">
        <f>'Exhibit I State'!S19</f>
        <v>29.899999999999988</v>
      </c>
      <c r="T19" s="518"/>
      <c r="U19" s="518"/>
      <c r="V19" s="518"/>
      <c r="W19" s="518"/>
      <c r="X19" s="518"/>
      <c r="Y19" s="518"/>
      <c r="Z19" s="518"/>
      <c r="AA19" s="518"/>
      <c r="AB19" s="518"/>
      <c r="AC19" s="518">
        <v>0</v>
      </c>
      <c r="AD19" s="1256"/>
      <c r="AE19" s="745"/>
      <c r="AF19" s="269">
        <f>ROUND(SUM(E19:AC19),1)</f>
        <v>260.39999999999998</v>
      </c>
      <c r="AG19" s="1257"/>
      <c r="AH19" s="913"/>
      <c r="AI19" s="953">
        <f>+'Exhibit I State'!AG19</f>
        <v>262.5</v>
      </c>
      <c r="AJ19" s="914"/>
      <c r="AK19" s="915"/>
      <c r="AL19" s="953">
        <f>ROUND(SUM(AF19-AI19),1)</f>
        <v>-2.1</v>
      </c>
      <c r="AM19" s="745"/>
      <c r="AN19" s="379">
        <f>ROUND(IF(AI19=0,0,AL19/ABS(AI19)),3)</f>
        <v>-8.0000000000000002E-3</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5"/>
      <c r="M20" s="518">
        <f>'Exhibit I State'!M20</f>
        <v>9.7000000000000011</v>
      </c>
      <c r="N20" s="745"/>
      <c r="O20" s="518">
        <f>'Exhibit I State'!O20</f>
        <v>9.9999999999999982</v>
      </c>
      <c r="P20" s="745"/>
      <c r="Q20" s="518">
        <f>'Exhibit I State'!Q20</f>
        <v>12.39999999999999</v>
      </c>
      <c r="R20" s="745"/>
      <c r="S20" s="518">
        <f>'Exhibit I State'!S20</f>
        <v>9.3000000000000096</v>
      </c>
      <c r="T20" s="518"/>
      <c r="U20" s="518"/>
      <c r="V20" s="518"/>
      <c r="W20" s="518"/>
      <c r="X20" s="518"/>
      <c r="Y20" s="518"/>
      <c r="Z20" s="518"/>
      <c r="AA20" s="518"/>
      <c r="AB20" s="518"/>
      <c r="AC20" s="518">
        <v>0</v>
      </c>
      <c r="AD20" s="1256"/>
      <c r="AE20" s="745"/>
      <c r="AF20" s="269">
        <f>ROUND(SUM(E20:AC20),1)</f>
        <v>86.4</v>
      </c>
      <c r="AG20" s="1257"/>
      <c r="AH20" s="913"/>
      <c r="AI20" s="953">
        <f>+'Exhibit I State'!AG20</f>
        <v>87.3</v>
      </c>
      <c r="AJ20" s="914"/>
      <c r="AK20" s="915"/>
      <c r="AL20" s="953">
        <f>ROUND(SUM(AF20-AI20),1)</f>
        <v>-0.9</v>
      </c>
      <c r="AM20" s="745"/>
      <c r="AN20" s="548">
        <f>ROUND(IF(AI20=0,0,AL20/ABS(AI20)),3)</f>
        <v>-0.01</v>
      </c>
      <c r="AO20" s="215"/>
    </row>
    <row r="21" spans="1:46" ht="15.75">
      <c r="A21" s="296"/>
      <c r="B21" s="87" t="s">
        <v>561</v>
      </c>
      <c r="C21" s="296"/>
      <c r="D21" s="296"/>
      <c r="E21" s="71">
        <f>ROUND(SUM(E18:E20),1)</f>
        <v>47.2</v>
      </c>
      <c r="F21" s="13"/>
      <c r="G21" s="71">
        <f>ROUND(SUM(G18:G20),1)</f>
        <v>43.7</v>
      </c>
      <c r="H21" s="13"/>
      <c r="I21" s="71">
        <f>ROUND(SUM(I18:I20),1)</f>
        <v>66.599999999999994</v>
      </c>
      <c r="J21" s="13"/>
      <c r="K21" s="71">
        <f>ROUND(SUM(K18:K20),1)</f>
        <v>43.9</v>
      </c>
      <c r="L21" s="745"/>
      <c r="M21" s="71">
        <f>ROUND(SUM(M18:M20),1)</f>
        <v>45.1</v>
      </c>
      <c r="N21" s="745"/>
      <c r="O21" s="71">
        <f>ROUND(SUM(O18:O20),1)</f>
        <v>74.2</v>
      </c>
      <c r="P21" s="745"/>
      <c r="Q21" s="71">
        <f>ROUND(SUM(Q18:Q20),1)</f>
        <v>46.9</v>
      </c>
      <c r="R21" s="745"/>
      <c r="S21" s="71">
        <f>ROUND(SUM(S18:S20),1)</f>
        <v>39.299999999999997</v>
      </c>
      <c r="T21" s="745"/>
      <c r="U21" s="71">
        <f>ROUND(SUM(U18:U20),1)</f>
        <v>0</v>
      </c>
      <c r="V21" s="745"/>
      <c r="W21" s="71">
        <f>ROUND(SUM(W18:W20),1)</f>
        <v>0</v>
      </c>
      <c r="X21" s="745"/>
      <c r="Y21" s="71">
        <f>ROUND(SUM(Y18:Y20),1)</f>
        <v>0</v>
      </c>
      <c r="Z21" s="745"/>
      <c r="AA21" s="71">
        <f>ROUND(SUM(AA18:AA20),1)</f>
        <v>0</v>
      </c>
      <c r="AB21" s="13"/>
      <c r="AC21" s="71">
        <f>ROUND(SUM(AC18:AC20),1)</f>
        <v>0</v>
      </c>
      <c r="AD21" s="1256"/>
      <c r="AE21" s="745"/>
      <c r="AF21" s="71">
        <f>ROUND(SUM(AF18:AF20),1)</f>
        <v>406.9</v>
      </c>
      <c r="AG21" s="1257"/>
      <c r="AH21" s="913"/>
      <c r="AI21" s="71">
        <f>ROUND(SUM(AI18:AI20),1)</f>
        <v>410.8</v>
      </c>
      <c r="AJ21" s="914"/>
      <c r="AK21" s="915"/>
      <c r="AL21" s="1115">
        <f>ROUND(SUM(AF21-AI21),1)</f>
        <v>-3.9</v>
      </c>
      <c r="AM21" s="87"/>
      <c r="AN21" s="1090">
        <f>ROUND(IF(AI21=0,0,AL21/ABS(AI21)),3)</f>
        <v>-8.9999999999999993E-3</v>
      </c>
      <c r="AO21" s="215"/>
    </row>
    <row r="22" spans="1:46" ht="15.75">
      <c r="A22" s="296"/>
      <c r="B22" s="418" t="s">
        <v>369</v>
      </c>
      <c r="C22" s="296"/>
      <c r="D22" s="296"/>
      <c r="E22" s="13"/>
      <c r="F22" s="13"/>
      <c r="G22" s="13"/>
      <c r="H22" s="13"/>
      <c r="I22" s="13"/>
      <c r="J22" s="13"/>
      <c r="K22" s="13"/>
      <c r="L22" s="745"/>
      <c r="M22" s="13"/>
      <c r="N22" s="745"/>
      <c r="O22" s="13"/>
      <c r="P22" s="745"/>
      <c r="Q22" s="13"/>
      <c r="R22" s="745"/>
      <c r="S22" s="13"/>
      <c r="T22" s="745"/>
      <c r="U22" s="13"/>
      <c r="V22" s="745"/>
      <c r="W22" s="13"/>
      <c r="X22" s="745"/>
      <c r="Y22" s="13"/>
      <c r="Z22" s="745"/>
      <c r="AA22" s="13"/>
      <c r="AB22" s="13"/>
      <c r="AC22" s="13"/>
      <c r="AD22" s="1256"/>
      <c r="AE22" s="745"/>
      <c r="AF22" s="13"/>
      <c r="AG22" s="1257"/>
      <c r="AH22" s="913"/>
      <c r="AI22" s="13"/>
      <c r="AJ22" s="914"/>
      <c r="AK22" s="915"/>
      <c r="AL22" s="419"/>
      <c r="AM22" s="87"/>
      <c r="AN22" s="2"/>
      <c r="AO22" s="215"/>
    </row>
    <row r="23" spans="1:46" ht="15.75">
      <c r="A23" s="296"/>
      <c r="B23" s="289" t="s">
        <v>370</v>
      </c>
      <c r="C23" s="296"/>
      <c r="D23" s="296"/>
      <c r="E23" s="518">
        <f>+'Exhibit I State'!E23</f>
        <v>0</v>
      </c>
      <c r="F23" s="518"/>
      <c r="G23" s="518">
        <f>'Exhibit I State'!G23</f>
        <v>0</v>
      </c>
      <c r="H23" s="518"/>
      <c r="I23" s="518">
        <f>'Exhibit I State'!I23</f>
        <v>0</v>
      </c>
      <c r="J23" s="13"/>
      <c r="K23" s="518">
        <f>'Exhibit I State'!K23</f>
        <v>0</v>
      </c>
      <c r="L23" s="745"/>
      <c r="M23" s="518">
        <f>'Exhibit I State'!M23</f>
        <v>0</v>
      </c>
      <c r="N23" s="745"/>
      <c r="O23" s="518">
        <f>'Exhibit I State'!O23</f>
        <v>0</v>
      </c>
      <c r="P23" s="745"/>
      <c r="Q23" s="518">
        <f>'Exhibit I State'!Q23</f>
        <v>0</v>
      </c>
      <c r="R23" s="745"/>
      <c r="S23" s="518">
        <f>'Exhibit I State'!S23</f>
        <v>0</v>
      </c>
      <c r="T23" s="518"/>
      <c r="U23" s="518"/>
      <c r="V23" s="518"/>
      <c r="W23" s="518"/>
      <c r="X23" s="518"/>
      <c r="Y23" s="518"/>
      <c r="Z23" s="518"/>
      <c r="AA23" s="518"/>
      <c r="AB23" s="518"/>
      <c r="AC23" s="518">
        <v>0</v>
      </c>
      <c r="AD23" s="1256"/>
      <c r="AE23" s="745"/>
      <c r="AF23" s="269">
        <v>0</v>
      </c>
      <c r="AG23" s="1257"/>
      <c r="AH23" s="913"/>
      <c r="AI23" s="953">
        <f>+'Exhibit I State'!AG23</f>
        <v>0</v>
      </c>
      <c r="AJ23" s="914"/>
      <c r="AK23" s="915"/>
      <c r="AL23" s="953">
        <f>ROUND(SUM(AF23-AI23),1)</f>
        <v>0</v>
      </c>
      <c r="AM23" s="745"/>
      <c r="AN23" s="1075">
        <f>ROUND(IF(AI23=0,0,AL23/ABS(AI23)),3)</f>
        <v>0</v>
      </c>
      <c r="AO23" s="215"/>
      <c r="AP23" s="84"/>
      <c r="AQ23" s="84"/>
      <c r="AR23" s="84"/>
      <c r="AS23" s="84"/>
      <c r="AT23" s="84"/>
    </row>
    <row r="24" spans="1:46" ht="15.75">
      <c r="A24" s="296"/>
      <c r="B24" s="289" t="s">
        <v>371</v>
      </c>
      <c r="C24" s="296"/>
      <c r="D24" s="296"/>
      <c r="E24" s="518">
        <f>+'Exhibit I State'!E24</f>
        <v>3.8</v>
      </c>
      <c r="F24" s="518"/>
      <c r="G24" s="518">
        <f>'Exhibit I State'!G24</f>
        <v>0</v>
      </c>
      <c r="H24" s="518"/>
      <c r="I24" s="518">
        <f>'Exhibit I State'!I24</f>
        <v>1.2999999999999998</v>
      </c>
      <c r="J24" s="13"/>
      <c r="K24" s="518">
        <f>'Exhibit I State'!K24</f>
        <v>0</v>
      </c>
      <c r="L24" s="745"/>
      <c r="M24" s="518">
        <f>'Exhibit I State'!M24</f>
        <v>-1.8999999999999995</v>
      </c>
      <c r="N24" s="745"/>
      <c r="O24" s="518">
        <f>'Exhibit I State'!O24</f>
        <v>1.3999999999999995</v>
      </c>
      <c r="P24" s="745"/>
      <c r="Q24" s="518">
        <f>'Exhibit I State'!Q24</f>
        <v>0</v>
      </c>
      <c r="R24" s="745"/>
      <c r="S24" s="518">
        <f>'Exhibit I State'!S24</f>
        <v>0.70000000000000018</v>
      </c>
      <c r="T24" s="518"/>
      <c r="U24" s="518"/>
      <c r="V24" s="518"/>
      <c r="W24" s="518"/>
      <c r="X24" s="518"/>
      <c r="Y24" s="518"/>
      <c r="Z24" s="518"/>
      <c r="AA24" s="518"/>
      <c r="AB24" s="518"/>
      <c r="AC24" s="518">
        <v>0</v>
      </c>
      <c r="AD24" s="1256"/>
      <c r="AE24" s="745"/>
      <c r="AF24" s="269">
        <f>ROUND(SUM(E24:AC24),1)</f>
        <v>5.3</v>
      </c>
      <c r="AG24" s="1257"/>
      <c r="AH24" s="913"/>
      <c r="AI24" s="953">
        <f>+'Exhibit I State'!AG24</f>
        <v>6</v>
      </c>
      <c r="AJ24" s="914"/>
      <c r="AK24" s="915"/>
      <c r="AL24" s="953">
        <f>ROUND(SUM(AF24-AI24),1)</f>
        <v>-0.7</v>
      </c>
      <c r="AM24" s="745"/>
      <c r="AN24" s="548">
        <f>ROUND(IF(AI24=0,1,AL24/ABS(AI24)),3)</f>
        <v>-0.11700000000000001</v>
      </c>
      <c r="AO24" s="215"/>
      <c r="AP24" s="84"/>
      <c r="AQ24" s="84"/>
      <c r="AR24" s="84"/>
      <c r="AS24" s="84"/>
      <c r="AT24" s="84"/>
    </row>
    <row r="25" spans="1:46" ht="15.75">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5"/>
      <c r="M25" s="518">
        <f>'Exhibit I State'!M25</f>
        <v>52.6</v>
      </c>
      <c r="N25" s="745"/>
      <c r="O25" s="518">
        <f>'Exhibit I State'!O25</f>
        <v>50.500000000000007</v>
      </c>
      <c r="P25" s="745"/>
      <c r="Q25" s="518">
        <f>'Exhibit I State'!Q25</f>
        <v>50.499999999999979</v>
      </c>
      <c r="R25" s="745"/>
      <c r="S25" s="518">
        <f>'Exhibit I State'!S25</f>
        <v>43.699999999999996</v>
      </c>
      <c r="T25" s="518"/>
      <c r="U25" s="518"/>
      <c r="V25" s="518"/>
      <c r="W25" s="518"/>
      <c r="X25" s="518"/>
      <c r="Y25" s="518"/>
      <c r="Z25" s="518"/>
      <c r="AA25" s="518"/>
      <c r="AB25" s="518"/>
      <c r="AC25" s="518">
        <v>0</v>
      </c>
      <c r="AD25" s="1256"/>
      <c r="AE25" s="745"/>
      <c r="AF25" s="269">
        <f>ROUND(SUM(E25:AC25),1)</f>
        <v>388.7</v>
      </c>
      <c r="AG25" s="1257"/>
      <c r="AH25" s="913"/>
      <c r="AI25" s="953">
        <f>+'Exhibit I State'!AG25</f>
        <v>414.40000000000003</v>
      </c>
      <c r="AJ25" s="914"/>
      <c r="AK25" s="915"/>
      <c r="AL25" s="953">
        <f>ROUND(SUM(AF25-AI25),1)</f>
        <v>-25.7</v>
      </c>
      <c r="AM25" s="745"/>
      <c r="AN25" s="271">
        <f>ROUND(IF(AI25=0,0,AL25/ABS(AI25)),3)</f>
        <v>-6.2E-2</v>
      </c>
      <c r="AO25" s="215"/>
      <c r="AP25" s="84"/>
      <c r="AQ25" s="84"/>
      <c r="AR25" s="84"/>
      <c r="AS25" s="84"/>
      <c r="AT25" s="84"/>
    </row>
    <row r="26" spans="1:46" ht="15.75">
      <c r="A26" s="296"/>
      <c r="B26" s="87" t="s">
        <v>562</v>
      </c>
      <c r="C26" s="296"/>
      <c r="D26" s="296"/>
      <c r="E26" s="71">
        <f>ROUND(SUM(E23:E25),1)</f>
        <v>47.7</v>
      </c>
      <c r="F26" s="537"/>
      <c r="G26" s="71">
        <f>ROUND(SUM(G23:G25),1)</f>
        <v>49.7</v>
      </c>
      <c r="H26" s="537"/>
      <c r="I26" s="71">
        <f>ROUND(SUM(I23:I25),1)</f>
        <v>51.7</v>
      </c>
      <c r="J26" s="13"/>
      <c r="K26" s="71">
        <f>ROUND(SUM(K23:K25),1)</f>
        <v>47.4</v>
      </c>
      <c r="L26" s="745"/>
      <c r="M26" s="71">
        <f>ROUND(SUM(M23:M25),1)</f>
        <v>50.7</v>
      </c>
      <c r="N26" s="745"/>
      <c r="O26" s="71">
        <f>ROUND(SUM(O23:O25),1)</f>
        <v>51.9</v>
      </c>
      <c r="P26" s="745"/>
      <c r="Q26" s="71">
        <f>ROUND(SUM(Q23:Q25),1)</f>
        <v>50.5</v>
      </c>
      <c r="R26" s="745"/>
      <c r="S26" s="71">
        <f>ROUND(SUM(S23:S25),1)</f>
        <v>44.4</v>
      </c>
      <c r="T26" s="745"/>
      <c r="U26" s="71">
        <f>ROUND(SUM(U23:U25),1)</f>
        <v>0</v>
      </c>
      <c r="V26" s="745"/>
      <c r="W26" s="71">
        <f>ROUND(SUM(W23:W25),1)</f>
        <v>0</v>
      </c>
      <c r="X26" s="745"/>
      <c r="Y26" s="71">
        <f>ROUND(SUM(Y23:Y25),1)</f>
        <v>0</v>
      </c>
      <c r="Z26" s="745"/>
      <c r="AA26" s="71">
        <f>ROUND(SUM(AA23:AA25),1)</f>
        <v>0</v>
      </c>
      <c r="AB26" s="13"/>
      <c r="AC26" s="71">
        <f>ROUND(SUM(AC23:AC25),1)</f>
        <v>0</v>
      </c>
      <c r="AD26" s="1256"/>
      <c r="AE26" s="745"/>
      <c r="AF26" s="71">
        <f>ROUND(SUM(AF23:AF25),1)</f>
        <v>394</v>
      </c>
      <c r="AG26" s="1257"/>
      <c r="AH26" s="913"/>
      <c r="AI26" s="71">
        <f>ROUND(SUM(AI23:AI25),1)</f>
        <v>420.4</v>
      </c>
      <c r="AJ26" s="914"/>
      <c r="AK26" s="915"/>
      <c r="AL26" s="71">
        <f>ROUND(SUM(AL23:AL25),1)</f>
        <v>-26.4</v>
      </c>
      <c r="AM26" s="745"/>
      <c r="AN26" s="543">
        <f>ROUND(IF(AI26=0,0,AL26/ABS(AI26)),3)</f>
        <v>-6.3E-2</v>
      </c>
      <c r="AO26" s="215"/>
      <c r="AP26" s="84"/>
      <c r="AQ26" s="84"/>
      <c r="AR26" s="84"/>
      <c r="AS26" s="84"/>
      <c r="AT26" s="84"/>
    </row>
    <row r="27" spans="1:46" ht="15.75">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4"/>
      <c r="AF27" s="273"/>
      <c r="AG27" s="1261"/>
      <c r="AH27" s="273"/>
      <c r="AI27" s="273"/>
      <c r="AJ27" s="273"/>
      <c r="AK27" s="96"/>
    </row>
    <row r="28" spans="1:46" ht="15.75">
      <c r="A28" s="296"/>
      <c r="B28" s="289" t="s">
        <v>381</v>
      </c>
      <c r="C28" s="296"/>
      <c r="D28" s="296"/>
      <c r="E28" s="518">
        <f>+'Exhibit I State'!E28</f>
        <v>0</v>
      </c>
      <c r="F28" s="518"/>
      <c r="G28" s="518">
        <f>'Exhibit I State'!G28</f>
        <v>0</v>
      </c>
      <c r="H28" s="518"/>
      <c r="I28" s="518">
        <f>'Exhibit I State'!I28</f>
        <v>25.7</v>
      </c>
      <c r="J28" s="13"/>
      <c r="K28" s="518">
        <f>'Exhibit I State'!K28</f>
        <v>25.8</v>
      </c>
      <c r="L28" s="745"/>
      <c r="M28" s="518">
        <f>'Exhibit I State'!M28</f>
        <v>25.7</v>
      </c>
      <c r="N28" s="745"/>
      <c r="O28" s="518">
        <f>'Exhibit I State'!O28</f>
        <v>25.700000000000006</v>
      </c>
      <c r="P28" s="745"/>
      <c r="Q28" s="518">
        <f>'Exhibit I State'!Q28</f>
        <v>25.799999999999986</v>
      </c>
      <c r="R28" s="745"/>
      <c r="S28" s="518">
        <f>'Exhibit I State'!S28</f>
        <v>25.700000000000006</v>
      </c>
      <c r="T28" s="518"/>
      <c r="U28" s="518"/>
      <c r="V28" s="518"/>
      <c r="W28" s="518"/>
      <c r="X28" s="518"/>
      <c r="Y28" s="518"/>
      <c r="Z28" s="518"/>
      <c r="AA28" s="518"/>
      <c r="AB28" s="518"/>
      <c r="AC28" s="518">
        <v>0</v>
      </c>
      <c r="AD28" s="1256"/>
      <c r="AE28" s="745"/>
      <c r="AF28" s="269">
        <f>ROUND(SUM(E28:AC28),1)</f>
        <v>154.4</v>
      </c>
      <c r="AG28" s="1257"/>
      <c r="AH28" s="913"/>
      <c r="AI28" s="953">
        <f>+'Exhibit I State'!AG28</f>
        <v>154.4</v>
      </c>
      <c r="AJ28" s="914"/>
      <c r="AK28" s="915"/>
      <c r="AL28" s="953">
        <f>ROUND(SUM(AF28-AI28),1)</f>
        <v>0</v>
      </c>
      <c r="AM28" s="745"/>
      <c r="AN28" s="271">
        <f>ROUND(IF(AI28=0,0,AL28/ABS(AI28)),3)</f>
        <v>0</v>
      </c>
      <c r="AO28" s="215"/>
      <c r="AP28" s="84"/>
      <c r="AQ28" s="84"/>
      <c r="AR28" s="84"/>
    </row>
    <row r="29" spans="1:46" ht="15.75">
      <c r="A29" s="296"/>
      <c r="B29" s="87" t="s">
        <v>563</v>
      </c>
      <c r="C29" s="296"/>
      <c r="D29" s="296"/>
      <c r="E29" s="71">
        <f>ROUND(SUM(E28:E28),1)</f>
        <v>0</v>
      </c>
      <c r="F29" s="13"/>
      <c r="G29" s="71">
        <f>ROUND(SUM(G28:G28),1)</f>
        <v>0</v>
      </c>
      <c r="H29" s="13"/>
      <c r="I29" s="71">
        <f>ROUND(SUM(I28:I28),1)</f>
        <v>25.7</v>
      </c>
      <c r="J29" s="13"/>
      <c r="K29" s="71">
        <f>ROUND(SUM(K28:K28),1)</f>
        <v>25.8</v>
      </c>
      <c r="L29" s="745"/>
      <c r="M29" s="71">
        <f>ROUND(SUM(M28:M28),1)</f>
        <v>25.7</v>
      </c>
      <c r="N29" s="745"/>
      <c r="O29" s="71">
        <f>ROUND(SUM(O28:O28),1)</f>
        <v>25.7</v>
      </c>
      <c r="P29" s="745"/>
      <c r="Q29" s="71">
        <f>ROUND(SUM(Q28:Q28),1)</f>
        <v>25.8</v>
      </c>
      <c r="R29" s="745"/>
      <c r="S29" s="71">
        <f>ROUND(SUM(S28:S28),1)</f>
        <v>25.7</v>
      </c>
      <c r="T29" s="745"/>
      <c r="U29" s="71">
        <f>ROUND(SUM(U28:U28),1)</f>
        <v>0</v>
      </c>
      <c r="V29" s="745"/>
      <c r="W29" s="71">
        <f>ROUND(SUM(W28:W28),1)</f>
        <v>0</v>
      </c>
      <c r="X29" s="745"/>
      <c r="Y29" s="71">
        <f>ROUND(SUM(Y28:Y28),1)</f>
        <v>0</v>
      </c>
      <c r="Z29" s="745"/>
      <c r="AA29" s="71">
        <f>ROUND(SUM(AA28:AA28),1)</f>
        <v>0</v>
      </c>
      <c r="AB29" s="13"/>
      <c r="AC29" s="71">
        <f>ROUND(SUM(AC28:AC28),1)</f>
        <v>0</v>
      </c>
      <c r="AD29" s="1256"/>
      <c r="AE29" s="745"/>
      <c r="AF29" s="71">
        <f>ROUND(SUM(AF28:AF28),1)</f>
        <v>154.4</v>
      </c>
      <c r="AG29" s="1257"/>
      <c r="AH29" s="913"/>
      <c r="AI29" s="71">
        <f>ROUND(SUM(AI28:AI28),1)</f>
        <v>154.4</v>
      </c>
      <c r="AJ29" s="914"/>
      <c r="AK29" s="915"/>
      <c r="AL29" s="1115">
        <f>ROUND(SUM(AF29-AI29),1)</f>
        <v>0</v>
      </c>
      <c r="AM29" s="87"/>
      <c r="AN29" s="543">
        <f>ROUND(IF(AI29=0,0,AL29/ABS(AI29)),3)</f>
        <v>0</v>
      </c>
      <c r="AO29" s="215"/>
      <c r="AP29" s="84"/>
      <c r="AQ29" s="84"/>
      <c r="AR29" s="84"/>
    </row>
    <row r="30" spans="1:46" ht="15.75">
      <c r="A30" s="296"/>
      <c r="B30" s="87"/>
      <c r="C30" s="296"/>
      <c r="D30" s="296"/>
      <c r="E30" s="1116"/>
      <c r="F30" s="13"/>
      <c r="G30" s="1116"/>
      <c r="H30" s="13"/>
      <c r="I30" s="1116"/>
      <c r="J30" s="13"/>
      <c r="K30" s="1116"/>
      <c r="L30" s="745"/>
      <c r="M30" s="1116"/>
      <c r="N30" s="745"/>
      <c r="O30" s="1116"/>
      <c r="P30" s="745"/>
      <c r="Q30" s="1116"/>
      <c r="R30" s="745"/>
      <c r="S30" s="1116"/>
      <c r="T30" s="745"/>
      <c r="U30" s="1116"/>
      <c r="V30" s="745"/>
      <c r="W30" s="1116"/>
      <c r="X30" s="745"/>
      <c r="Y30" s="1116"/>
      <c r="Z30" s="745"/>
      <c r="AA30" s="1116"/>
      <c r="AB30" s="13"/>
      <c r="AC30" s="1116"/>
      <c r="AD30" s="1256"/>
      <c r="AE30" s="745"/>
      <c r="AF30" s="1116"/>
      <c r="AG30" s="1257"/>
      <c r="AH30" s="913"/>
      <c r="AI30" s="913"/>
      <c r="AJ30" s="914"/>
      <c r="AK30" s="915"/>
      <c r="AL30" s="913"/>
      <c r="AM30" s="745"/>
      <c r="AN30" s="745"/>
      <c r="AO30" s="215"/>
      <c r="AP30" s="84"/>
      <c r="AQ30" s="84"/>
      <c r="AR30" s="84"/>
    </row>
    <row r="31" spans="1:46" ht="15.75">
      <c r="A31" s="296"/>
      <c r="B31" s="87" t="s">
        <v>385</v>
      </c>
      <c r="C31" s="296"/>
      <c r="D31" s="296"/>
      <c r="E31" s="1058">
        <f>ROUND(SUM(E9+E26+E21+E29),1)</f>
        <v>94.9</v>
      </c>
      <c r="F31" s="269"/>
      <c r="G31" s="1058">
        <f>ROUND(SUM(G9+G26+G21+G29),1)</f>
        <v>93.4</v>
      </c>
      <c r="H31" s="269"/>
      <c r="I31" s="1058">
        <f>ROUND(SUM(I9+I26+I21+I29),1)</f>
        <v>144</v>
      </c>
      <c r="J31" s="269"/>
      <c r="K31" s="1058">
        <f>ROUND(SUM(K9+K26+K21+K29),1)</f>
        <v>117.1</v>
      </c>
      <c r="L31" s="745"/>
      <c r="M31" s="1058">
        <f>ROUND(SUM(M9+M26+M21+M29),1)</f>
        <v>121.5</v>
      </c>
      <c r="N31" s="745"/>
      <c r="O31" s="1058">
        <f>ROUND(SUM(O9+O26+O21+O29),1)</f>
        <v>151.80000000000001</v>
      </c>
      <c r="P31" s="745"/>
      <c r="Q31" s="1058">
        <f>ROUND(SUM(Q9+Q26+Q21+Q29),1)</f>
        <v>123.2</v>
      </c>
      <c r="R31" s="745"/>
      <c r="S31" s="1031">
        <f>ROUND(SUM(S9+S26+S21+S29),1)</f>
        <v>109.4</v>
      </c>
      <c r="T31" s="745"/>
      <c r="U31" s="1031">
        <f>ROUND(SUM(U9+U26+U21+U29),1)</f>
        <v>0</v>
      </c>
      <c r="V31" s="745"/>
      <c r="W31" s="1031">
        <f>ROUND(SUM(W9+W26+W21+W29),1)</f>
        <v>0</v>
      </c>
      <c r="X31" s="745"/>
      <c r="Y31" s="1031">
        <f>ROUND(SUM(Y9+Y26+Y21+Y29),1)</f>
        <v>0</v>
      </c>
      <c r="Z31" s="745"/>
      <c r="AA31" s="1031">
        <f>ROUND(SUM(AA9+AA26+AA21+AA29),1)</f>
        <v>0</v>
      </c>
      <c r="AB31" s="420"/>
      <c r="AC31" s="1031">
        <f>ROUND(SUM(AC13+AC26+AC21+AC29),1)</f>
        <v>0</v>
      </c>
      <c r="AD31" s="1256"/>
      <c r="AE31" s="745"/>
      <c r="AF31" s="1031">
        <f>ROUND(SUM(AF26+AF21+AF29),1)</f>
        <v>955.3</v>
      </c>
      <c r="AG31" s="1257"/>
      <c r="AH31" s="913"/>
      <c r="AI31" s="1031">
        <f>ROUND(SUM(AI26+AI21+AI29),1)</f>
        <v>985.6</v>
      </c>
      <c r="AJ31" s="914"/>
      <c r="AK31" s="915"/>
      <c r="AL31" s="1077">
        <f>ROUND(SUM(AF31-AI31),1)</f>
        <v>-30.3</v>
      </c>
      <c r="AM31" s="87"/>
      <c r="AN31" s="544">
        <f>ROUND(IF(AI31=0,0,AL31/ABS(AI31)),3)</f>
        <v>-3.1E-2</v>
      </c>
      <c r="AO31" s="215"/>
      <c r="AP31" s="84"/>
      <c r="AQ31" s="84"/>
      <c r="AR31" s="84"/>
    </row>
    <row r="32" spans="1:46" ht="15.75">
      <c r="A32" s="296"/>
      <c r="B32" s="87"/>
      <c r="C32" s="296"/>
      <c r="D32" s="296"/>
      <c r="E32" s="616"/>
      <c r="F32" s="269"/>
      <c r="G32" s="616"/>
      <c r="H32" s="269"/>
      <c r="I32" s="616"/>
      <c r="J32" s="269"/>
      <c r="K32" s="616"/>
      <c r="L32" s="745"/>
      <c r="M32" s="616"/>
      <c r="N32" s="745"/>
      <c r="O32" s="616"/>
      <c r="P32" s="745"/>
      <c r="Q32" s="616"/>
      <c r="R32" s="745"/>
      <c r="S32" s="420"/>
      <c r="T32" s="745"/>
      <c r="U32" s="420"/>
      <c r="V32" s="745"/>
      <c r="W32" s="420"/>
      <c r="X32" s="745"/>
      <c r="Y32" s="420"/>
      <c r="Z32" s="745"/>
      <c r="AA32" s="420"/>
      <c r="AB32" s="420"/>
      <c r="AC32" s="420"/>
      <c r="AD32" s="1256"/>
      <c r="AE32" s="745"/>
      <c r="AF32" s="420"/>
      <c r="AG32" s="1257"/>
      <c r="AH32" s="913"/>
      <c r="AI32" s="420"/>
      <c r="AJ32" s="914"/>
      <c r="AK32" s="915"/>
      <c r="AL32" s="419"/>
      <c r="AM32" s="87"/>
      <c r="AN32" s="286"/>
      <c r="AO32" s="215"/>
      <c r="AP32" s="84"/>
      <c r="AQ32" s="84"/>
      <c r="AR32" s="84"/>
    </row>
    <row r="33" spans="1:40" ht="15.75">
      <c r="A33" s="296"/>
      <c r="B33" s="1235"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2"/>
      <c r="AH33" s="372"/>
      <c r="AI33" s="2008"/>
      <c r="AJ33" s="292"/>
      <c r="AK33" s="101"/>
      <c r="AL33" s="12"/>
      <c r="AM33" s="99"/>
      <c r="AN33" s="271"/>
    </row>
    <row r="34" spans="1:40" ht="15.75">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2"/>
      <c r="AH34" s="372"/>
      <c r="AI34" s="2008"/>
      <c r="AJ34" s="292"/>
      <c r="AK34" s="101"/>
      <c r="AL34" s="12"/>
      <c r="AM34" s="99"/>
      <c r="AN34" s="271"/>
    </row>
    <row r="35" spans="1:40" ht="15.75">
      <c r="A35" s="296"/>
      <c r="B35" s="355" t="s">
        <v>1491</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f>'Exhibit I State'!M35+'Exhibit I Federal'!M18</f>
        <v>0</v>
      </c>
      <c r="N35" s="269"/>
      <c r="O35" s="280">
        <f>'Exhibit I State'!O35+'Exhibit I Federal'!O18</f>
        <v>0</v>
      </c>
      <c r="P35" s="269"/>
      <c r="Q35" s="280">
        <f>'Exhibit I State'!Q35+'Exhibit I Federal'!Q18</f>
        <v>0</v>
      </c>
      <c r="R35" s="269"/>
      <c r="S35" s="280">
        <f>'Exhibit I State'!S35+'Exhibit I Federal'!S18</f>
        <v>0</v>
      </c>
      <c r="T35" s="280"/>
      <c r="U35" s="280"/>
      <c r="V35" s="280"/>
      <c r="W35" s="280"/>
      <c r="X35" s="280"/>
      <c r="Y35" s="280"/>
      <c r="Z35" s="280"/>
      <c r="AA35" s="280"/>
      <c r="AB35" s="280"/>
      <c r="AC35" s="280">
        <v>0</v>
      </c>
      <c r="AD35" s="269"/>
      <c r="AE35" s="529"/>
      <c r="AF35" s="294">
        <f>ROUND(SUM(E35:AC35),1)</f>
        <v>0</v>
      </c>
      <c r="AG35" s="1262"/>
      <c r="AH35" s="372"/>
      <c r="AI35" s="2008">
        <f>+'Exhibit I State'!AG35+'Exhibit I Federal'!AG18</f>
        <v>0</v>
      </c>
      <c r="AJ35" s="292"/>
      <c r="AK35" s="101"/>
      <c r="AL35" s="12">
        <f t="shared" ref="AL35" si="0">ROUND(SUM(+AF35-AI35),1)</f>
        <v>0</v>
      </c>
      <c r="AM35" s="99"/>
      <c r="AN35" s="271">
        <f>ROUND(IF(AI35=0,0,AL35/ABS(AI35)),3)</f>
        <v>0</v>
      </c>
    </row>
    <row r="36" spans="1:40" ht="15.75">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f>'Exhibit I State'!M36+'Exhibit I Federal'!M19</f>
        <v>0</v>
      </c>
      <c r="N36" s="269"/>
      <c r="O36" s="280">
        <f>'Exhibit I State'!O36+'Exhibit I Federal'!O19</f>
        <v>0</v>
      </c>
      <c r="P36" s="269"/>
      <c r="Q36" s="280">
        <f>'Exhibit I State'!Q36+'Exhibit I Federal'!Q19</f>
        <v>0</v>
      </c>
      <c r="R36" s="269"/>
      <c r="S36" s="280">
        <f>'Exhibit I State'!S36+'Exhibit I Federal'!S19</f>
        <v>0</v>
      </c>
      <c r="T36" s="280"/>
      <c r="U36" s="280"/>
      <c r="V36" s="280"/>
      <c r="W36" s="280"/>
      <c r="X36" s="280"/>
      <c r="Y36" s="280"/>
      <c r="Z36" s="280"/>
      <c r="AA36" s="280"/>
      <c r="AB36" s="280"/>
      <c r="AC36" s="280">
        <v>0</v>
      </c>
      <c r="AD36" s="269"/>
      <c r="AE36" s="529"/>
      <c r="AF36" s="294">
        <f>ROUND(SUM(E36:AC36),1)</f>
        <v>23</v>
      </c>
      <c r="AG36" s="1262"/>
      <c r="AH36" s="372"/>
      <c r="AI36" s="2008">
        <f>+'Exhibit I State'!AG36+'Exhibit I Federal'!AG19</f>
        <v>23</v>
      </c>
      <c r="AJ36" s="292"/>
      <c r="AK36" s="101"/>
      <c r="AL36" s="12">
        <f t="shared" ref="AL36:AL59" si="1">ROUND(SUM(+AF36-AI36),1)</f>
        <v>0</v>
      </c>
      <c r="AM36" s="99"/>
      <c r="AN36" s="271">
        <f>ROUND(IF(AI36=0,1,AL36/ABS(AI36)),3)</f>
        <v>0</v>
      </c>
    </row>
    <row r="37" spans="1:40" ht="15.75">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2"/>
      <c r="AH37" s="372"/>
      <c r="AI37" s="2008"/>
      <c r="AJ37" s="292"/>
      <c r="AK37" s="101"/>
      <c r="AL37" s="12"/>
      <c r="AM37" s="99"/>
      <c r="AN37" s="271"/>
    </row>
    <row r="38" spans="1:40" ht="15.75">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f>'Exhibit I State'!M38+'Exhibit I Federal'!M21</f>
        <v>5.200000000000002</v>
      </c>
      <c r="N38" s="269"/>
      <c r="O38" s="280">
        <f>'Exhibit I State'!O38+'Exhibit I Federal'!O21</f>
        <v>4.8999999999999977</v>
      </c>
      <c r="P38" s="269"/>
      <c r="Q38" s="280">
        <f>'Exhibit I State'!Q38+'Exhibit I Federal'!Q21</f>
        <v>5.1000000000000005</v>
      </c>
      <c r="R38" s="269"/>
      <c r="S38" s="280">
        <f>'Exhibit I State'!S38+'Exhibit I Federal'!S21</f>
        <v>5.1000000000000005</v>
      </c>
      <c r="T38" s="280"/>
      <c r="U38" s="280"/>
      <c r="V38" s="280"/>
      <c r="W38" s="280"/>
      <c r="X38" s="280"/>
      <c r="Y38" s="280"/>
      <c r="Z38" s="280"/>
      <c r="AA38" s="280"/>
      <c r="AB38" s="280"/>
      <c r="AC38" s="280">
        <v>0</v>
      </c>
      <c r="AD38" s="269"/>
      <c r="AE38" s="529"/>
      <c r="AF38" s="294">
        <f>ROUND(SUM(E38:AC38),1)</f>
        <v>41.7</v>
      </c>
      <c r="AG38" s="1262"/>
      <c r="AH38" s="372"/>
      <c r="AI38" s="2008">
        <f>+'Exhibit I State'!AG38+'Exhibit I Federal'!AG21</f>
        <v>42.1</v>
      </c>
      <c r="AJ38" s="292"/>
      <c r="AK38" s="101"/>
      <c r="AL38" s="12">
        <f t="shared" si="1"/>
        <v>-0.4</v>
      </c>
      <c r="AM38" s="99"/>
      <c r="AN38" s="271">
        <f>ROUND(IF(AI38=0,0,AL38/ABS(AI38)),3)</f>
        <v>-0.01</v>
      </c>
    </row>
    <row r="39" spans="1:40" ht="15.75">
      <c r="A39" s="296"/>
      <c r="B39" s="355" t="s">
        <v>395</v>
      </c>
      <c r="C39" s="296"/>
      <c r="D39" s="296"/>
      <c r="E39" s="280"/>
      <c r="F39" s="280"/>
      <c r="G39" s="280"/>
      <c r="H39" s="280"/>
      <c r="I39" s="280"/>
      <c r="J39" s="269"/>
      <c r="K39" s="280" t="s">
        <v>103</v>
      </c>
      <c r="L39" s="269"/>
      <c r="M39" s="280" t="s">
        <v>103</v>
      </c>
      <c r="N39" s="269"/>
      <c r="O39" s="280" t="s">
        <v>103</v>
      </c>
      <c r="P39" s="269"/>
      <c r="Q39" s="280" t="s">
        <v>103</v>
      </c>
      <c r="R39" s="269"/>
      <c r="S39" s="280" t="s">
        <v>103</v>
      </c>
      <c r="T39" s="280"/>
      <c r="U39" s="280"/>
      <c r="V39" s="280"/>
      <c r="W39" s="280"/>
      <c r="X39" s="280"/>
      <c r="Y39" s="280"/>
      <c r="Z39" s="280"/>
      <c r="AA39" s="280"/>
      <c r="AB39" s="280"/>
      <c r="AC39" s="280"/>
      <c r="AD39" s="269"/>
      <c r="AE39" s="529"/>
      <c r="AF39" s="294"/>
      <c r="AG39" s="1262"/>
      <c r="AH39" s="372"/>
      <c r="AI39" s="2008"/>
      <c r="AJ39" s="292"/>
      <c r="AK39" s="101"/>
      <c r="AL39" s="12"/>
      <c r="AM39" s="99"/>
      <c r="AN39" s="271"/>
    </row>
    <row r="40" spans="1:40" ht="15.75">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f>'Exhibit I State'!M40+'Exhibit I Federal'!M23</f>
        <v>1.1999999999999993</v>
      </c>
      <c r="N40" s="269"/>
      <c r="O40" s="280">
        <f>'Exhibit I State'!O40+'Exhibit I Federal'!O23</f>
        <v>1.4000000000000004</v>
      </c>
      <c r="P40" s="269"/>
      <c r="Q40" s="280">
        <f>'Exhibit I State'!Q40+'Exhibit I Federal'!Q23</f>
        <v>4.5000000000000009</v>
      </c>
      <c r="R40" s="269"/>
      <c r="S40" s="280">
        <f>'Exhibit I State'!S40+'Exhibit I Federal'!S23</f>
        <v>2.4000000000000004</v>
      </c>
      <c r="T40" s="280"/>
      <c r="U40" s="280"/>
      <c r="V40" s="280"/>
      <c r="W40" s="280"/>
      <c r="X40" s="280"/>
      <c r="Y40" s="280"/>
      <c r="Z40" s="280"/>
      <c r="AA40" s="280"/>
      <c r="AB40" s="280"/>
      <c r="AC40" s="280">
        <v>0</v>
      </c>
      <c r="AD40" s="269"/>
      <c r="AE40" s="529"/>
      <c r="AF40" s="294">
        <f t="shared" ref="AF40:AF43" si="2">ROUND(SUM(E40:AC40),1)</f>
        <v>14.9</v>
      </c>
      <c r="AG40" s="1262"/>
      <c r="AH40" s="372"/>
      <c r="AI40" s="2008">
        <f>+'Exhibit I State'!AG40+'Exhibit I Federal'!AG23</f>
        <v>28.2</v>
      </c>
      <c r="AJ40" s="292"/>
      <c r="AK40" s="101"/>
      <c r="AL40" s="12">
        <f t="shared" si="1"/>
        <v>-13.3</v>
      </c>
      <c r="AM40" s="99"/>
      <c r="AN40" s="271">
        <f>ROUND(IF(AI40=0,0,AL40/ABS(AI40)),3)</f>
        <v>-0.47199999999999998</v>
      </c>
    </row>
    <row r="41" spans="1:40" ht="15.75">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f>'Exhibit I State'!M41+'Exhibit I Federal'!M24</f>
        <v>0</v>
      </c>
      <c r="N41" s="269"/>
      <c r="O41" s="280">
        <f>'Exhibit I State'!O41+'Exhibit I Federal'!O24</f>
        <v>0</v>
      </c>
      <c r="P41" s="269"/>
      <c r="Q41" s="280">
        <f>'Exhibit I State'!Q41+'Exhibit I Federal'!Q24</f>
        <v>0</v>
      </c>
      <c r="R41" s="269"/>
      <c r="S41" s="280">
        <f>'Exhibit I State'!S41+'Exhibit I Federal'!S24</f>
        <v>0</v>
      </c>
      <c r="T41" s="280"/>
      <c r="U41" s="280"/>
      <c r="V41" s="280"/>
      <c r="W41" s="280"/>
      <c r="X41" s="280"/>
      <c r="Y41" s="280"/>
      <c r="Z41" s="280"/>
      <c r="AA41" s="280"/>
      <c r="AB41" s="280"/>
      <c r="AC41" s="280">
        <v>0</v>
      </c>
      <c r="AD41" s="269"/>
      <c r="AE41" s="529"/>
      <c r="AF41" s="294">
        <f t="shared" si="2"/>
        <v>0</v>
      </c>
      <c r="AG41" s="1262"/>
      <c r="AH41" s="372"/>
      <c r="AI41" s="2008">
        <f>+'Exhibit I State'!AG41+'Exhibit I Federal'!AG24</f>
        <v>0</v>
      </c>
      <c r="AJ41" s="292"/>
      <c r="AK41" s="101"/>
      <c r="AL41" s="12">
        <f>ROUND(SUM(+AF41-AI41),1)</f>
        <v>0</v>
      </c>
      <c r="AM41" s="99"/>
      <c r="AN41" s="271">
        <f>ROUND(IF(AI41=0,0,AL41/ABS(AI41)),3)</f>
        <v>0</v>
      </c>
    </row>
    <row r="42" spans="1:40" ht="15.75">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f>'Exhibit I State'!M42+'Exhibit I Federal'!M25</f>
        <v>59.800000000000054</v>
      </c>
      <c r="N42" s="269"/>
      <c r="O42" s="280">
        <f>'Exhibit I State'!O42+'Exhibit I Federal'!O25</f>
        <v>57.599999999999952</v>
      </c>
      <c r="P42" s="269"/>
      <c r="Q42" s="280">
        <f>'Exhibit I State'!Q42+'Exhibit I Federal'!Q25</f>
        <v>96.600000000000023</v>
      </c>
      <c r="R42" s="269"/>
      <c r="S42" s="280">
        <f>'Exhibit I State'!S42+'Exhibit I Federal'!S25</f>
        <v>51.29999999999994</v>
      </c>
      <c r="T42" s="280"/>
      <c r="U42" s="280"/>
      <c r="V42" s="280"/>
      <c r="W42" s="280"/>
      <c r="X42" s="280"/>
      <c r="Y42" s="280"/>
      <c r="Z42" s="280"/>
      <c r="AA42" s="280"/>
      <c r="AB42" s="280"/>
      <c r="AC42" s="280">
        <v>0</v>
      </c>
      <c r="AD42" s="269"/>
      <c r="AE42" s="529"/>
      <c r="AF42" s="294">
        <f>ROUND(SUM(E42:AC42),1)</f>
        <v>510.6</v>
      </c>
      <c r="AG42" s="1262"/>
      <c r="AH42" s="372"/>
      <c r="AI42" s="2008">
        <f>+'Exhibit I State'!AG42+'Exhibit I Federal'!AG25</f>
        <v>457.8</v>
      </c>
      <c r="AJ42" s="292"/>
      <c r="AK42" s="101"/>
      <c r="AL42" s="12">
        <f t="shared" si="1"/>
        <v>52.8</v>
      </c>
      <c r="AM42" s="99"/>
      <c r="AN42" s="271">
        <f>ROUND(IF(AI42=0,0,AL42/ABS(AI42)),3)</f>
        <v>0.115</v>
      </c>
    </row>
    <row r="43" spans="1:40" ht="15.75">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f>'Exhibit I State'!M43+'Exhibit I Federal'!M26</f>
        <v>6.3000000000000007</v>
      </c>
      <c r="N43" s="269"/>
      <c r="O43" s="280">
        <f>'Exhibit I State'!O43+'Exhibit I Federal'!O26</f>
        <v>1.3999999999999986</v>
      </c>
      <c r="P43" s="269"/>
      <c r="Q43" s="280">
        <f>'Exhibit I State'!Q43+'Exhibit I Federal'!Q26</f>
        <v>2.1000000000000014</v>
      </c>
      <c r="R43" s="269"/>
      <c r="S43" s="280">
        <f>'Exhibit I State'!S43+'Exhibit I Federal'!S26</f>
        <v>0</v>
      </c>
      <c r="T43" s="280"/>
      <c r="U43" s="280"/>
      <c r="V43" s="280"/>
      <c r="W43" s="280"/>
      <c r="X43" s="280"/>
      <c r="Y43" s="280"/>
      <c r="Z43" s="280"/>
      <c r="AA43" s="280"/>
      <c r="AB43" s="280"/>
      <c r="AC43" s="280">
        <v>0</v>
      </c>
      <c r="AD43" s="269"/>
      <c r="AE43" s="529"/>
      <c r="AF43" s="294">
        <f t="shared" si="2"/>
        <v>23.5</v>
      </c>
      <c r="AG43" s="1262"/>
      <c r="AH43" s="372"/>
      <c r="AI43" s="2008">
        <f>+'Exhibit I State'!AG43+'Exhibit I Federal'!AG26</f>
        <v>22</v>
      </c>
      <c r="AJ43" s="292"/>
      <c r="AK43" s="101"/>
      <c r="AL43" s="269">
        <f>ROUND(SUM(+AF43-AI43),1)</f>
        <v>1.5</v>
      </c>
      <c r="AM43" s="269"/>
      <c r="AN43" s="548">
        <f>ROUND(IF(AI43=0,1,AL43/ABS(AI43)),3)</f>
        <v>6.8000000000000005E-2</v>
      </c>
    </row>
    <row r="44" spans="1:40" ht="15.75">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f>'Exhibit I State'!M44+'Exhibit I Federal'!M27</f>
        <v>1.4000000000000012</v>
      </c>
      <c r="N44" s="269"/>
      <c r="O44" s="280">
        <f>'Exhibit I State'!O44+'Exhibit I Federal'!O27</f>
        <v>2.0999999999999979</v>
      </c>
      <c r="P44" s="269"/>
      <c r="Q44" s="280">
        <f>'Exhibit I State'!Q44+'Exhibit I Federal'!Q27</f>
        <v>2.1999999999999993</v>
      </c>
      <c r="R44" s="269"/>
      <c r="S44" s="280">
        <f>'Exhibit I State'!S44+'Exhibit I Federal'!S27</f>
        <v>12.799999999999997</v>
      </c>
      <c r="T44" s="280"/>
      <c r="U44" s="280"/>
      <c r="V44" s="280"/>
      <c r="W44" s="280"/>
      <c r="X44" s="280"/>
      <c r="Y44" s="280"/>
      <c r="Z44" s="280"/>
      <c r="AA44" s="280"/>
      <c r="AB44" s="280"/>
      <c r="AC44" s="280">
        <v>0</v>
      </c>
      <c r="AD44" s="269"/>
      <c r="AE44" s="529"/>
      <c r="AF44" s="294">
        <f>ROUND(SUM(E44:AC44),1)</f>
        <v>28</v>
      </c>
      <c r="AG44" s="1262"/>
      <c r="AH44" s="372"/>
      <c r="AI44" s="2008">
        <f>+'Exhibit I State'!AG44+'Exhibit I Federal'!AG27</f>
        <v>29.5</v>
      </c>
      <c r="AJ44" s="292"/>
      <c r="AK44" s="101"/>
      <c r="AL44" s="12">
        <f t="shared" si="1"/>
        <v>-1.5</v>
      </c>
      <c r="AM44" s="99"/>
      <c r="AN44" s="548">
        <f>ROUND(IF(AI44=0,1,AL44/ABS(AI44)),3)</f>
        <v>-5.0999999999999997E-2</v>
      </c>
    </row>
    <row r="45" spans="1:40" ht="15.75">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f>'Exhibit I State'!M45+'Exhibit I Federal'!M28</f>
        <v>4.9000000000000004</v>
      </c>
      <c r="N45" s="269"/>
      <c r="O45" s="280">
        <f>'Exhibit I State'!O45+'Exhibit I Federal'!O28</f>
        <v>4.5999999999999979</v>
      </c>
      <c r="P45" s="269"/>
      <c r="Q45" s="280">
        <f>'Exhibit I State'!Q45+'Exhibit I Federal'!Q28</f>
        <v>4.4999999999999982</v>
      </c>
      <c r="R45" s="269"/>
      <c r="S45" s="280">
        <f>'Exhibit I State'!S45+'Exhibit I Federal'!S28</f>
        <v>4.4000000000000021</v>
      </c>
      <c r="T45" s="280"/>
      <c r="U45" s="280"/>
      <c r="V45" s="280"/>
      <c r="W45" s="280"/>
      <c r="X45" s="280"/>
      <c r="Y45" s="280"/>
      <c r="Z45" s="280"/>
      <c r="AA45" s="280"/>
      <c r="AB45" s="280"/>
      <c r="AC45" s="280">
        <v>0</v>
      </c>
      <c r="AD45" s="269"/>
      <c r="AE45" s="529"/>
      <c r="AF45" s="294">
        <f>ROUND(SUM(E45:AC45),1)</f>
        <v>34.799999999999997</v>
      </c>
      <c r="AG45" s="1262"/>
      <c r="AH45" s="372"/>
      <c r="AI45" s="2008">
        <f>+'Exhibit I State'!AG45+'Exhibit I Federal'!AG28</f>
        <v>33.1</v>
      </c>
      <c r="AJ45" s="292"/>
      <c r="AK45" s="101"/>
      <c r="AL45" s="12">
        <f>ROUND(SUM(+AF45-AI45),1)</f>
        <v>1.7</v>
      </c>
      <c r="AM45" s="99"/>
      <c r="AN45" s="548">
        <f>ROUND(IF(AI45=0,1,AL45/ABS(AI45)),3)</f>
        <v>5.0999999999999997E-2</v>
      </c>
    </row>
    <row r="46" spans="1:40" ht="15.75">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f>'Exhibit I State'!M46+'Exhibit I Federal'!M29</f>
        <v>0</v>
      </c>
      <c r="N46" s="269"/>
      <c r="O46" s="280">
        <f>'Exhibit I State'!O46+'Exhibit I Federal'!O29</f>
        <v>0</v>
      </c>
      <c r="P46" s="269"/>
      <c r="Q46" s="280">
        <f>'Exhibit I State'!Q46+'Exhibit I Federal'!Q29</f>
        <v>0</v>
      </c>
      <c r="R46" s="269"/>
      <c r="S46" s="280">
        <f>'Exhibit I State'!S46+'Exhibit I Federal'!S29</f>
        <v>0</v>
      </c>
      <c r="T46" s="280"/>
      <c r="U46" s="280"/>
      <c r="V46" s="280"/>
      <c r="W46" s="280"/>
      <c r="X46" s="280"/>
      <c r="Y46" s="280"/>
      <c r="Z46" s="280"/>
      <c r="AA46" s="280"/>
      <c r="AB46" s="280"/>
      <c r="AC46" s="280">
        <v>0</v>
      </c>
      <c r="AD46" s="269"/>
      <c r="AE46" s="529"/>
      <c r="AF46" s="294">
        <f>ROUND(SUM(E46:AC46),1)</f>
        <v>0</v>
      </c>
      <c r="AG46" s="1262"/>
      <c r="AH46" s="372"/>
      <c r="AI46" s="2008">
        <f>+'Exhibit I State'!AG46+'Exhibit I Federal'!AG29</f>
        <v>0.5</v>
      </c>
      <c r="AJ46" s="292"/>
      <c r="AK46" s="101"/>
      <c r="AL46" s="12">
        <f>ROUND(SUM(+AF46-AI46),1)</f>
        <v>-0.5</v>
      </c>
      <c r="AM46" s="99"/>
      <c r="AN46" s="548">
        <f>ROUND(IF(AI46=0,0,AL46/ABS(AI46)),3)</f>
        <v>-1</v>
      </c>
    </row>
    <row r="47" spans="1:40" ht="15.75">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2"/>
      <c r="AH47" s="372"/>
      <c r="AI47" s="2008"/>
      <c r="AJ47" s="292"/>
      <c r="AK47" s="101"/>
      <c r="AL47" s="12"/>
      <c r="AM47" s="99"/>
      <c r="AN47" s="379"/>
    </row>
    <row r="48" spans="1:40" ht="15.75">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f>'Exhibit I State'!M48+'Exhibit I Federal'!M31</f>
        <v>0.39999999999977831</v>
      </c>
      <c r="N48" s="269"/>
      <c r="O48" s="280">
        <f>'Exhibit I State'!O48+'Exhibit I Federal'!O31</f>
        <v>8.9999999999999432</v>
      </c>
      <c r="P48" s="269"/>
      <c r="Q48" s="280">
        <f>'Exhibit I State'!Q48+'Exhibit I Federal'!Q31</f>
        <v>354.29999999999984</v>
      </c>
      <c r="R48" s="269"/>
      <c r="S48" s="280">
        <f>'Exhibit I State'!S48+'Exhibit I Federal'!S31</f>
        <v>0.50000000000008527</v>
      </c>
      <c r="T48" s="280"/>
      <c r="U48" s="280"/>
      <c r="V48" s="280"/>
      <c r="W48" s="280"/>
      <c r="X48" s="280"/>
      <c r="Y48" s="280"/>
      <c r="Z48" s="280"/>
      <c r="AA48" s="280"/>
      <c r="AB48" s="280"/>
      <c r="AC48" s="280">
        <v>0</v>
      </c>
      <c r="AD48" s="269"/>
      <c r="AE48" s="529"/>
      <c r="AF48" s="294">
        <f>ROUND(SUM(E48:AC48),1)</f>
        <v>1537.1</v>
      </c>
      <c r="AG48" s="1262"/>
      <c r="AH48" s="372"/>
      <c r="AI48" s="2008">
        <f>+'Exhibit I State'!AG48+'Exhibit I Federal'!AG31</f>
        <v>2478.1999999999998</v>
      </c>
      <c r="AJ48" s="292"/>
      <c r="AK48" s="101"/>
      <c r="AL48" s="12">
        <f t="shared" si="1"/>
        <v>-941.1</v>
      </c>
      <c r="AM48" s="99"/>
      <c r="AN48" s="553">
        <f>ROUND(IF(AI48=0,1,AL48/ABS(AI48)),3)</f>
        <v>-0.38</v>
      </c>
    </row>
    <row r="49" spans="1:44" ht="15.75">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f>'Exhibit I State'!M49+'Exhibit I Federal'!M32</f>
        <v>0</v>
      </c>
      <c r="N49" s="280"/>
      <c r="O49" s="280">
        <f>'Exhibit I State'!O49+'Exhibit I Federal'!O32</f>
        <v>0</v>
      </c>
      <c r="P49" s="280"/>
      <c r="Q49" s="280">
        <f>'Exhibit I State'!Q49+'Exhibit I Federal'!Q32</f>
        <v>0</v>
      </c>
      <c r="R49" s="269"/>
      <c r="S49" s="280">
        <f>'Exhibit I State'!S49+'Exhibit I Federal'!S32</f>
        <v>0</v>
      </c>
      <c r="T49" s="280"/>
      <c r="U49" s="280"/>
      <c r="V49" s="280"/>
      <c r="W49" s="280"/>
      <c r="X49" s="280"/>
      <c r="Y49" s="280"/>
      <c r="Z49" s="280"/>
      <c r="AA49" s="280"/>
      <c r="AB49" s="280"/>
      <c r="AC49" s="280">
        <v>0</v>
      </c>
      <c r="AD49" s="269"/>
      <c r="AE49" s="529"/>
      <c r="AF49" s="294">
        <f>ROUND(SUM(E49:AC49),1)</f>
        <v>0</v>
      </c>
      <c r="AG49" s="1262"/>
      <c r="AH49" s="372"/>
      <c r="AI49" s="2008">
        <f>+'Exhibit I State'!AG49+'Exhibit I Federal'!AG32</f>
        <v>0</v>
      </c>
      <c r="AJ49" s="292"/>
      <c r="AK49" s="101"/>
      <c r="AL49" s="12">
        <f t="shared" si="1"/>
        <v>0</v>
      </c>
      <c r="AM49" s="99"/>
      <c r="AN49" s="271">
        <f>ROUND(IF(AI49=0,0,AL49/ABS(AI49)),3)</f>
        <v>0</v>
      </c>
    </row>
    <row r="50" spans="1:44" ht="15.75">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f>'Exhibit I State'!M50+'Exhibit I Federal'!M33</f>
        <v>0.1999999999999944</v>
      </c>
      <c r="N50" s="269"/>
      <c r="O50" s="280">
        <f>'Exhibit I State'!O50+'Exhibit I Federal'!O33</f>
        <v>1.0000000000000058</v>
      </c>
      <c r="P50" s="269"/>
      <c r="Q50" s="280">
        <f>'Exhibit I State'!Q50+'Exhibit I Federal'!Q33</f>
        <v>41.000000000000014</v>
      </c>
      <c r="R50" s="269"/>
      <c r="S50" s="280">
        <f>'Exhibit I State'!S50+'Exhibit I Federal'!S33</f>
        <v>0.29999999999999405</v>
      </c>
      <c r="T50" s="280"/>
      <c r="U50" s="280"/>
      <c r="V50" s="280"/>
      <c r="W50" s="280"/>
      <c r="X50" s="280"/>
      <c r="Y50" s="280"/>
      <c r="Z50" s="280"/>
      <c r="AA50" s="280"/>
      <c r="AB50" s="280"/>
      <c r="AC50" s="280">
        <v>0</v>
      </c>
      <c r="AD50" s="269"/>
      <c r="AE50" s="529"/>
      <c r="AF50" s="294">
        <f>ROUND(SUM(E50:AC50),1)</f>
        <v>182.9</v>
      </c>
      <c r="AG50" s="1262"/>
      <c r="AH50" s="372"/>
      <c r="AI50" s="2008">
        <f>+'Exhibit I State'!AG50+'Exhibit I Federal'!AG33</f>
        <v>1.9</v>
      </c>
      <c r="AJ50" s="292"/>
      <c r="AK50" s="101"/>
      <c r="AL50" s="12">
        <f t="shared" si="1"/>
        <v>181</v>
      </c>
      <c r="AM50" s="99"/>
      <c r="AN50" s="567">
        <f>ROUND(IF(AI50=0,1,AL50/ABS(AI50)),3)</f>
        <v>95.263000000000005</v>
      </c>
    </row>
    <row r="51" spans="1:44" ht="15.75">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f>'Exhibit I State'!M51+'Exhibit I Federal'!M34</f>
        <v>1.6</v>
      </c>
      <c r="N51" s="269"/>
      <c r="O51" s="280">
        <f>'Exhibit I State'!O51+'Exhibit I Federal'!O34</f>
        <v>1.5000000000000004</v>
      </c>
      <c r="P51" s="269"/>
      <c r="Q51" s="280">
        <f>'Exhibit I State'!Q51+'Exhibit I Federal'!Q34</f>
        <v>0.70000000000000018</v>
      </c>
      <c r="R51" s="269"/>
      <c r="S51" s="280">
        <f>'Exhibit I State'!S51+'Exhibit I Federal'!S34</f>
        <v>0.99999999999999911</v>
      </c>
      <c r="T51" s="280"/>
      <c r="U51" s="280"/>
      <c r="V51" s="280"/>
      <c r="W51" s="280"/>
      <c r="X51" s="280"/>
      <c r="Y51" s="280"/>
      <c r="Z51" s="280"/>
      <c r="AA51" s="280"/>
      <c r="AB51" s="280"/>
      <c r="AC51" s="280">
        <v>0</v>
      </c>
      <c r="AD51" s="269"/>
      <c r="AE51" s="529"/>
      <c r="AF51" s="294">
        <f>ROUND(SUM(E51:AC51),1)</f>
        <v>10</v>
      </c>
      <c r="AG51" s="1262"/>
      <c r="AH51" s="372"/>
      <c r="AI51" s="898">
        <f>+'Exhibit I State'!AG51+'Exhibit I Federal'!AG34</f>
        <v>11.5</v>
      </c>
      <c r="AJ51" s="292"/>
      <c r="AK51" s="101"/>
      <c r="AL51" s="12">
        <f t="shared" si="1"/>
        <v>-1.5</v>
      </c>
      <c r="AM51" s="99"/>
      <c r="AN51" s="379">
        <f>ROUND(IF(AI51=0,0,AL51/ABS(AI51)),3)</f>
        <v>-0.13</v>
      </c>
    </row>
    <row r="52" spans="1:44" ht="15.75">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2"/>
      <c r="AH52" s="372"/>
      <c r="AI52" s="2008"/>
      <c r="AJ52" s="292"/>
      <c r="AK52" s="101"/>
      <c r="AL52" s="12"/>
      <c r="AM52" s="99"/>
      <c r="AN52" s="379"/>
    </row>
    <row r="53" spans="1:44" ht="15.75">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f>'Exhibit I State'!M53+'Exhibit I Federal'!M36</f>
        <v>0</v>
      </c>
      <c r="N53" s="269"/>
      <c r="O53" s="280">
        <f>'Exhibit I State'!O53+'Exhibit I Federal'!O36</f>
        <v>0</v>
      </c>
      <c r="P53" s="269"/>
      <c r="Q53" s="280">
        <f>'Exhibit I State'!Q53+'Exhibit I Federal'!Q36</f>
        <v>0</v>
      </c>
      <c r="R53" s="269"/>
      <c r="S53" s="280">
        <f>'Exhibit I State'!S53+'Exhibit I Federal'!S36</f>
        <v>0</v>
      </c>
      <c r="T53" s="280"/>
      <c r="U53" s="280"/>
      <c r="V53" s="280"/>
      <c r="W53" s="280"/>
      <c r="X53" s="280"/>
      <c r="Y53" s="280"/>
      <c r="Z53" s="280"/>
      <c r="AA53" s="280"/>
      <c r="AB53" s="280"/>
      <c r="AC53" s="280">
        <v>0</v>
      </c>
      <c r="AD53" s="269"/>
      <c r="AE53" s="529"/>
      <c r="AF53" s="294">
        <f t="shared" ref="AF53:AF57" si="3">ROUND(SUM(E53:AC53),1)</f>
        <v>0</v>
      </c>
      <c r="AG53" s="1262"/>
      <c r="AH53" s="372"/>
      <c r="AI53" s="2008">
        <f>+'Exhibit I State'!AG53+'Exhibit I Federal'!AG36</f>
        <v>4.2</v>
      </c>
      <c r="AJ53" s="292"/>
      <c r="AK53" s="101"/>
      <c r="AL53" s="269">
        <f>ROUND(SUM(+AF53-AI53),1)</f>
        <v>-4.2</v>
      </c>
      <c r="AM53" s="269"/>
      <c r="AN53" s="271">
        <f>ROUND(IF(AI53=0,0,AL53/ABS(AI53)),3)</f>
        <v>-1</v>
      </c>
    </row>
    <row r="54" spans="1:44" ht="15.75">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f>'Exhibit I State'!M54+'Exhibit I Federal'!M37</f>
        <v>3.1999999999999993</v>
      </c>
      <c r="N54" s="269"/>
      <c r="O54" s="280">
        <f>'Exhibit I State'!O54+'Exhibit I Federal'!O37</f>
        <v>5.7</v>
      </c>
      <c r="P54" s="269"/>
      <c r="Q54" s="280">
        <f>'Exhibit I State'!Q54+'Exhibit I Federal'!Q37</f>
        <v>0.40000000000000319</v>
      </c>
      <c r="R54" s="269"/>
      <c r="S54" s="280">
        <f>'Exhibit I State'!S54+'Exhibit I Federal'!S37</f>
        <v>0.59999999999999898</v>
      </c>
      <c r="T54" s="280"/>
      <c r="U54" s="280"/>
      <c r="V54" s="280"/>
      <c r="W54" s="280"/>
      <c r="X54" s="280"/>
      <c r="Y54" s="280"/>
      <c r="Z54" s="280"/>
      <c r="AA54" s="280"/>
      <c r="AB54" s="280"/>
      <c r="AC54" s="280">
        <v>0</v>
      </c>
      <c r="AD54" s="269"/>
      <c r="AE54" s="529"/>
      <c r="AF54" s="294">
        <f t="shared" si="3"/>
        <v>23.7</v>
      </c>
      <c r="AG54" s="1262"/>
      <c r="AH54" s="372"/>
      <c r="AI54" s="2008">
        <f>+'Exhibit I State'!AG54+'Exhibit I Federal'!AG37</f>
        <v>6.4</v>
      </c>
      <c r="AJ54" s="292"/>
      <c r="AK54" s="101"/>
      <c r="AL54" s="269">
        <f>ROUND(SUM(+AF54-AI54),1)</f>
        <v>17.3</v>
      </c>
      <c r="AM54" s="269"/>
      <c r="AN54" s="271">
        <f>ROUND(IF(AI54=0,0,AL54/ABS(AI54)),3)</f>
        <v>2.7029999999999998</v>
      </c>
    </row>
    <row r="55" spans="1:44" ht="15.75">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f>'Exhibit I State'!M55+'Exhibit I Federal'!M38</f>
        <v>6.5000000000000044</v>
      </c>
      <c r="N55" s="269"/>
      <c r="O55" s="280">
        <f>'Exhibit I State'!O55+'Exhibit I Federal'!O38</f>
        <v>7.299999999999998</v>
      </c>
      <c r="P55" s="269"/>
      <c r="Q55" s="280">
        <f>'Exhibit I State'!Q55+'Exhibit I Federal'!Q38</f>
        <v>6.8999999999999959</v>
      </c>
      <c r="R55" s="269"/>
      <c r="S55" s="280">
        <f>'Exhibit I State'!S55+'Exhibit I Federal'!S38</f>
        <v>8.9999999999999964</v>
      </c>
      <c r="T55" s="280"/>
      <c r="U55" s="280"/>
      <c r="V55" s="280"/>
      <c r="W55" s="280"/>
      <c r="X55" s="280"/>
      <c r="Y55" s="280"/>
      <c r="Z55" s="280"/>
      <c r="AA55" s="280"/>
      <c r="AB55" s="280"/>
      <c r="AC55" s="280">
        <v>0</v>
      </c>
      <c r="AD55" s="269"/>
      <c r="AE55" s="529"/>
      <c r="AF55" s="294">
        <f t="shared" si="3"/>
        <v>55.4</v>
      </c>
      <c r="AG55" s="1262"/>
      <c r="AH55" s="372"/>
      <c r="AI55" s="2008">
        <f>+'Exhibit I State'!AG55+'Exhibit I Federal'!AG38</f>
        <v>58.9</v>
      </c>
      <c r="AJ55" s="292"/>
      <c r="AK55" s="101"/>
      <c r="AL55" s="269">
        <f>ROUND(SUM(+AF55-AI55),1)</f>
        <v>-3.5</v>
      </c>
      <c r="AM55" s="269"/>
      <c r="AN55" s="271">
        <f>ROUND(IF(AI55=0,1,AL55/ABS(AI55)),3)</f>
        <v>-5.8999999999999997E-2</v>
      </c>
    </row>
    <row r="56" spans="1:44" ht="15.75">
      <c r="A56" s="296"/>
      <c r="B56" s="355" t="s">
        <v>506</v>
      </c>
      <c r="C56" s="296"/>
      <c r="D56" s="296"/>
      <c r="E56" s="280">
        <f>+'Exhibit I State'!E56</f>
        <v>0</v>
      </c>
      <c r="F56" s="280"/>
      <c r="G56" s="280">
        <f>'Exhibit I State'!G56</f>
        <v>0</v>
      </c>
      <c r="H56" s="280"/>
      <c r="I56" s="280">
        <f>'Exhibit I State'!I56</f>
        <v>0</v>
      </c>
      <c r="J56" s="269"/>
      <c r="K56" s="280">
        <f>'Exhibit I State'!K56</f>
        <v>0</v>
      </c>
      <c r="L56" s="269"/>
      <c r="M56" s="280">
        <f>'Exhibit I State'!M56</f>
        <v>0</v>
      </c>
      <c r="N56" s="269"/>
      <c r="O56" s="280">
        <f>'Exhibit I State'!O56</f>
        <v>0</v>
      </c>
      <c r="P56" s="269"/>
      <c r="Q56" s="280">
        <f>'Exhibit I State'!Q56</f>
        <v>0</v>
      </c>
      <c r="R56" s="269"/>
      <c r="S56" s="280">
        <f>'Exhibit I State'!S56</f>
        <v>0</v>
      </c>
      <c r="T56" s="280"/>
      <c r="U56" s="280"/>
      <c r="V56" s="280"/>
      <c r="W56" s="280"/>
      <c r="X56" s="280"/>
      <c r="Y56" s="280"/>
      <c r="Z56" s="280"/>
      <c r="AA56" s="280"/>
      <c r="AB56" s="280"/>
      <c r="AC56" s="280">
        <v>0</v>
      </c>
      <c r="AD56" s="269"/>
      <c r="AE56" s="529"/>
      <c r="AF56" s="294">
        <f t="shared" si="3"/>
        <v>0</v>
      </c>
      <c r="AG56" s="1262"/>
      <c r="AH56" s="372"/>
      <c r="AI56" s="2008">
        <f>+'Exhibit I State'!AG56</f>
        <v>0.1</v>
      </c>
      <c r="AJ56" s="292"/>
      <c r="AK56" s="101"/>
      <c r="AL56" s="269">
        <f>ROUND(SUM(+AF56-AI56),1)</f>
        <v>-0.1</v>
      </c>
      <c r="AM56" s="269"/>
      <c r="AN56" s="271">
        <f>ROUND(IF(AI56=0,0,AL56/ABS(AI56)),3)</f>
        <v>-1</v>
      </c>
    </row>
    <row r="57" spans="1:44" ht="15.75">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f>'Exhibit I State'!M57+'Exhibit I Federal'!M39</f>
        <v>0.29999999999999993</v>
      </c>
      <c r="N57" s="269"/>
      <c r="O57" s="280">
        <f>'Exhibit I State'!O57+'Exhibit I Federal'!O39</f>
        <v>2</v>
      </c>
      <c r="P57" s="269"/>
      <c r="Q57" s="280">
        <f>'Exhibit I State'!Q57+'Exhibit I Federal'!Q39</f>
        <v>1.0999999999999999</v>
      </c>
      <c r="R57" s="269"/>
      <c r="S57" s="280">
        <f>'Exhibit I State'!S57+'Exhibit I Federal'!S39</f>
        <v>0.90000000000000069</v>
      </c>
      <c r="T57" s="280"/>
      <c r="U57" s="280"/>
      <c r="V57" s="280"/>
      <c r="W57" s="280"/>
      <c r="X57" s="280"/>
      <c r="Y57" s="280"/>
      <c r="Z57" s="280"/>
      <c r="AA57" s="280"/>
      <c r="AB57" s="280"/>
      <c r="AC57" s="280">
        <v>0</v>
      </c>
      <c r="AD57" s="269"/>
      <c r="AE57" s="529"/>
      <c r="AF57" s="294">
        <f t="shared" si="3"/>
        <v>7</v>
      </c>
      <c r="AG57" s="1262"/>
      <c r="AH57" s="372"/>
      <c r="AI57" s="2008">
        <f>+'Exhibit I State'!AG57+'Exhibit I Federal'!AG39</f>
        <v>8</v>
      </c>
      <c r="AJ57" s="292"/>
      <c r="AK57" s="101"/>
      <c r="AL57" s="12">
        <f t="shared" si="1"/>
        <v>-1</v>
      </c>
      <c r="AM57" s="99"/>
      <c r="AN57" s="553">
        <f>ROUND(IF(AI57=0,1,AL57/ABS(AI57)),3)</f>
        <v>-0.125</v>
      </c>
    </row>
    <row r="58" spans="1:44" ht="15.75">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f>'Exhibit I State'!M58+'Exhibit I Federal'!M40</f>
        <v>3</v>
      </c>
      <c r="N58" s="269"/>
      <c r="O58" s="280">
        <f>'Exhibit I State'!O58+'Exhibit I Federal'!O40</f>
        <v>3.1000000000000005</v>
      </c>
      <c r="P58" s="269"/>
      <c r="Q58" s="280">
        <f>'Exhibit I State'!Q58+'Exhibit I Federal'!Q40</f>
        <v>2.7999999999999963</v>
      </c>
      <c r="R58" s="269"/>
      <c r="S58" s="280">
        <f>'Exhibit I State'!S58+'Exhibit I Federal'!S40</f>
        <v>6.4999999999999991</v>
      </c>
      <c r="T58" s="280"/>
      <c r="U58" s="280"/>
      <c r="V58" s="280"/>
      <c r="W58" s="280"/>
      <c r="X58" s="280"/>
      <c r="Y58" s="280"/>
      <c r="Z58" s="280"/>
      <c r="AA58" s="280"/>
      <c r="AB58" s="280"/>
      <c r="AC58" s="280">
        <v>0</v>
      </c>
      <c r="AD58" s="269"/>
      <c r="AE58" s="529"/>
      <c r="AF58" s="294">
        <f>ROUND(SUM(E58:AC58),1)</f>
        <v>25.4</v>
      </c>
      <c r="AG58" s="1262"/>
      <c r="AH58" s="372"/>
      <c r="AI58" s="898">
        <f>+'Exhibit I State'!AG58+'Exhibit I Federal'!AG40</f>
        <v>15.9</v>
      </c>
      <c r="AJ58" s="292"/>
      <c r="AK58" s="101"/>
      <c r="AL58" s="12">
        <f t="shared" si="1"/>
        <v>9.5</v>
      </c>
      <c r="AM58" s="99"/>
      <c r="AN58" s="873">
        <f>ROUND(IF(AI58=0,0,AL58/ABS(AI58)),3)</f>
        <v>0.59699999999999998</v>
      </c>
    </row>
    <row r="59" spans="1:44" ht="15.75">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f>'Exhibit I State'!M59+'Exhibit I Federal'!M41</f>
        <v>0.10000000000000003</v>
      </c>
      <c r="N59" s="269"/>
      <c r="O59" s="280">
        <f>'Exhibit I State'!O59+'Exhibit I Federal'!O41</f>
        <v>0.1</v>
      </c>
      <c r="P59" s="269"/>
      <c r="Q59" s="280">
        <f>'Exhibit I State'!Q59+'Exhibit I Federal'!Q41</f>
        <v>0.19999999999999993</v>
      </c>
      <c r="R59" s="269"/>
      <c r="S59" s="280">
        <f>'Exhibit I State'!S59+'Exhibit I Federal'!S41</f>
        <v>0</v>
      </c>
      <c r="T59" s="280"/>
      <c r="U59" s="280"/>
      <c r="V59" s="280"/>
      <c r="W59" s="280"/>
      <c r="X59" s="280"/>
      <c r="Y59" s="280"/>
      <c r="Z59" s="280"/>
      <c r="AA59" s="280"/>
      <c r="AB59" s="280"/>
      <c r="AC59" s="280">
        <v>0</v>
      </c>
      <c r="AD59" s="269"/>
      <c r="AE59" s="529"/>
      <c r="AF59" s="294">
        <f>ROUND(SUM(E59:AC59),1)</f>
        <v>0.8</v>
      </c>
      <c r="AG59" s="1262"/>
      <c r="AH59" s="372"/>
      <c r="AI59" s="2008">
        <f>+'Exhibit I State'!AG59+'Exhibit I Federal'!AG41</f>
        <v>1.8</v>
      </c>
      <c r="AJ59" s="292"/>
      <c r="AK59" s="101"/>
      <c r="AL59" s="12">
        <f t="shared" si="1"/>
        <v>-1</v>
      </c>
      <c r="AM59" s="99"/>
      <c r="AN59" s="548">
        <f>ROUND(IF(AI59=0,1,AL59/ABS(AI59)),3)</f>
        <v>-0.55600000000000005</v>
      </c>
    </row>
    <row r="60" spans="1:44" s="3" customFormat="1" ht="15.75">
      <c r="B60" s="87" t="s">
        <v>529</v>
      </c>
      <c r="E60" s="71">
        <f>ROUND(SUM(E34:E59),1)</f>
        <v>78.2</v>
      </c>
      <c r="F60" s="13"/>
      <c r="G60" s="71">
        <f>ROUND(SUM(G35:G59),1)</f>
        <v>198.4</v>
      </c>
      <c r="H60" s="399"/>
      <c r="I60" s="71">
        <f>ROUND(SUM(I36:I59),1)</f>
        <v>139.4</v>
      </c>
      <c r="J60" s="13"/>
      <c r="K60" s="71">
        <f>ROUND(SUM(K36:K59),1)</f>
        <v>1289.8</v>
      </c>
      <c r="L60" s="13"/>
      <c r="M60" s="71">
        <f>ROUND(SUM(M36:M59),1)</f>
        <v>94.1</v>
      </c>
      <c r="N60" s="13"/>
      <c r="O60" s="71">
        <f>ROUND(SUM(O36:O59),1)</f>
        <v>101.7</v>
      </c>
      <c r="P60" s="13"/>
      <c r="Q60" s="71">
        <f>ROUND(SUM(Q36:Q59),1)</f>
        <v>522.4</v>
      </c>
      <c r="R60" s="13"/>
      <c r="S60" s="71">
        <f>ROUND(SUM(S36:S59),1)</f>
        <v>94.8</v>
      </c>
      <c r="T60" s="13"/>
      <c r="U60" s="71">
        <f>ROUND(SUM(U36:U59),1)</f>
        <v>0</v>
      </c>
      <c r="V60" s="13"/>
      <c r="W60" s="71">
        <f>ROUND(SUM(W36:W59),1)</f>
        <v>0</v>
      </c>
      <c r="X60" s="13"/>
      <c r="Y60" s="71">
        <f>ROUND(SUM(Y36:Y59),1)</f>
        <v>0</v>
      </c>
      <c r="Z60" s="13"/>
      <c r="AA60" s="71">
        <f>ROUND(SUM(AA36:AA59),1)</f>
        <v>0</v>
      </c>
      <c r="AB60" s="13"/>
      <c r="AC60" s="71">
        <f>ROUND(SUM(AC36:AC59),1)</f>
        <v>0</v>
      </c>
      <c r="AD60" s="13"/>
      <c r="AE60" s="14"/>
      <c r="AF60" s="71">
        <f>ROUND(SUM(AF35:AF59),1)</f>
        <v>2518.8000000000002</v>
      </c>
      <c r="AG60" s="1253"/>
      <c r="AH60" s="13"/>
      <c r="AI60" s="71">
        <f>ROUND(SUM(AI36:AI59),1)</f>
        <v>3223.1</v>
      </c>
      <c r="AJ60" s="18"/>
      <c r="AK60" s="101"/>
      <c r="AL60" s="71">
        <f>ROUND(SUM(AL36:AL59),1)</f>
        <v>-704.3</v>
      </c>
      <c r="AM60" s="40"/>
      <c r="AN60" s="422">
        <f>ROUND(SUM(AL60/AI60),3)</f>
        <v>-0.219</v>
      </c>
    </row>
    <row r="61" spans="1:44" ht="15.75">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51"/>
      <c r="AH61" s="269"/>
      <c r="AI61" s="269"/>
      <c r="AJ61" s="292"/>
      <c r="AK61" s="101"/>
      <c r="AL61" s="12"/>
      <c r="AM61" s="41"/>
      <c r="AN61" s="100"/>
    </row>
    <row r="62" spans="1:44" ht="15.75">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f>'Exhibit I State'!M62+'Exhibit I Federal'!M44</f>
        <v>201.80000000000007</v>
      </c>
      <c r="N62" s="269"/>
      <c r="O62" s="294">
        <f>'Exhibit I State'!O62+'Exhibit I Federal'!O44</f>
        <v>277.5</v>
      </c>
      <c r="P62" s="269"/>
      <c r="Q62" s="294">
        <f>'Exhibit I State'!Q62+'Exhibit I Federal'!Q44</f>
        <v>293.00000000000011</v>
      </c>
      <c r="R62" s="269"/>
      <c r="S62" s="294">
        <f>'Exhibit I State'!S62+'Exhibit I Federal'!S44</f>
        <v>211.5999999999998</v>
      </c>
      <c r="T62" s="294"/>
      <c r="U62" s="294"/>
      <c r="V62" s="294"/>
      <c r="W62" s="294"/>
      <c r="X62" s="294"/>
      <c r="Y62" s="294"/>
      <c r="Z62" s="294"/>
      <c r="AA62" s="294"/>
      <c r="AB62" s="294"/>
      <c r="AC62" s="294">
        <v>0</v>
      </c>
      <c r="AD62" s="269"/>
      <c r="AE62" s="529"/>
      <c r="AF62" s="269">
        <f>ROUND(SUM(E62:AC62),1)</f>
        <v>1721.1</v>
      </c>
      <c r="AG62" s="1251"/>
      <c r="AH62" s="269"/>
      <c r="AI62" s="269">
        <f>+'Exhibit I State'!AG62+'Exhibit I Federal'!AG44</f>
        <v>1922.3999999999999</v>
      </c>
      <c r="AJ62" s="292"/>
      <c r="AK62" s="102"/>
      <c r="AL62" s="1080">
        <f>ROUND(SUM(+AF62-AI62),1)</f>
        <v>-201.3</v>
      </c>
      <c r="AM62" s="41"/>
      <c r="AN62" s="1081">
        <f>ROUND(SUM(AL62/AI62),3)</f>
        <v>-0.105</v>
      </c>
    </row>
    <row r="63" spans="1:44" ht="15.75">
      <c r="A63" s="296"/>
      <c r="B63" s="296"/>
      <c r="C63" s="296"/>
      <c r="D63" s="296"/>
      <c r="E63" s="622"/>
      <c r="F63" s="269"/>
      <c r="G63" s="622"/>
      <c r="H63" s="269"/>
      <c r="I63" s="622"/>
      <c r="J63" s="269"/>
      <c r="K63" s="622"/>
      <c r="L63" s="269"/>
      <c r="M63" s="622"/>
      <c r="N63" s="269"/>
      <c r="O63" s="622"/>
      <c r="P63" s="269"/>
      <c r="Q63" s="622"/>
      <c r="R63" s="269"/>
      <c r="S63" s="622"/>
      <c r="T63" s="269"/>
      <c r="U63" s="622"/>
      <c r="V63" s="269"/>
      <c r="W63" s="622"/>
      <c r="X63" s="269"/>
      <c r="Y63" s="622"/>
      <c r="Z63" s="269"/>
      <c r="AA63" s="622"/>
      <c r="AB63" s="269"/>
      <c r="AC63" s="622"/>
      <c r="AD63" s="269"/>
      <c r="AE63" s="529"/>
      <c r="AF63" s="622"/>
      <c r="AG63" s="1251"/>
      <c r="AH63" s="269"/>
      <c r="AI63" s="622"/>
      <c r="AJ63" s="269"/>
      <c r="AK63" s="102"/>
      <c r="AL63" s="12"/>
      <c r="AN63" s="100"/>
    </row>
    <row r="64" spans="1:44" ht="15.75">
      <c r="A64" s="296"/>
      <c r="B64" s="3" t="s">
        <v>566</v>
      </c>
      <c r="C64" s="296"/>
      <c r="D64" s="296"/>
      <c r="E64" s="615">
        <f>ROUND(SUM(+E60+E62+E31),1)</f>
        <v>291.89999999999998</v>
      </c>
      <c r="F64" s="13"/>
      <c r="G64" s="615">
        <f>ROUND(SUM(+G60+G62+G31),1)</f>
        <v>495.4</v>
      </c>
      <c r="H64" s="13"/>
      <c r="I64" s="615">
        <f>ROUND(SUM(+I60+I62+I31),1)</f>
        <v>527.5</v>
      </c>
      <c r="J64" s="13"/>
      <c r="K64" s="615">
        <f>ROUND(SUM(+K60+K62+K31),1)</f>
        <v>1577.6</v>
      </c>
      <c r="L64" s="13"/>
      <c r="M64" s="615">
        <f>ROUND(SUM(+M60+M62+M31),1)</f>
        <v>417.4</v>
      </c>
      <c r="N64" s="13"/>
      <c r="O64" s="615">
        <f>ROUND(SUM(+O60+O62+O31),1)</f>
        <v>531</v>
      </c>
      <c r="P64" s="13"/>
      <c r="Q64" s="615">
        <f>ROUND(SUM(+Q60+Q62+Q31),1)</f>
        <v>938.6</v>
      </c>
      <c r="R64" s="13"/>
      <c r="S64" s="1077">
        <f>ROUND(SUM(+S60+S62+S31),1)</f>
        <v>415.8</v>
      </c>
      <c r="T64" s="13"/>
      <c r="U64" s="1077">
        <f>ROUND(SUM(+U60+U62+U31),1)</f>
        <v>0</v>
      </c>
      <c r="V64" s="13"/>
      <c r="W64" s="1077">
        <f>ROUND(SUM(+W60+W62+W31),1)</f>
        <v>0</v>
      </c>
      <c r="X64" s="13"/>
      <c r="Y64" s="1077">
        <f>ROUND(SUM(+Y60+Y62+Y31),1)</f>
        <v>0</v>
      </c>
      <c r="Z64" s="13"/>
      <c r="AA64" s="1077">
        <f>ROUND(SUM(+AA60+AA62+AA31),1)</f>
        <v>0</v>
      </c>
      <c r="AB64" s="419"/>
      <c r="AC64" s="1077">
        <f>ROUND(SUM(+AC60+AC62+AC31),1)</f>
        <v>0</v>
      </c>
      <c r="AD64" s="13"/>
      <c r="AE64" s="14"/>
      <c r="AF64" s="1077">
        <f>ROUND(SUM(+AF60+AF62+AF31),1)</f>
        <v>5195.2</v>
      </c>
      <c r="AG64" s="1253"/>
      <c r="AH64" s="13"/>
      <c r="AI64" s="1077">
        <f>ROUND(SUM(+AI60+AI62+AI31),1)</f>
        <v>6131.1</v>
      </c>
      <c r="AJ64" s="18"/>
      <c r="AK64" s="102"/>
      <c r="AL64" s="1077">
        <f>ROUND(SUM(+AL60+AL62+AL31),1)</f>
        <v>-935.9</v>
      </c>
      <c r="AM64" s="40"/>
      <c r="AN64" s="373">
        <f>ROUND(SUM(AL64/AI64),3)</f>
        <v>-0.153</v>
      </c>
      <c r="AO64" s="3"/>
      <c r="AP64" s="40"/>
      <c r="AQ64" s="3"/>
      <c r="AR64" s="3"/>
    </row>
    <row r="65" spans="1:44" ht="15.75">
      <c r="A65" s="296"/>
      <c r="B65" s="296"/>
      <c r="C65" s="296"/>
      <c r="D65" s="296"/>
      <c r="E65" s="622"/>
      <c r="F65" s="269"/>
      <c r="G65" s="622"/>
      <c r="H65" s="269"/>
      <c r="I65" s="622"/>
      <c r="J65" s="269"/>
      <c r="K65" s="622"/>
      <c r="L65" s="269"/>
      <c r="M65" s="622"/>
      <c r="N65" s="269"/>
      <c r="O65" s="622"/>
      <c r="P65" s="269"/>
      <c r="Q65" s="622"/>
      <c r="R65" s="269"/>
      <c r="S65" s="622"/>
      <c r="T65" s="269"/>
      <c r="U65" s="622"/>
      <c r="V65" s="269"/>
      <c r="W65" s="622"/>
      <c r="X65" s="269"/>
      <c r="Y65" s="622"/>
      <c r="Z65" s="269"/>
      <c r="AA65" s="622"/>
      <c r="AB65" s="269"/>
      <c r="AC65" s="622"/>
      <c r="AD65" s="269"/>
      <c r="AE65" s="529"/>
      <c r="AF65" s="622"/>
      <c r="AG65" s="1251"/>
      <c r="AH65" s="269"/>
      <c r="AI65" s="622"/>
      <c r="AJ65" s="269"/>
      <c r="AK65" s="102"/>
      <c r="AL65" s="12"/>
      <c r="AN65" s="100"/>
    </row>
    <row r="66" spans="1:44" ht="15.75">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51"/>
      <c r="AH66" s="269"/>
      <c r="AI66" s="269"/>
      <c r="AJ66" s="269"/>
      <c r="AK66" s="102"/>
      <c r="AL66" s="12"/>
      <c r="AN66" s="100"/>
    </row>
    <row r="67" spans="1:44" ht="15.75">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51"/>
      <c r="AH67" s="269"/>
      <c r="AI67" s="269"/>
      <c r="AJ67" s="269"/>
      <c r="AK67" s="102"/>
      <c r="AL67" s="12"/>
      <c r="AN67" s="100"/>
    </row>
    <row r="68" spans="1:44" ht="15.75">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f>'Exhibit I State'!M68+'Exhibit I Federal'!M50</f>
        <v>2.5000000000000036</v>
      </c>
      <c r="N68" s="269"/>
      <c r="O68" s="294">
        <f>'Exhibit I State'!O68+'Exhibit I Federal'!O50</f>
        <v>10.000000000000007</v>
      </c>
      <c r="P68" s="269"/>
      <c r="Q68" s="294">
        <f>'Exhibit I State'!Q68+'Exhibit I Federal'!Q50</f>
        <v>10.29999999999999</v>
      </c>
      <c r="R68" s="269"/>
      <c r="S68" s="294">
        <f>'Exhibit I State'!S68+'Exhibit I Federal'!S50</f>
        <v>1.0000000000000071</v>
      </c>
      <c r="T68" s="294"/>
      <c r="U68" s="294"/>
      <c r="V68" s="294"/>
      <c r="W68" s="294"/>
      <c r="X68" s="294"/>
      <c r="Y68" s="294"/>
      <c r="Z68" s="294"/>
      <c r="AA68" s="294"/>
      <c r="AB68" s="294"/>
      <c r="AC68" s="294">
        <v>0</v>
      </c>
      <c r="AD68" s="269"/>
      <c r="AE68" s="529"/>
      <c r="AF68" s="269">
        <f>ROUND(SUM(E68:AC68),1)</f>
        <v>109.7</v>
      </c>
      <c r="AG68" s="1251"/>
      <c r="AH68" s="269"/>
      <c r="AI68" s="269">
        <f>+'Exhibit I State'!AG68+'Exhibit I Federal'!AG50</f>
        <v>283.39999999999998</v>
      </c>
      <c r="AJ68" s="292"/>
      <c r="AK68" s="101"/>
      <c r="AL68" s="12">
        <f>ROUND(SUM(+AF68-AI68),1)</f>
        <v>-173.7</v>
      </c>
      <c r="AM68" s="41"/>
      <c r="AN68" s="553">
        <f>ROUND(IF(AI68=0,1,AL68/ABS(AI68)),3)</f>
        <v>-0.61299999999999999</v>
      </c>
    </row>
    <row r="69" spans="1:44" ht="15.75">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f>'Exhibit I State'!M69+'Exhibit I Federal'!M51</f>
        <v>22.700000000000003</v>
      </c>
      <c r="N69" s="269"/>
      <c r="O69" s="294">
        <f>'Exhibit I State'!O69+'Exhibit I Federal'!O51</f>
        <v>18.100000000000009</v>
      </c>
      <c r="P69" s="269"/>
      <c r="Q69" s="294">
        <f>'Exhibit I State'!Q69+'Exhibit I Federal'!Q51</f>
        <v>11.599999999999982</v>
      </c>
      <c r="R69" s="269"/>
      <c r="S69" s="294">
        <f>'Exhibit I State'!S69+'Exhibit I Federal'!S51</f>
        <v>37.599999999999994</v>
      </c>
      <c r="T69" s="294"/>
      <c r="U69" s="294"/>
      <c r="V69" s="294"/>
      <c r="W69" s="294"/>
      <c r="X69" s="294"/>
      <c r="Y69" s="294"/>
      <c r="Z69" s="294"/>
      <c r="AA69" s="294"/>
      <c r="AB69" s="294"/>
      <c r="AC69" s="294">
        <v>0</v>
      </c>
      <c r="AD69" s="269"/>
      <c r="AE69" s="529"/>
      <c r="AF69" s="269">
        <f>ROUND(SUM(E69:AC69),1)</f>
        <v>156.1</v>
      </c>
      <c r="AG69" s="1251"/>
      <c r="AH69" s="269"/>
      <c r="AI69" s="269">
        <f>+'Exhibit I State'!AG69+'Exhibit I Federal'!AG51</f>
        <v>551.5</v>
      </c>
      <c r="AJ69" s="292"/>
      <c r="AK69" s="101"/>
      <c r="AL69" s="12">
        <f t="shared" ref="AL69:AL76" si="4">ROUND(SUM(+AF69-AI69),1)</f>
        <v>-395.4</v>
      </c>
      <c r="AM69" s="41"/>
      <c r="AN69" s="548">
        <f>ROUND(IF(AI69=0,0,AL69/ABS(AI69)),3)</f>
        <v>-0.71699999999999997</v>
      </c>
    </row>
    <row r="70" spans="1:44" ht="15.75">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f>'Exhibit I State'!M70+'Exhibit I Federal'!M52</f>
        <v>27.999999999999986</v>
      </c>
      <c r="N70" s="269"/>
      <c r="O70" s="294">
        <f>'Exhibit I State'!O70+'Exhibit I Federal'!O52</f>
        <v>101.5</v>
      </c>
      <c r="P70" s="269"/>
      <c r="Q70" s="294">
        <f>'Exhibit I State'!Q70+'Exhibit I Federal'!Q52</f>
        <v>42.800000000000004</v>
      </c>
      <c r="R70" s="269"/>
      <c r="S70" s="294">
        <f>'Exhibit I State'!S70+'Exhibit I Federal'!S52</f>
        <v>40.89999999999997</v>
      </c>
      <c r="T70" s="294"/>
      <c r="U70" s="294"/>
      <c r="V70" s="294"/>
      <c r="W70" s="294"/>
      <c r="X70" s="294"/>
      <c r="Y70" s="294"/>
      <c r="Z70" s="294"/>
      <c r="AA70" s="294"/>
      <c r="AB70" s="294" t="s">
        <v>233</v>
      </c>
      <c r="AC70" s="294">
        <v>0</v>
      </c>
      <c r="AD70" s="269"/>
      <c r="AE70" s="529"/>
      <c r="AF70" s="269">
        <f>ROUND(SUM(E70:AC70),1)</f>
        <v>367.5</v>
      </c>
      <c r="AG70" s="1251"/>
      <c r="AH70" s="269"/>
      <c r="AI70" s="269">
        <f>+'Exhibit I State'!AG70+'Exhibit I Federal'!AG52</f>
        <v>341.5</v>
      </c>
      <c r="AJ70" s="292"/>
      <c r="AK70" s="101"/>
      <c r="AL70" s="12">
        <f t="shared" si="4"/>
        <v>26</v>
      </c>
      <c r="AM70" s="41"/>
      <c r="AN70" s="271">
        <f>ROUND(IF(AI70=0,0,AL70/ABS(AI70)),3)</f>
        <v>7.5999999999999998E-2</v>
      </c>
    </row>
    <row r="71" spans="1:44" ht="15.75">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51"/>
      <c r="AH71" s="269"/>
      <c r="AI71" s="372"/>
      <c r="AJ71" s="269"/>
      <c r="AK71" s="102"/>
      <c r="AL71" s="12" t="s">
        <v>103</v>
      </c>
      <c r="AM71" s="41"/>
      <c r="AN71" s="103" t="s">
        <v>103</v>
      </c>
    </row>
    <row r="72" spans="1:44" ht="15.75">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f>'Exhibit I State'!M72+'Exhibit I Federal'!M54</f>
        <v>0</v>
      </c>
      <c r="N72" s="269"/>
      <c r="O72" s="294">
        <f>'Exhibit I State'!O72+'Exhibit I Federal'!O54</f>
        <v>0</v>
      </c>
      <c r="P72" s="269"/>
      <c r="Q72" s="294">
        <f>'Exhibit I State'!Q72+'Exhibit I Federal'!Q54</f>
        <v>0</v>
      </c>
      <c r="R72" s="269"/>
      <c r="S72" s="294">
        <f>'Exhibit I State'!S72+'Exhibit I Federal'!S54</f>
        <v>0</v>
      </c>
      <c r="T72" s="294"/>
      <c r="U72" s="294"/>
      <c r="V72" s="294"/>
      <c r="W72" s="294"/>
      <c r="X72" s="294"/>
      <c r="Y72" s="294"/>
      <c r="Z72" s="294"/>
      <c r="AA72" s="294"/>
      <c r="AB72" s="294"/>
      <c r="AC72" s="294">
        <v>0</v>
      </c>
      <c r="AD72" s="269"/>
      <c r="AE72" s="529"/>
      <c r="AF72" s="269">
        <f t="shared" ref="AF72:AF75" si="5">ROUND(SUM(E72:AC72),1)</f>
        <v>0</v>
      </c>
      <c r="AG72" s="1251"/>
      <c r="AH72" s="269"/>
      <c r="AI72" s="372">
        <f>+'Exhibit I State'!AG72+'Exhibit I Federal'!AG54</f>
        <v>0</v>
      </c>
      <c r="AJ72" s="269"/>
      <c r="AK72" s="102"/>
      <c r="AL72" s="12">
        <f t="shared" si="4"/>
        <v>0</v>
      </c>
      <c r="AM72" s="41"/>
      <c r="AN72" s="379">
        <f>ROUND(IF(AI72=0,0,AL72/ABS(AI72)),3)</f>
        <v>0</v>
      </c>
    </row>
    <row r="73" spans="1:44" ht="15.75">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f>'Exhibit I State'!M73+'Exhibit I Federal'!M55</f>
        <v>50.2</v>
      </c>
      <c r="N73" s="269"/>
      <c r="O73" s="294">
        <f>'Exhibit I State'!O73+'Exhibit I Federal'!O55</f>
        <v>100.79999999999995</v>
      </c>
      <c r="P73" s="269"/>
      <c r="Q73" s="294">
        <f>'Exhibit I State'!Q73+'Exhibit I Federal'!Q55</f>
        <v>36.500000000000028</v>
      </c>
      <c r="R73" s="269"/>
      <c r="S73" s="294">
        <f>'Exhibit I State'!S73+'Exhibit I Federal'!S55</f>
        <v>71.799999999999955</v>
      </c>
      <c r="T73" s="294"/>
      <c r="U73" s="294"/>
      <c r="V73" s="294"/>
      <c r="W73" s="294"/>
      <c r="X73" s="294"/>
      <c r="Y73" s="294"/>
      <c r="Z73" s="294"/>
      <c r="AA73" s="294"/>
      <c r="AB73" s="294"/>
      <c r="AC73" s="294">
        <v>0</v>
      </c>
      <c r="AD73" s="269"/>
      <c r="AE73" s="529"/>
      <c r="AF73" s="269">
        <f t="shared" si="5"/>
        <v>447.1</v>
      </c>
      <c r="AG73" s="1251"/>
      <c r="AH73" s="269"/>
      <c r="AI73" s="372">
        <f>+'Exhibit I State'!AG73+'Exhibit I Federal'!AG55</f>
        <v>309.89999999999998</v>
      </c>
      <c r="AJ73" s="292"/>
      <c r="AK73" s="101"/>
      <c r="AL73" s="12">
        <f t="shared" si="4"/>
        <v>137.19999999999999</v>
      </c>
      <c r="AM73" s="41"/>
      <c r="AN73" s="379">
        <f>ROUND(IF(AI73=0,0,AL73/ABS(AI73)),3)</f>
        <v>0.443</v>
      </c>
    </row>
    <row r="74" spans="1:44" ht="15.75">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f>'Exhibit I State'!M74+'Exhibit I Federal'!M56</f>
        <v>1.2000000000000011</v>
      </c>
      <c r="N74" s="269"/>
      <c r="O74" s="294">
        <f>'Exhibit I State'!O74+'Exhibit I Federal'!O56</f>
        <v>5.9000000000000012</v>
      </c>
      <c r="P74" s="269"/>
      <c r="Q74" s="294">
        <f>'Exhibit I State'!Q74+'Exhibit I Federal'!Q56</f>
        <v>1.6999999999999957</v>
      </c>
      <c r="R74" s="269"/>
      <c r="S74" s="294">
        <f>'Exhibit I State'!S74+'Exhibit I Federal'!S56</f>
        <v>0.6000000000000032</v>
      </c>
      <c r="T74" s="294"/>
      <c r="U74" s="294"/>
      <c r="V74" s="294"/>
      <c r="W74" s="294"/>
      <c r="X74" s="294"/>
      <c r="Y74" s="294"/>
      <c r="Z74" s="294"/>
      <c r="AA74" s="294"/>
      <c r="AB74" s="294"/>
      <c r="AC74" s="294">
        <v>0</v>
      </c>
      <c r="AD74" s="269"/>
      <c r="AE74" s="529"/>
      <c r="AF74" s="269">
        <f>ROUND(SUM(E74:AC74),1)</f>
        <v>19.100000000000001</v>
      </c>
      <c r="AG74" s="1251"/>
      <c r="AH74" s="269"/>
      <c r="AI74" s="372">
        <f>+'Exhibit I State'!AG74+'Exhibit I Federal'!AG56</f>
        <v>12.7</v>
      </c>
      <c r="AJ74" s="292"/>
      <c r="AK74" s="101"/>
      <c r="AL74" s="12">
        <f t="shared" si="4"/>
        <v>6.4</v>
      </c>
      <c r="AM74" s="41"/>
      <c r="AN74" s="548">
        <f>ROUND(IF(AI74=0,1,AL74/ABS(AI74)),3)</f>
        <v>0.504</v>
      </c>
    </row>
    <row r="75" spans="1:44" ht="15.75">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f>'Exhibit I State'!M75+'Exhibit I Federal'!M57</f>
        <v>168.69999999999993</v>
      </c>
      <c r="N75" s="269"/>
      <c r="O75" s="294">
        <f>'Exhibit I State'!O75+'Exhibit I Federal'!O57</f>
        <v>141.60000000000002</v>
      </c>
      <c r="P75" s="269"/>
      <c r="Q75" s="294">
        <f>'Exhibit I State'!Q75+'Exhibit I Federal'!Q57</f>
        <v>107.20000000000006</v>
      </c>
      <c r="R75" s="269"/>
      <c r="S75" s="294">
        <f>'Exhibit I State'!S75+'Exhibit I Federal'!S57</f>
        <v>262.49999999999989</v>
      </c>
      <c r="T75" s="294"/>
      <c r="U75" s="294"/>
      <c r="V75" s="294"/>
      <c r="W75" s="294"/>
      <c r="X75" s="294"/>
      <c r="Y75" s="294"/>
      <c r="Z75" s="294"/>
      <c r="AA75" s="294"/>
      <c r="AB75" s="294"/>
      <c r="AC75" s="294">
        <v>0</v>
      </c>
      <c r="AD75" s="269"/>
      <c r="AE75" s="529"/>
      <c r="AF75" s="269">
        <f t="shared" si="5"/>
        <v>1273.2</v>
      </c>
      <c r="AG75" s="1251"/>
      <c r="AH75" s="269"/>
      <c r="AI75" s="372">
        <f>+'Exhibit I State'!AG75+'Exhibit I Federal'!AG57</f>
        <v>974.3</v>
      </c>
      <c r="AJ75" s="269"/>
      <c r="AK75" s="102"/>
      <c r="AL75" s="12">
        <f t="shared" si="4"/>
        <v>298.89999999999998</v>
      </c>
      <c r="AM75" s="41"/>
      <c r="AN75" s="567">
        <f>ROUND(IF(AI75=0,1,AL75/ABS(AI75)),3)</f>
        <v>0.307</v>
      </c>
    </row>
    <row r="76" spans="1:44" ht="15.75">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f>'Exhibit I State'!M76+'Exhibit I Federal'!M58</f>
        <v>555.4</v>
      </c>
      <c r="N76" s="269"/>
      <c r="O76" s="294">
        <f>'Exhibit I State'!O76+'Exhibit I Federal'!O58</f>
        <v>150.10000000000002</v>
      </c>
      <c r="P76" s="269"/>
      <c r="Q76" s="294">
        <f>'Exhibit I State'!Q76+'Exhibit I Federal'!Q58</f>
        <v>29.199999999999903</v>
      </c>
      <c r="R76" s="269"/>
      <c r="S76" s="294">
        <f>'Exhibit I State'!S76+'Exhibit I Federal'!S58</f>
        <v>16.899999999999974</v>
      </c>
      <c r="T76" s="294"/>
      <c r="U76" s="294"/>
      <c r="V76" s="294"/>
      <c r="W76" s="294"/>
      <c r="X76" s="294"/>
      <c r="Y76" s="294"/>
      <c r="Z76" s="294"/>
      <c r="AA76" s="294"/>
      <c r="AB76" s="294"/>
      <c r="AC76" s="294">
        <v>0</v>
      </c>
      <c r="AD76" s="269"/>
      <c r="AE76" s="529"/>
      <c r="AF76" s="269">
        <f>ROUND(SUM(E76:AC76),1)</f>
        <v>999.2</v>
      </c>
      <c r="AG76" s="1251"/>
      <c r="AH76" s="269"/>
      <c r="AI76" s="372">
        <f>+'Exhibit I State'!AG76+'Exhibit I Federal'!AG58</f>
        <v>1140.7</v>
      </c>
      <c r="AJ76" s="269"/>
      <c r="AK76" s="102"/>
      <c r="AL76" s="12">
        <f t="shared" si="4"/>
        <v>-141.5</v>
      </c>
      <c r="AM76" s="41"/>
      <c r="AN76" s="567">
        <f>ROUND(IF(AI76=0,0,AL76/ABS(AI76)),3)</f>
        <v>-0.124</v>
      </c>
    </row>
    <row r="77" spans="1:44" ht="15.75">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f>'Exhibit I State'!M77+'Exhibit I Federal'!M59</f>
        <v>38.800000000000011</v>
      </c>
      <c r="N77" s="269"/>
      <c r="O77" s="294">
        <f>'Exhibit I State'!O77+'Exhibit I Federal'!O59</f>
        <v>183.00000000000006</v>
      </c>
      <c r="P77" s="269"/>
      <c r="Q77" s="294">
        <f>'Exhibit I State'!Q77+'Exhibit I Federal'!Q59</f>
        <v>55.399999999999956</v>
      </c>
      <c r="R77" s="269"/>
      <c r="S77" s="294">
        <f>'Exhibit I State'!S77+'Exhibit I Federal'!S59</f>
        <v>382.4</v>
      </c>
      <c r="T77" s="294"/>
      <c r="U77" s="294"/>
      <c r="V77" s="294"/>
      <c r="W77" s="294"/>
      <c r="X77" s="294"/>
      <c r="Y77" s="294"/>
      <c r="Z77" s="294"/>
      <c r="AA77" s="294"/>
      <c r="AB77" s="294"/>
      <c r="AC77" s="294">
        <v>0</v>
      </c>
      <c r="AD77" s="269"/>
      <c r="AE77" s="529"/>
      <c r="AF77" s="269">
        <f>ROUND(SUM(E77:AC77),1)</f>
        <v>896.7</v>
      </c>
      <c r="AG77" s="1251"/>
      <c r="AH77" s="269"/>
      <c r="AI77" s="372">
        <f>+'Exhibit I State'!AG77+'Exhibit I Federal'!AG59</f>
        <v>805.4</v>
      </c>
      <c r="AJ77" s="269"/>
      <c r="AK77" s="102"/>
      <c r="AL77" s="12">
        <f>ROUND(SUM(+AF77-AI77),1)</f>
        <v>91.3</v>
      </c>
      <c r="AN77" s="877">
        <f>ROUND(IF(AI77=0,0,AL77/ABS(AI77)),3)</f>
        <v>0.113</v>
      </c>
    </row>
    <row r="78" spans="1:44" ht="15.75">
      <c r="A78" s="296"/>
      <c r="B78" s="3" t="s">
        <v>567</v>
      </c>
      <c r="C78" s="296"/>
      <c r="D78" s="296"/>
      <c r="E78" s="623">
        <f>ROUND(SUM(E68:E77),1)</f>
        <v>255.3</v>
      </c>
      <c r="F78" s="13"/>
      <c r="G78" s="623">
        <f>ROUND(SUM(G68:G77),1)</f>
        <v>381</v>
      </c>
      <c r="H78" s="13"/>
      <c r="I78" s="623">
        <f>ROUND(SUM(I68:I77),1)</f>
        <v>514.70000000000005</v>
      </c>
      <c r="J78" s="13"/>
      <c r="K78" s="623">
        <f>ROUND(SUM(K68:K77),1)</f>
        <v>430.7</v>
      </c>
      <c r="L78" s="13"/>
      <c r="M78" s="623">
        <f>ROUND(SUM(M68:M77),1)</f>
        <v>867.5</v>
      </c>
      <c r="N78" s="13"/>
      <c r="O78" s="623">
        <f>ROUND(SUM(O68:O77),1)</f>
        <v>711</v>
      </c>
      <c r="P78" s="13"/>
      <c r="Q78" s="623">
        <f>ROUND(SUM(Q68:Q77),1)</f>
        <v>294.7</v>
      </c>
      <c r="R78" s="13"/>
      <c r="S78" s="623">
        <f>ROUND(SUM(S68:S77),1)</f>
        <v>813.7</v>
      </c>
      <c r="T78" s="13"/>
      <c r="U78" s="623">
        <f>ROUND(SUM(U68:U77),1)</f>
        <v>0</v>
      </c>
      <c r="V78" s="13"/>
      <c r="W78" s="623">
        <f>ROUND(SUM(W68:W77),1)</f>
        <v>0</v>
      </c>
      <c r="X78" s="13"/>
      <c r="Y78" s="623">
        <f>ROUND(SUM(Y68:Y77),1)</f>
        <v>0</v>
      </c>
      <c r="Z78" s="13"/>
      <c r="AA78" s="623">
        <f>ROUND(SUM(AA68:AA77),1)</f>
        <v>0</v>
      </c>
      <c r="AB78" s="13"/>
      <c r="AC78" s="623">
        <f>ROUND(SUM(AC68:AC77),1)</f>
        <v>0</v>
      </c>
      <c r="AD78" s="13"/>
      <c r="AE78" s="14"/>
      <c r="AF78" s="623">
        <f>ROUND(SUM(AF68:AF77),1)</f>
        <v>4268.6000000000004</v>
      </c>
      <c r="AG78" s="1253"/>
      <c r="AH78" s="13"/>
      <c r="AI78" s="623">
        <f>ROUND(SUM(AI68:AI77),1)</f>
        <v>4419.3999999999996</v>
      </c>
      <c r="AJ78" s="13"/>
      <c r="AK78" s="102"/>
      <c r="AL78" s="623">
        <f>ROUND(SUM(AL68:AL77),1)</f>
        <v>-150.80000000000001</v>
      </c>
      <c r="AM78" s="3"/>
      <c r="AN78" s="373">
        <f>ROUND(SUM(AL78/AI78),3)</f>
        <v>-3.4000000000000002E-2</v>
      </c>
      <c r="AO78" s="3"/>
      <c r="AP78" s="40"/>
      <c r="AQ78" s="3"/>
      <c r="AR78" s="3"/>
    </row>
    <row r="79" spans="1:44"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51"/>
      <c r="AH79" s="269"/>
      <c r="AI79" s="269"/>
      <c r="AJ79" s="269"/>
      <c r="AK79" s="102"/>
      <c r="AL79" s="12"/>
      <c r="AN79" s="100"/>
    </row>
    <row r="80" spans="1:44" ht="15.75">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f>'Exhibit I State'!M80+'Exhibit I Federal'!M62</f>
        <v>0</v>
      </c>
      <c r="N80" s="269"/>
      <c r="O80" s="294">
        <f>'Exhibit I State'!O80+'Exhibit I Federal'!O62</f>
        <v>0</v>
      </c>
      <c r="P80" s="269"/>
      <c r="Q80" s="294">
        <f>'Exhibit I State'!Q80+'Exhibit I Federal'!Q62</f>
        <v>0</v>
      </c>
      <c r="R80" s="269"/>
      <c r="S80" s="294">
        <f>'Exhibit I State'!S80+'Exhibit I Federal'!S62</f>
        <v>0</v>
      </c>
      <c r="T80" s="294"/>
      <c r="U80" s="294"/>
      <c r="V80" s="294"/>
      <c r="W80" s="294"/>
      <c r="X80" s="294"/>
      <c r="Y80" s="294"/>
      <c r="Z80" s="294"/>
      <c r="AA80" s="294"/>
      <c r="AB80" s="294"/>
      <c r="AC80" s="294">
        <v>0</v>
      </c>
      <c r="AD80" s="269"/>
      <c r="AE80" s="529"/>
      <c r="AF80" s="292">
        <f>ROUND(SUM(E80:AC80),1)</f>
        <v>0</v>
      </c>
      <c r="AG80" s="1251"/>
      <c r="AH80" s="269"/>
      <c r="AI80" s="280">
        <f>+'Exhibit I State'!AG80+'Exhibit I Federal'!AG62</f>
        <v>0</v>
      </c>
      <c r="AJ80" s="372"/>
      <c r="AK80" s="104"/>
      <c r="AL80" s="269">
        <f>ROUND(SUM(+AF80-AI80),1)</f>
        <v>0</v>
      </c>
      <c r="AN80" s="379">
        <f>ROUND(IF(AI80=0,0,AL80/ABS(AI80)),3)</f>
        <v>0</v>
      </c>
    </row>
    <row r="81" spans="1:44" ht="15.75">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f>'Exhibit I State'!M81+'Exhibit I Federal'!M63</f>
        <v>0</v>
      </c>
      <c r="N81" s="269"/>
      <c r="O81" s="294">
        <f>'Exhibit I State'!O81+'Exhibit I Federal'!O63</f>
        <v>0</v>
      </c>
      <c r="P81" s="269"/>
      <c r="Q81" s="294">
        <f>'Exhibit I State'!Q81+'Exhibit I Federal'!Q63</f>
        <v>0</v>
      </c>
      <c r="R81" s="269"/>
      <c r="S81" s="294">
        <f>'Exhibit I State'!S81+'Exhibit I Federal'!S63</f>
        <v>0</v>
      </c>
      <c r="T81" s="294"/>
      <c r="U81" s="294"/>
      <c r="V81" s="294"/>
      <c r="W81" s="294"/>
      <c r="X81" s="294"/>
      <c r="Y81" s="294"/>
      <c r="Z81" s="294"/>
      <c r="AA81" s="294"/>
      <c r="AB81" s="294"/>
      <c r="AC81" s="294">
        <v>0</v>
      </c>
      <c r="AD81" s="269"/>
      <c r="AE81" s="529"/>
      <c r="AF81" s="1983">
        <f>ROUND(SUM(E81:AC81),1)</f>
        <v>0</v>
      </c>
      <c r="AG81" s="1251"/>
      <c r="AH81" s="269"/>
      <c r="AI81" s="280">
        <f>+'Exhibit I State'!AG81+'Exhibit I Federal'!AG63</f>
        <v>0</v>
      </c>
      <c r="AJ81" s="372"/>
      <c r="AK81" s="104"/>
      <c r="AL81" s="269">
        <f>ROUND(SUM(+AF81-AI81),1)</f>
        <v>0</v>
      </c>
      <c r="AN81" s="379">
        <f>ROUND(IF(AI81=0,0,AL81/ABS(AI81)),3)</f>
        <v>0</v>
      </c>
    </row>
    <row r="82" spans="1:44" ht="15.75">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f>'Exhibit I State'!M82+'Exhibit I Federal'!M64</f>
        <v>0</v>
      </c>
      <c r="N82" s="269"/>
      <c r="O82" s="294">
        <f>'Exhibit I State'!O82+'Exhibit I Federal'!O64</f>
        <v>0</v>
      </c>
      <c r="P82" s="269"/>
      <c r="Q82" s="294">
        <f>'Exhibit I State'!Q82+'Exhibit I Federal'!Q64</f>
        <v>0</v>
      </c>
      <c r="R82" s="269"/>
      <c r="S82" s="294">
        <f>'Exhibit I State'!S82+'Exhibit I Federal'!S64</f>
        <v>0</v>
      </c>
      <c r="T82" s="294"/>
      <c r="U82" s="294"/>
      <c r="V82" s="294"/>
      <c r="W82" s="294"/>
      <c r="X82" s="294"/>
      <c r="Y82" s="294"/>
      <c r="Z82" s="294"/>
      <c r="AA82" s="294"/>
      <c r="AB82" s="294"/>
      <c r="AC82" s="294">
        <v>0</v>
      </c>
      <c r="AD82" s="1082"/>
      <c r="AE82" s="1083"/>
      <c r="AF82" s="292">
        <f>ROUND(SUM(E82:AC82),1)</f>
        <v>0</v>
      </c>
      <c r="AG82" s="1251"/>
      <c r="AH82" s="269"/>
      <c r="AI82" s="280">
        <f>+'Exhibit I State'!AG82+'Exhibit I Federal'!AG64</f>
        <v>0</v>
      </c>
      <c r="AJ82" s="372"/>
      <c r="AK82" s="104"/>
      <c r="AL82" s="269">
        <f>ROUND(SUM(+AF82-AI82),1)</f>
        <v>0</v>
      </c>
      <c r="AN82" s="379">
        <f>ROUND(IF(AI82=0,0,AL82/ABS(AI82)),3)</f>
        <v>0</v>
      </c>
    </row>
    <row r="83" spans="1:44" ht="15.75">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f>'Exhibit I State'!M83+'Exhibit I Federal'!M65</f>
        <v>872.20000000000027</v>
      </c>
      <c r="N83" s="269"/>
      <c r="O83" s="294">
        <f>'Exhibit I State'!O83+'Exhibit I Federal'!O65</f>
        <v>905.00000000000023</v>
      </c>
      <c r="P83" s="269"/>
      <c r="Q83" s="294">
        <f>'Exhibit I State'!Q83+'Exhibit I Federal'!Q65</f>
        <v>981.60000000000048</v>
      </c>
      <c r="R83" s="269"/>
      <c r="S83" s="294">
        <f>'Exhibit I State'!S83+'Exhibit I Federal'!S65</f>
        <v>871.49999999999943</v>
      </c>
      <c r="T83" s="294"/>
      <c r="U83" s="294"/>
      <c r="V83" s="294"/>
      <c r="W83" s="294"/>
      <c r="X83" s="294"/>
      <c r="Y83" s="294"/>
      <c r="Z83" s="294"/>
      <c r="AA83" s="294"/>
      <c r="AB83" s="294"/>
      <c r="AC83" s="294">
        <v>0</v>
      </c>
      <c r="AD83" s="269"/>
      <c r="AE83" s="529"/>
      <c r="AF83" s="292">
        <f>ROUND(SUM(E83:AC83),1)</f>
        <v>6887.4</v>
      </c>
      <c r="AG83" s="1251"/>
      <c r="AH83" s="269"/>
      <c r="AI83" s="899">
        <f>+'Exhibit I State'!AG83+'Exhibit I Federal'!AG65</f>
        <v>6491.5</v>
      </c>
      <c r="AJ83" s="292"/>
      <c r="AK83" s="101"/>
      <c r="AL83" s="1080">
        <f>ROUND(SUM(+AF83-AI83),1)</f>
        <v>395.9</v>
      </c>
      <c r="AN83" s="877">
        <f>ROUND(IF(AI83=0,1,AL83/ABS(AI83)),3)</f>
        <v>6.0999999999999999E-2</v>
      </c>
    </row>
    <row r="84" spans="1:44" ht="15.75">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622"/>
      <c r="AD84" s="269"/>
      <c r="AE84" s="529"/>
      <c r="AF84" s="622"/>
      <c r="AG84" s="1251"/>
      <c r="AH84" s="269"/>
      <c r="AI84" s="12"/>
      <c r="AJ84" s="12"/>
      <c r="AK84" s="102"/>
      <c r="AL84" s="12"/>
      <c r="AN84" s="100"/>
    </row>
    <row r="85" spans="1:44" ht="15.75">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1276.3</v>
      </c>
      <c r="R85" s="13"/>
      <c r="S85" s="13">
        <f>ROUND(SUM(+S83+S78),1)</f>
        <v>1685.2</v>
      </c>
      <c r="T85" s="13"/>
      <c r="U85" s="13">
        <f>ROUND(SUM(+U83+U78),1)</f>
        <v>0</v>
      </c>
      <c r="V85" s="13"/>
      <c r="W85" s="13">
        <f>ROUND(SUM(+W83+W78),1)</f>
        <v>0</v>
      </c>
      <c r="X85" s="13"/>
      <c r="Y85" s="13">
        <f>ROUND(SUM(+Y83+Y78),1)</f>
        <v>0</v>
      </c>
      <c r="Z85" s="13"/>
      <c r="AA85" s="13">
        <f>ROUND(SUM(+AA83+AA78),1)</f>
        <v>0</v>
      </c>
      <c r="AB85" s="13"/>
      <c r="AC85" s="13">
        <f>ROUND(SUM(+AC83+AC78),1)</f>
        <v>0</v>
      </c>
      <c r="AD85" s="13"/>
      <c r="AE85" s="14"/>
      <c r="AF85" s="1984">
        <f>ROUND(SUM(+AF83+AF78+AF80+AF81+AF82),1)</f>
        <v>11156</v>
      </c>
      <c r="AG85" s="1253"/>
      <c r="AH85" s="13"/>
      <c r="AI85" s="13">
        <f>ROUND(SUM(+AI83+AI78+AI80+AI81+AI82),1)</f>
        <v>10910.9</v>
      </c>
      <c r="AJ85" s="13"/>
      <c r="AK85" s="102"/>
      <c r="AL85" s="362">
        <f>ROUND(SUM(AL78+AL83+AL80+AL81+AL82),1)</f>
        <v>245.1</v>
      </c>
      <c r="AM85" s="3"/>
      <c r="AN85" s="373">
        <f>ROUND(SUM(AL85/AI85),3)</f>
        <v>2.1999999999999999E-2</v>
      </c>
      <c r="AO85" s="3"/>
      <c r="AP85" s="40"/>
      <c r="AQ85" s="3"/>
      <c r="AR85" s="3"/>
    </row>
    <row r="86" spans="1:44" ht="15.75">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622"/>
      <c r="AD86" s="269"/>
      <c r="AE86" s="529"/>
      <c r="AF86" s="622"/>
      <c r="AG86" s="1251"/>
      <c r="AH86" s="269"/>
      <c r="AI86" s="622"/>
      <c r="AJ86" s="269"/>
      <c r="AK86" s="102"/>
      <c r="AL86" s="12"/>
      <c r="AN86" s="100"/>
    </row>
    <row r="87" spans="1:44"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51"/>
      <c r="AH87" s="269"/>
      <c r="AI87" s="12"/>
      <c r="AJ87" s="12"/>
      <c r="AK87" s="102"/>
      <c r="AL87" s="12"/>
      <c r="AN87" s="100"/>
    </row>
    <row r="88" spans="1:44" ht="15.75">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-337.7</v>
      </c>
      <c r="R88" s="13"/>
      <c r="S88" s="13">
        <f>ROUND(SUM(S64-S85),1)</f>
        <v>-1269.4000000000001</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-5960.8</v>
      </c>
      <c r="AG88" s="1253"/>
      <c r="AH88" s="13"/>
      <c r="AI88" s="13">
        <f>ROUND(SUM(AI64-AI85),1)</f>
        <v>-4779.8</v>
      </c>
      <c r="AJ88" s="13"/>
      <c r="AK88" s="102"/>
      <c r="AL88" s="362">
        <f>ROUND(SUM(AL64-AL85),1)</f>
        <v>-1181</v>
      </c>
      <c r="AM88" s="3"/>
      <c r="AN88" s="618">
        <f>ROUND(IF(AI88=0,0,AL88/ABS(AI88)),3)</f>
        <v>-0.247</v>
      </c>
      <c r="AO88" s="3"/>
      <c r="AP88" s="3"/>
      <c r="AQ88" s="3"/>
      <c r="AR88" s="3"/>
    </row>
    <row r="89" spans="1:44" ht="15.75">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622"/>
      <c r="AD89" s="269"/>
      <c r="AE89" s="529"/>
      <c r="AF89" s="622"/>
      <c r="AG89" s="1251"/>
      <c r="AH89" s="269"/>
      <c r="AI89" s="622"/>
      <c r="AJ89" s="269"/>
      <c r="AK89" s="102"/>
      <c r="AL89" s="12"/>
      <c r="AN89" s="100"/>
    </row>
    <row r="90" spans="1:44"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51"/>
      <c r="AH90" s="269"/>
      <c r="AI90" s="372"/>
      <c r="AJ90" s="372"/>
      <c r="AK90" s="104"/>
      <c r="AL90" s="12"/>
      <c r="AN90" s="100"/>
    </row>
    <row r="91" spans="1:44" ht="15.75">
      <c r="A91" s="296"/>
      <c r="B91" s="296" t="s">
        <v>576</v>
      </c>
      <c r="C91" s="296"/>
      <c r="D91" s="296"/>
      <c r="E91" s="294">
        <f>+'Exhibit I State'!E91</f>
        <v>0</v>
      </c>
      <c r="F91" s="294"/>
      <c r="G91" s="294">
        <f>'Exhibit I State'!G91</f>
        <v>0</v>
      </c>
      <c r="H91" s="294"/>
      <c r="I91" s="294">
        <f>'Exhibit I State'!I91</f>
        <v>0</v>
      </c>
      <c r="J91" s="269"/>
      <c r="K91" s="294">
        <f>'Exhibit I State'!K91</f>
        <v>0</v>
      </c>
      <c r="L91" s="269"/>
      <c r="M91" s="294">
        <f>'Exhibit I State'!M91</f>
        <v>0</v>
      </c>
      <c r="N91" s="280"/>
      <c r="O91" s="294">
        <f>'Exhibit I State'!O91</f>
        <v>0</v>
      </c>
      <c r="P91" s="269"/>
      <c r="Q91" s="294">
        <f>'Exhibit I State'!Q91</f>
        <v>0</v>
      </c>
      <c r="R91" s="269"/>
      <c r="S91" s="294">
        <f>'Exhibit I State'!S91</f>
        <v>0</v>
      </c>
      <c r="T91" s="294"/>
      <c r="U91" s="294"/>
      <c r="V91" s="294"/>
      <c r="W91" s="294"/>
      <c r="X91" s="294"/>
      <c r="Y91" s="294"/>
      <c r="Z91" s="294"/>
      <c r="AA91" s="294"/>
      <c r="AB91" s="294"/>
      <c r="AC91" s="294">
        <v>0</v>
      </c>
      <c r="AD91" s="269"/>
      <c r="AE91" s="529"/>
      <c r="AF91" s="292">
        <f>ROUND(SUM(E91:AC91),1)</f>
        <v>0</v>
      </c>
      <c r="AG91" s="1251"/>
      <c r="AH91" s="269"/>
      <c r="AI91" s="372">
        <f>+'Exhibit I State'!AG91</f>
        <v>0</v>
      </c>
      <c r="AJ91" s="372"/>
      <c r="AK91" s="104"/>
      <c r="AL91" s="269">
        <f>ROUND(SUM(+AF91-AI91),1)</f>
        <v>0</v>
      </c>
      <c r="AM91" s="41"/>
      <c r="AN91" s="379">
        <f>ROUND(IF(AI91=0,0,AL91/ABS(AI91)),3)</f>
        <v>0</v>
      </c>
      <c r="AP91" s="12"/>
    </row>
    <row r="92" spans="1:44" ht="15.75">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f>'Exhibit I State'!M92</f>
        <v>944.69999999999993</v>
      </c>
      <c r="N92" s="269"/>
      <c r="O92" s="294">
        <f>'Exhibit I State'!O92</f>
        <v>861.00000000000011</v>
      </c>
      <c r="P92" s="269"/>
      <c r="Q92" s="294">
        <f>'Exhibit I State'!Q92</f>
        <v>923.70000000000039</v>
      </c>
      <c r="R92" s="269"/>
      <c r="S92" s="294">
        <f>'Exhibit I State'!S92</f>
        <v>864.3000000000003</v>
      </c>
      <c r="T92" s="294"/>
      <c r="U92" s="294"/>
      <c r="V92" s="294"/>
      <c r="W92" s="294"/>
      <c r="X92" s="294"/>
      <c r="Y92" s="294"/>
      <c r="Z92" s="294"/>
      <c r="AA92" s="294"/>
      <c r="AB92" s="1084"/>
      <c r="AC92" s="1211">
        <v>0</v>
      </c>
      <c r="AD92" s="269"/>
      <c r="AE92" s="529"/>
      <c r="AF92" s="292">
        <f>ROUND(SUM(E92:AC92),1)</f>
        <v>5052.6000000000004</v>
      </c>
      <c r="AG92" s="1251"/>
      <c r="AH92" s="269"/>
      <c r="AI92" s="269">
        <f>'Exhibit I State'!AG92+'Exhibit I Federal'!AG73</f>
        <v>4009.7000000000003</v>
      </c>
      <c r="AJ92" s="292"/>
      <c r="AK92" s="101"/>
      <c r="AL92" s="269">
        <f>ROUND(SUM(+AF92-AI92),1)</f>
        <v>1042.9000000000001</v>
      </c>
      <c r="AN92" s="567">
        <f>ROUND(IF(AI92=0,0,AL92/ABS(AI92)),3)</f>
        <v>0.26</v>
      </c>
      <c r="AP92" s="41"/>
    </row>
    <row r="93" spans="1:44" ht="15.75">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f>'Exhibit I State'!M93+'Exhibit I Federal'!M74</f>
        <v>-25.6</v>
      </c>
      <c r="N93" s="269"/>
      <c r="O93" s="294">
        <f>'Exhibit I State'!O93+'Exhibit I Federal'!O74</f>
        <v>-1.8999999999999946</v>
      </c>
      <c r="P93" s="269"/>
      <c r="Q93" s="294">
        <f>'Exhibit I State'!Q93+'Exhibit I Federal'!Q74</f>
        <v>-2.7000000000000042</v>
      </c>
      <c r="R93" s="269"/>
      <c r="S93" s="294">
        <f>'Exhibit I State'!S93+'Exhibit I Federal'!S74</f>
        <v>-1.6000000000000005</v>
      </c>
      <c r="T93" s="294"/>
      <c r="U93" s="294"/>
      <c r="V93" s="294"/>
      <c r="W93" s="294"/>
      <c r="X93" s="294"/>
      <c r="Y93" s="294"/>
      <c r="Z93" s="294"/>
      <c r="AA93" s="294"/>
      <c r="AB93" s="1084"/>
      <c r="AC93" s="1001">
        <v>0</v>
      </c>
      <c r="AD93" s="269"/>
      <c r="AE93" s="529"/>
      <c r="AF93" s="292">
        <f>ROUND(SUM(E93:AC93),1)</f>
        <v>-48.1</v>
      </c>
      <c r="AG93" s="1251"/>
      <c r="AH93" s="269"/>
      <c r="AI93" s="2009">
        <f>'Exhibit I State'!AG93+'Exhibit I Federal'!AG74</f>
        <v>-64.800000000000011</v>
      </c>
      <c r="AJ93" s="269"/>
      <c r="AK93" s="102"/>
      <c r="AL93" s="388">
        <f>ROUND(-SUM(+AF93-AI93),1)</f>
        <v>-16.7</v>
      </c>
      <c r="AN93" s="877">
        <f>ROUND(IF(AI93=0,0,AL93/ABS(AI93)),3)</f>
        <v>-0.25800000000000001</v>
      </c>
      <c r="AO93" s="12"/>
      <c r="AP93" s="41"/>
      <c r="AQ93" s="41"/>
    </row>
    <row r="94" spans="1:44" ht="15.75">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269"/>
      <c r="AD94" s="269"/>
      <c r="AE94" s="529"/>
      <c r="AF94" s="622"/>
      <c r="AG94" s="1251"/>
      <c r="AH94" s="269"/>
      <c r="AI94" s="12"/>
      <c r="AJ94" s="12"/>
      <c r="AK94" s="102"/>
      <c r="AL94" s="12"/>
      <c r="AN94" s="100"/>
      <c r="AO94" s="41"/>
    </row>
    <row r="95" spans="1:44" ht="15.75">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921</v>
      </c>
      <c r="R95" s="13"/>
      <c r="S95" s="13">
        <f>ROUND(SUM(S91:S94),1)</f>
        <v>862.7</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5004.5</v>
      </c>
      <c r="AG95" s="1253"/>
      <c r="AH95" s="13"/>
      <c r="AI95" s="13">
        <f>ROUND(SUM(AI91:AI94),1)</f>
        <v>3944.9</v>
      </c>
      <c r="AJ95" s="13"/>
      <c r="AK95" s="102"/>
      <c r="AL95" s="362">
        <f>ROUND(SUM(AF95-AI95),1)</f>
        <v>1059.5999999999999</v>
      </c>
      <c r="AM95" s="3"/>
      <c r="AN95" s="618">
        <f>ROUND(SUM(AL95/ABS(AI95)),3)</f>
        <v>0.26900000000000002</v>
      </c>
      <c r="AO95" s="3"/>
      <c r="AP95" s="3"/>
      <c r="AQ95" s="3"/>
      <c r="AR95" s="3"/>
    </row>
    <row r="96" spans="1:44" ht="15.75">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622"/>
      <c r="AD96" s="269"/>
      <c r="AE96" s="529"/>
      <c r="AF96" s="622"/>
      <c r="AG96" s="1251"/>
      <c r="AH96" s="269"/>
      <c r="AI96" s="622"/>
      <c r="AJ96" s="269"/>
      <c r="AK96" s="102"/>
      <c r="AL96" s="12"/>
      <c r="AN96" s="100"/>
    </row>
    <row r="97" spans="1:55" ht="15.7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51"/>
      <c r="AH97" s="269"/>
      <c r="AI97" s="269" t="s">
        <v>103</v>
      </c>
      <c r="AJ97" s="269"/>
      <c r="AK97" s="102"/>
      <c r="AL97" s="12"/>
      <c r="AN97" s="100"/>
    </row>
    <row r="98" spans="1:55" ht="15.7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3"/>
      <c r="AH98" s="13"/>
      <c r="AI98" s="13"/>
      <c r="AJ98" s="13"/>
      <c r="AK98" s="102"/>
      <c r="AL98" s="13"/>
      <c r="AM98" s="3"/>
      <c r="AN98" s="77"/>
      <c r="AO98" s="3"/>
      <c r="AP98" s="3"/>
      <c r="AQ98" s="3"/>
      <c r="AR98" s="3"/>
      <c r="AS98" s="3"/>
      <c r="AT98" s="3"/>
      <c r="AU98" s="3"/>
      <c r="AV98" s="3"/>
      <c r="AW98" s="3"/>
      <c r="AX98" s="3"/>
      <c r="AY98" s="3"/>
    </row>
    <row r="99" spans="1:55" ht="15.75">
      <c r="A99" s="296"/>
      <c r="B99" s="3" t="s">
        <v>521</v>
      </c>
      <c r="C99" s="296"/>
      <c r="D99" s="296"/>
      <c r="E99" s="1086">
        <f>ROUND(SUM(E88+E95),1)</f>
        <v>-100.3</v>
      </c>
      <c r="F99" s="13"/>
      <c r="G99" s="1086">
        <f>ROUND(SUM(G88+G95),1)</f>
        <v>-269.89999999999998</v>
      </c>
      <c r="H99" s="13"/>
      <c r="I99" s="1086">
        <f>ROUND(SUM(I88+I95),1)</f>
        <v>-161.4</v>
      </c>
      <c r="J99" s="13"/>
      <c r="K99" s="1086">
        <f>ROUND(SUM(K88+K95),1)</f>
        <v>27.8</v>
      </c>
      <c r="L99" s="13"/>
      <c r="M99" s="1086">
        <f>ROUND(SUM(M88+M95),1)</f>
        <v>-403.2</v>
      </c>
      <c r="N99" s="13"/>
      <c r="O99" s="1086">
        <f>ROUND(SUM(O88+O95),1)</f>
        <v>-225.9</v>
      </c>
      <c r="P99" s="13"/>
      <c r="Q99" s="1086">
        <f>ROUND(SUM(Q88+Q95),1)</f>
        <v>583.29999999999995</v>
      </c>
      <c r="R99" s="13"/>
      <c r="S99" s="1086">
        <f>ROUND(SUM(S88+S95),1)</f>
        <v>-406.7</v>
      </c>
      <c r="T99" s="13"/>
      <c r="U99" s="1086">
        <f>ROUND(SUM(U88+U95),1)</f>
        <v>0</v>
      </c>
      <c r="V99" s="13"/>
      <c r="W99" s="1085">
        <f>ROUND(SUM(W88+W95),1)</f>
        <v>0</v>
      </c>
      <c r="X99" s="13"/>
      <c r="Y99" s="1085">
        <f>ROUND(SUM(Y88+Y95),1)</f>
        <v>0</v>
      </c>
      <c r="Z99" s="13"/>
      <c r="AA99" s="1085">
        <f>ROUND(SUM(AA88+AA95),1)</f>
        <v>0</v>
      </c>
      <c r="AB99" s="669"/>
      <c r="AC99" s="1085">
        <f>ROUND(SUM(AC88+AC95),1)</f>
        <v>0</v>
      </c>
      <c r="AD99" s="13"/>
      <c r="AE99" s="14"/>
      <c r="AF99" s="1086">
        <f>ROUND(AF88+AF95,1)</f>
        <v>-956.3</v>
      </c>
      <c r="AG99" s="1253"/>
      <c r="AH99" s="13"/>
      <c r="AI99" s="1086">
        <f>ROUND(SUM(AI88+AI95),1)</f>
        <v>-834.9</v>
      </c>
      <c r="AJ99" s="13"/>
      <c r="AK99" s="102"/>
      <c r="AL99" s="1085">
        <f>ROUND(SUM(+AF99-AI99),1)</f>
        <v>-121.4</v>
      </c>
      <c r="AM99" s="3"/>
      <c r="AN99" s="579">
        <f>ROUND(IF(AI99=0,0,AL99/ABS(AI99)),3)</f>
        <v>-0.14499999999999999</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7"/>
      <c r="AF100" s="296"/>
      <c r="AG100" s="385"/>
      <c r="AH100" s="1087"/>
      <c r="AI100" s="296" t="s">
        <v>581</v>
      </c>
      <c r="AJ100" s="1049"/>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-2005.6</v>
      </c>
      <c r="R101" s="20"/>
      <c r="S101" s="73">
        <f>ROUND(SUM(+S99+S13),1)</f>
        <v>-2412.3000000000002</v>
      </c>
      <c r="T101" s="20"/>
      <c r="U101" s="73">
        <f>ROUND(SUM(+U99+U13),1)</f>
        <v>0</v>
      </c>
      <c r="V101" s="20"/>
      <c r="W101" s="73">
        <f>ROUND(SUM(+W99+W13),1)</f>
        <v>0</v>
      </c>
      <c r="X101" s="20"/>
      <c r="Y101" s="73">
        <f>ROUND(SUM(+Y99+Y13),1)</f>
        <v>0</v>
      </c>
      <c r="Z101" s="20"/>
      <c r="AA101" s="73">
        <f>ROUND(SUM(+AA99+AA13),1)</f>
        <v>0</v>
      </c>
      <c r="AB101" s="20"/>
      <c r="AC101" s="73">
        <f>ROUND(SUM(+AC99+AC13),1)</f>
        <v>0</v>
      </c>
      <c r="AD101" s="20"/>
      <c r="AE101" s="21"/>
      <c r="AF101" s="73">
        <f>ROUND(SUM(+AF99+AF13),1)</f>
        <v>-2412.3000000000002</v>
      </c>
      <c r="AG101" s="20"/>
      <c r="AH101" s="21"/>
      <c r="AI101" s="73">
        <f>ROUND(SUM(+AI99+AI13),1)</f>
        <v>-2153</v>
      </c>
      <c r="AJ101" s="76"/>
      <c r="AK101" s="20"/>
      <c r="AL101" s="73">
        <f>ROUND(SUM(+AL99+AL13),1)</f>
        <v>-259.3</v>
      </c>
      <c r="AM101" s="45"/>
      <c r="AN101" s="80">
        <f>ROUND(SUM(-(+AF101-AI101)/AI101),3)</f>
        <v>-0.12</v>
      </c>
      <c r="AO101" s="3"/>
      <c r="AP101" s="3"/>
      <c r="AQ101" s="3"/>
      <c r="AR101" s="3"/>
      <c r="AS101" s="411"/>
      <c r="AT101" s="411"/>
      <c r="AU101" s="411"/>
      <c r="AV101" s="411"/>
      <c r="AW101" s="411"/>
      <c r="AX101" s="411"/>
      <c r="AY101" s="411"/>
      <c r="AZ101" s="411"/>
      <c r="BA101" s="411"/>
      <c r="BB101" s="411"/>
      <c r="BC101" s="411"/>
    </row>
    <row r="102" spans="1:55" ht="15.75" thickTop="1">
      <c r="B102" s="939"/>
    </row>
    <row r="103" spans="1:55">
      <c r="B103" s="434" t="s">
        <v>582</v>
      </c>
      <c r="C103" s="107"/>
      <c r="D103" s="107"/>
      <c r="E103" s="107"/>
      <c r="F103" s="107"/>
      <c r="G103" s="107"/>
      <c r="AI103" s="900"/>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39"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88671875" defaultRowHeight="15"/>
  <cols>
    <col min="1" max="1" width="2.5546875" style="23" customWidth="1"/>
    <col min="2" max="2" width="14.109375" style="23" customWidth="1"/>
    <col min="3" max="3" width="26.109375" style="23" customWidth="1"/>
    <col min="4" max="4" width="2"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1093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1.88671875" style="23" customWidth="1"/>
    <col min="31" max="32" width="1.109375" style="23" customWidth="1"/>
    <col min="33" max="33" width="11.88671875" style="23" customWidth="1"/>
    <col min="34" max="35" width="1.109375" style="23" customWidth="1"/>
    <col min="36" max="36" width="11.88671875" style="23" customWidth="1"/>
    <col min="37" max="37" width="1.109375" style="23" customWidth="1"/>
    <col min="38" max="38" width="11.88671875" style="23" customWidth="1"/>
    <col min="39" max="40" width="9.88671875" style="23" bestFit="1" customWidth="1"/>
    <col min="41" max="42" width="6.109375" style="23" customWidth="1"/>
    <col min="43" max="16384" width="8.8867187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50"/>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0"/>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93"/>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68"/>
      <c r="F9" s="90"/>
      <c r="G9" s="90"/>
      <c r="H9" s="90"/>
      <c r="I9" s="90"/>
      <c r="J9" s="90"/>
      <c r="K9" s="90"/>
      <c r="L9" s="90"/>
      <c r="M9" s="90"/>
      <c r="N9" s="90"/>
      <c r="O9" s="90"/>
      <c r="P9" s="90"/>
      <c r="Q9" s="90"/>
      <c r="R9" s="90"/>
      <c r="S9" s="90"/>
      <c r="T9" s="90"/>
      <c r="U9" s="90"/>
      <c r="V9" s="90"/>
      <c r="W9" s="90"/>
      <c r="X9" s="90"/>
      <c r="Y9" s="90"/>
      <c r="Z9" s="90"/>
      <c r="AA9" s="90"/>
      <c r="AB9" s="90"/>
      <c r="AC9" s="2100" t="str">
        <f>'Cashflow Governmental'!$AB$12</f>
        <v>8 Months Ended November 30</v>
      </c>
      <c r="AD9" s="2100"/>
      <c r="AE9" s="2100"/>
      <c r="AF9" s="2100"/>
      <c r="AG9" s="2100"/>
      <c r="AH9" s="2100"/>
      <c r="AI9" s="2100"/>
      <c r="AJ9" s="2100"/>
      <c r="AK9" s="2100"/>
      <c r="AL9" s="2100"/>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6" t="s">
        <v>332</v>
      </c>
      <c r="F11" s="3"/>
      <c r="G11" s="1236" t="s">
        <v>333</v>
      </c>
      <c r="H11" s="3"/>
      <c r="I11" s="1236" t="s">
        <v>334</v>
      </c>
      <c r="J11" s="3"/>
      <c r="K11" s="1236" t="s">
        <v>335</v>
      </c>
      <c r="L11" s="3"/>
      <c r="M11" s="1236" t="s">
        <v>336</v>
      </c>
      <c r="N11" s="3"/>
      <c r="O11" s="1236" t="s">
        <v>448</v>
      </c>
      <c r="P11" s="3"/>
      <c r="Q11" s="1236" t="s">
        <v>449</v>
      </c>
      <c r="R11" s="3"/>
      <c r="S11" s="1236" t="s">
        <v>339</v>
      </c>
      <c r="T11" s="3"/>
      <c r="U11" s="1236" t="s">
        <v>340</v>
      </c>
      <c r="V11" s="3"/>
      <c r="W11" s="1236" t="s">
        <v>341</v>
      </c>
      <c r="X11" s="3"/>
      <c r="Y11" s="1236" t="s">
        <v>342</v>
      </c>
      <c r="Z11" s="3"/>
      <c r="AA11" s="1236" t="s">
        <v>450</v>
      </c>
      <c r="AB11" s="3"/>
      <c r="AC11" s="3"/>
      <c r="AD11" s="1236" t="str">
        <f>'Cashflow Governmental'!AB14</f>
        <v>2025</v>
      </c>
      <c r="AE11" s="3"/>
      <c r="AF11" s="3"/>
      <c r="AG11" s="1236"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ht="15.75">
      <c r="A13" s="296"/>
      <c r="B13" s="3" t="s">
        <v>526</v>
      </c>
      <c r="C13" s="3"/>
      <c r="D13" s="296"/>
      <c r="E13" s="86">
        <v>-1077.3</v>
      </c>
      <c r="F13" s="273"/>
      <c r="G13" s="20">
        <f>E101</f>
        <v>-1137.9000000000001</v>
      </c>
      <c r="H13" s="20"/>
      <c r="I13" s="20">
        <f>G101</f>
        <v>-1407.5</v>
      </c>
      <c r="J13" s="279"/>
      <c r="K13" s="20">
        <f>I101</f>
        <v>-1637.4</v>
      </c>
      <c r="L13" s="279"/>
      <c r="M13" s="20">
        <f>K101</f>
        <v>-1574.4</v>
      </c>
      <c r="N13" s="273"/>
      <c r="O13" s="20">
        <f>M101</f>
        <v>-1974.2</v>
      </c>
      <c r="P13" s="273"/>
      <c r="Q13" s="20">
        <f>O101</f>
        <v>-2186.1</v>
      </c>
      <c r="R13" s="20"/>
      <c r="S13" s="20">
        <f>Q101</f>
        <v>-1652.8</v>
      </c>
      <c r="T13" s="20"/>
      <c r="U13" s="20"/>
      <c r="V13" s="20"/>
      <c r="W13" s="20"/>
      <c r="X13" s="20"/>
      <c r="Y13" s="20"/>
      <c r="Z13" s="20"/>
      <c r="AA13" s="20"/>
      <c r="AB13" s="273"/>
      <c r="AC13" s="674"/>
      <c r="AD13" s="20">
        <f>E13</f>
        <v>-1077.3</v>
      </c>
      <c r="AE13" s="273"/>
      <c r="AF13" s="1060"/>
      <c r="AG13" s="2002">
        <v>-745.3</v>
      </c>
      <c r="AH13" s="273"/>
      <c r="AI13" s="96"/>
      <c r="AJ13" s="20">
        <f>ROUND(AD13-AG13,1)</f>
        <v>-332</v>
      </c>
      <c r="AK13" s="79"/>
      <c r="AL13" s="286">
        <f>ROUND(IF(AG13=0,0,AJ13/ABS(AG13)),3)</f>
        <v>-0.44500000000000001</v>
      </c>
      <c r="AM13" s="1669"/>
      <c r="AN13" s="1669"/>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0"/>
      <c r="AG14" s="273"/>
      <c r="AH14" s="273"/>
      <c r="AI14" s="96"/>
      <c r="AJ14" s="296"/>
      <c r="AK14" s="296"/>
      <c r="AL14" s="296"/>
      <c r="AM14" s="1669"/>
      <c r="AN14" s="1669"/>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1261"/>
      <c r="AF15" s="273"/>
      <c r="AG15" s="273"/>
      <c r="AH15" s="273"/>
      <c r="AI15" s="96"/>
      <c r="AM15" s="1669"/>
      <c r="AN15" s="1669"/>
    </row>
    <row r="16" spans="1:40" ht="15.75">
      <c r="A16" s="296"/>
      <c r="B16" s="1235"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4"/>
      <c r="AD16" s="273"/>
      <c r="AE16" s="1261"/>
      <c r="AF16" s="273"/>
      <c r="AG16" s="273"/>
      <c r="AH16" s="273"/>
      <c r="AI16" s="96"/>
      <c r="AM16" s="1669"/>
      <c r="AN16" s="1669"/>
    </row>
    <row r="17" spans="1:40" ht="15.75">
      <c r="A17" s="296"/>
      <c r="B17" s="418" t="s">
        <v>584</v>
      </c>
      <c r="C17" s="296"/>
      <c r="D17" s="296"/>
      <c r="E17" s="1151"/>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51"/>
      <c r="AF17" s="269"/>
      <c r="AG17" s="269" t="s">
        <v>103</v>
      </c>
      <c r="AH17" s="269"/>
      <c r="AI17" s="102"/>
      <c r="AJ17" s="12"/>
      <c r="AM17" s="1669"/>
      <c r="AN17" s="1669"/>
    </row>
    <row r="18" spans="1:40">
      <c r="A18" s="296"/>
      <c r="B18" s="289" t="s">
        <v>359</v>
      </c>
      <c r="C18" s="296"/>
      <c r="D18" s="355" t="s">
        <v>103</v>
      </c>
      <c r="E18" s="269">
        <v>5</v>
      </c>
      <c r="F18" s="269"/>
      <c r="G18" s="269">
        <v>0</v>
      </c>
      <c r="H18" s="269"/>
      <c r="I18" s="269">
        <v>23.6</v>
      </c>
      <c r="J18" s="269"/>
      <c r="K18" s="269">
        <v>0</v>
      </c>
      <c r="L18" s="559"/>
      <c r="M18" s="269">
        <v>0</v>
      </c>
      <c r="N18" s="613"/>
      <c r="O18" s="269">
        <v>31.199999999999996</v>
      </c>
      <c r="P18" s="613"/>
      <c r="Q18" s="269">
        <v>0.20000000000000284</v>
      </c>
      <c r="R18" s="613"/>
      <c r="S18" s="269">
        <f>$AD18-O18-Q18-M18-K18-I18-G18-E18</f>
        <v>0.10000000000000142</v>
      </c>
      <c r="T18" s="269"/>
      <c r="U18" s="269"/>
      <c r="V18" s="269"/>
      <c r="W18" s="269"/>
      <c r="X18" s="269"/>
      <c r="Y18" s="269"/>
      <c r="Z18" s="269"/>
      <c r="AA18" s="269"/>
      <c r="AB18" s="269"/>
      <c r="AC18" s="529"/>
      <c r="AD18" s="537">
        <v>60.1</v>
      </c>
      <c r="AE18" s="269"/>
      <c r="AF18" s="530" t="s">
        <v>103</v>
      </c>
      <c r="AG18" s="537">
        <v>61</v>
      </c>
      <c r="AH18" s="725"/>
      <c r="AI18" s="726"/>
      <c r="AJ18" s="269">
        <f>ROUND(AD18-AG18,1)</f>
        <v>-0.9</v>
      </c>
      <c r="AK18" s="389"/>
      <c r="AL18" s="548">
        <f>ROUND(IF(AG18=0,0,AJ18/ABS(AG18)),3)</f>
        <v>-1.4999999999999999E-2</v>
      </c>
      <c r="AM18" s="1669"/>
      <c r="AN18" s="1669"/>
    </row>
    <row r="19" spans="1:40" ht="15.75">
      <c r="A19" s="296"/>
      <c r="B19" s="289" t="s">
        <v>362</v>
      </c>
      <c r="C19" s="296"/>
      <c r="D19" s="296"/>
      <c r="E19" s="269">
        <v>28.3</v>
      </c>
      <c r="F19" s="269"/>
      <c r="G19" s="269">
        <v>33.799999999999997</v>
      </c>
      <c r="H19" s="269"/>
      <c r="I19" s="269">
        <v>33.100000000000009</v>
      </c>
      <c r="J19" s="269"/>
      <c r="K19" s="269">
        <v>32.599999999999994</v>
      </c>
      <c r="L19" s="558"/>
      <c r="M19" s="269">
        <v>35.399999999999977</v>
      </c>
      <c r="N19" s="558"/>
      <c r="O19" s="269">
        <v>33.000000000000014</v>
      </c>
      <c r="P19" s="558"/>
      <c r="Q19" s="269">
        <v>34.300000000000026</v>
      </c>
      <c r="R19" s="558"/>
      <c r="S19" s="269">
        <f t="shared" ref="S19:S20" si="0">$AD19-O19-Q19-M19-K19-I19-G19-E19</f>
        <v>29.899999999999988</v>
      </c>
      <c r="T19" s="269"/>
      <c r="U19" s="269"/>
      <c r="V19" s="558"/>
      <c r="W19" s="269"/>
      <c r="X19" s="558"/>
      <c r="Y19" s="269"/>
      <c r="Z19" s="558"/>
      <c r="AA19" s="269"/>
      <c r="AB19" s="269"/>
      <c r="AC19" s="529"/>
      <c r="AD19" s="537">
        <v>260.39999999999998</v>
      </c>
      <c r="AE19" s="269"/>
      <c r="AF19" s="530" t="s">
        <v>103</v>
      </c>
      <c r="AG19" s="537">
        <v>262.5</v>
      </c>
      <c r="AH19" s="269"/>
      <c r="AI19" s="102"/>
      <c r="AJ19" s="269">
        <f>ROUND(AD19-AG19,1)</f>
        <v>-2.1</v>
      </c>
      <c r="AK19" s="41"/>
      <c r="AL19" s="271">
        <f>ROUND(IF(AG19=0,0,AJ19/ABS(AG19)),3)</f>
        <v>-8.0000000000000002E-3</v>
      </c>
      <c r="AM19" s="1669"/>
      <c r="AN19" s="1669"/>
    </row>
    <row r="20" spans="1:40" ht="15.75">
      <c r="A20" s="296"/>
      <c r="B20" s="289" t="s">
        <v>365</v>
      </c>
      <c r="C20" s="296"/>
      <c r="D20" s="296"/>
      <c r="E20" s="269">
        <v>13.9</v>
      </c>
      <c r="F20" s="269"/>
      <c r="G20" s="269">
        <v>9.9</v>
      </c>
      <c r="H20" s="269"/>
      <c r="I20" s="269">
        <v>9.9000000000000039</v>
      </c>
      <c r="J20" s="269"/>
      <c r="K20" s="269">
        <v>11.299999999999995</v>
      </c>
      <c r="L20" s="558"/>
      <c r="M20" s="269">
        <v>9.7000000000000011</v>
      </c>
      <c r="N20" s="558"/>
      <c r="O20" s="269">
        <v>9.9999999999999982</v>
      </c>
      <c r="P20" s="558"/>
      <c r="Q20" s="269">
        <v>12.39999999999999</v>
      </c>
      <c r="R20" s="558"/>
      <c r="S20" s="269">
        <f t="shared" si="0"/>
        <v>9.3000000000000096</v>
      </c>
      <c r="T20" s="269"/>
      <c r="U20" s="269"/>
      <c r="V20" s="558"/>
      <c r="W20" s="269"/>
      <c r="X20" s="558"/>
      <c r="Y20" s="269"/>
      <c r="Z20" s="558"/>
      <c r="AA20" s="269"/>
      <c r="AB20" s="269"/>
      <c r="AC20" s="529"/>
      <c r="AD20" s="537">
        <v>86.4</v>
      </c>
      <c r="AE20" s="269"/>
      <c r="AF20" s="530" t="s">
        <v>103</v>
      </c>
      <c r="AG20" s="537">
        <v>87.3</v>
      </c>
      <c r="AH20" s="269"/>
      <c r="AI20" s="102"/>
      <c r="AJ20" s="269">
        <f>ROUND(AD20-AG20,1)</f>
        <v>-0.9</v>
      </c>
      <c r="AK20" s="41"/>
      <c r="AL20" s="548">
        <f>ROUND(IF(AG20=0,0,AJ20/ABS(AG20)),3)</f>
        <v>-0.01</v>
      </c>
      <c r="AM20" s="1669"/>
      <c r="AN20" s="1669"/>
    </row>
    <row r="21" spans="1:40" ht="15.75">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45.1</v>
      </c>
      <c r="N21" s="269"/>
      <c r="O21" s="71">
        <f>ROUND(SUM(O18:O20),1)</f>
        <v>74.2</v>
      </c>
      <c r="P21" s="269"/>
      <c r="Q21" s="71">
        <f>ROUND(SUM(Q18:Q20),1)</f>
        <v>46.9</v>
      </c>
      <c r="R21" s="269"/>
      <c r="S21" s="71">
        <f>ROUND(SUM(S18:S20),1)</f>
        <v>39.299999999999997</v>
      </c>
      <c r="T21" s="13"/>
      <c r="U21" s="71">
        <f>ROUND(SUM(U18:U20),1)</f>
        <v>0</v>
      </c>
      <c r="V21" s="269"/>
      <c r="W21" s="71">
        <f>ROUND(SUM(W18:W20),1)</f>
        <v>0</v>
      </c>
      <c r="X21" s="269"/>
      <c r="Y21" s="71">
        <f>ROUND(SUM(Y18:Y20),1)</f>
        <v>0</v>
      </c>
      <c r="Z21" s="269"/>
      <c r="AA21" s="71">
        <f>ROUND(SUM(AA18:AA20),1)</f>
        <v>0</v>
      </c>
      <c r="AB21" s="269"/>
      <c r="AC21" s="529"/>
      <c r="AD21" s="71">
        <f>ROUND(SUM(AD18:AD20),1)</f>
        <v>406.9</v>
      </c>
      <c r="AE21" s="1251"/>
      <c r="AF21" s="269"/>
      <c r="AG21" s="71">
        <f>ROUND(SUM(AG18:AG20),1)</f>
        <v>410.8</v>
      </c>
      <c r="AH21" s="269"/>
      <c r="AI21" s="102"/>
      <c r="AJ21" s="71">
        <f>ROUND(SUM(AJ18:AJ20),1)</f>
        <v>-3.9</v>
      </c>
      <c r="AK21" s="41"/>
      <c r="AL21" s="543">
        <f>ROUND(IF(AG21=0,0,AJ21/ABS(AG21)),3)</f>
        <v>-8.9999999999999993E-3</v>
      </c>
      <c r="AM21" s="1669"/>
      <c r="AN21" s="1669"/>
    </row>
    <row r="22" spans="1:40" ht="15.75">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2"/>
      <c r="X22" s="269"/>
      <c r="Y22" s="294"/>
      <c r="Z22" s="269"/>
      <c r="AA22" s="1152"/>
      <c r="AB22" s="269"/>
      <c r="AC22" s="529"/>
      <c r="AD22" s="292"/>
      <c r="AE22" s="1251"/>
      <c r="AF22" s="269"/>
      <c r="AG22" s="292"/>
      <c r="AH22" s="269"/>
      <c r="AI22" s="102"/>
      <c r="AJ22" s="292"/>
      <c r="AL22" s="100"/>
      <c r="AM22" s="1669"/>
      <c r="AN22" s="1669"/>
    </row>
    <row r="23" spans="1:40" ht="15.75">
      <c r="A23" s="296"/>
      <c r="B23" s="289" t="s">
        <v>370</v>
      </c>
      <c r="C23" s="296"/>
      <c r="D23" s="296"/>
      <c r="E23" s="269">
        <v>0</v>
      </c>
      <c r="F23" s="269"/>
      <c r="G23" s="269">
        <v>0</v>
      </c>
      <c r="H23" s="269"/>
      <c r="I23" s="269">
        <v>0</v>
      </c>
      <c r="J23" s="269"/>
      <c r="K23" s="269">
        <v>0</v>
      </c>
      <c r="L23" s="558"/>
      <c r="M23" s="269">
        <v>0</v>
      </c>
      <c r="N23" s="558"/>
      <c r="O23" s="269">
        <v>0</v>
      </c>
      <c r="P23" s="558"/>
      <c r="Q23" s="269">
        <v>0</v>
      </c>
      <c r="R23" s="558"/>
      <c r="S23" s="269">
        <f>$AD23-O23-Q23-M23-K23-I23-G23-E23</f>
        <v>0</v>
      </c>
      <c r="T23" s="269"/>
      <c r="U23" s="269"/>
      <c r="V23" s="558"/>
      <c r="W23" s="269"/>
      <c r="X23" s="558"/>
      <c r="Y23" s="269"/>
      <c r="Z23" s="558"/>
      <c r="AA23" s="269"/>
      <c r="AB23" s="269"/>
      <c r="AC23" s="529"/>
      <c r="AD23" s="537">
        <v>0</v>
      </c>
      <c r="AE23" s="269"/>
      <c r="AF23" s="530" t="s">
        <v>103</v>
      </c>
      <c r="AG23" s="537">
        <v>0</v>
      </c>
      <c r="AH23" s="269"/>
      <c r="AI23" s="102"/>
      <c r="AJ23" s="269">
        <f>ROUND(AD23-AG23,1)</f>
        <v>0</v>
      </c>
      <c r="AL23" s="271">
        <f>ROUND(IF(AG23=0,0,AJ23/ABS(AG23)),3)</f>
        <v>0</v>
      </c>
      <c r="AM23" s="1669"/>
      <c r="AN23" s="1669"/>
    </row>
    <row r="24" spans="1:40" ht="15.75">
      <c r="A24" s="296"/>
      <c r="B24" s="289" t="s">
        <v>371</v>
      </c>
      <c r="C24" s="296"/>
      <c r="D24" s="296"/>
      <c r="E24" s="269">
        <v>3.8</v>
      </c>
      <c r="F24" s="269"/>
      <c r="G24" s="269">
        <v>0</v>
      </c>
      <c r="H24" s="269"/>
      <c r="I24" s="269">
        <v>1.2999999999999998</v>
      </c>
      <c r="J24" s="269"/>
      <c r="K24" s="269">
        <v>0</v>
      </c>
      <c r="L24" s="558"/>
      <c r="M24" s="269">
        <v>-1.8999999999999995</v>
      </c>
      <c r="N24" s="558"/>
      <c r="O24" s="269">
        <v>1.3999999999999995</v>
      </c>
      <c r="P24" s="558"/>
      <c r="Q24" s="269">
        <v>0</v>
      </c>
      <c r="R24" s="558"/>
      <c r="S24" s="269">
        <f t="shared" ref="S24:S25" si="1">$AD24-O24-Q24-M24-K24-I24-G24-E24</f>
        <v>0.70000000000000018</v>
      </c>
      <c r="T24" s="269"/>
      <c r="U24" s="269"/>
      <c r="V24" s="558"/>
      <c r="W24" s="269"/>
      <c r="X24" s="558"/>
      <c r="Y24" s="269"/>
      <c r="Z24" s="558"/>
      <c r="AA24" s="269"/>
      <c r="AB24" s="269"/>
      <c r="AC24" s="529"/>
      <c r="AD24" s="537">
        <v>5.3</v>
      </c>
      <c r="AE24" s="269"/>
      <c r="AF24" s="530" t="s">
        <v>103</v>
      </c>
      <c r="AG24" s="537">
        <v>6</v>
      </c>
      <c r="AH24" s="269"/>
      <c r="AI24" s="102"/>
      <c r="AJ24" s="269">
        <f>ROUND(AD24-AG24,1)</f>
        <v>-0.7</v>
      </c>
      <c r="AL24" s="548">
        <f>ROUND(IF(AG24=0,1,AJ24/ABS(AG24)),3)</f>
        <v>-0.11700000000000001</v>
      </c>
      <c r="AM24" s="1669"/>
      <c r="AN24" s="1669"/>
    </row>
    <row r="25" spans="1:40" ht="15.75">
      <c r="A25" s="296"/>
      <c r="B25" s="289" t="s">
        <v>375</v>
      </c>
      <c r="C25" s="3"/>
      <c r="D25" s="296"/>
      <c r="E25" s="269">
        <v>43.9</v>
      </c>
      <c r="F25" s="269"/>
      <c r="G25" s="269">
        <v>49.699999999999996</v>
      </c>
      <c r="H25" s="269"/>
      <c r="I25" s="269">
        <v>50.4</v>
      </c>
      <c r="J25" s="269"/>
      <c r="K25" s="269">
        <v>47.400000000000013</v>
      </c>
      <c r="L25" s="558"/>
      <c r="M25" s="269">
        <v>52.6</v>
      </c>
      <c r="N25" s="558"/>
      <c r="O25" s="269">
        <v>50.500000000000007</v>
      </c>
      <c r="P25" s="558"/>
      <c r="Q25" s="269">
        <v>50.499999999999979</v>
      </c>
      <c r="R25" s="558"/>
      <c r="S25" s="269">
        <f t="shared" si="1"/>
        <v>43.699999999999996</v>
      </c>
      <c r="T25" s="269"/>
      <c r="U25" s="269"/>
      <c r="V25" s="558"/>
      <c r="W25" s="269"/>
      <c r="X25" s="558"/>
      <c r="Y25" s="269"/>
      <c r="Z25" s="558"/>
      <c r="AA25" s="269"/>
      <c r="AB25" s="269"/>
      <c r="AC25" s="529"/>
      <c r="AD25" s="537">
        <v>388.7</v>
      </c>
      <c r="AE25" s="269"/>
      <c r="AF25" s="530" t="s">
        <v>103</v>
      </c>
      <c r="AG25" s="537">
        <v>414.40000000000003</v>
      </c>
      <c r="AH25" s="269"/>
      <c r="AI25" s="102"/>
      <c r="AJ25" s="269">
        <f>ROUND(AD25-AG25,1)</f>
        <v>-25.7</v>
      </c>
      <c r="AK25" s="41"/>
      <c r="AL25" s="539">
        <f>ROUND(IF(AG25=0,0,AJ25/ABS(AG25)),3)</f>
        <v>-6.2E-2</v>
      </c>
      <c r="AM25" s="1669"/>
      <c r="AN25" s="1669"/>
    </row>
    <row r="26" spans="1:40" ht="15.75">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50.7</v>
      </c>
      <c r="N26" s="269"/>
      <c r="O26" s="71">
        <f>ROUND(SUM(O23:O25),1)</f>
        <v>51.9</v>
      </c>
      <c r="P26" s="269"/>
      <c r="Q26" s="71">
        <f>ROUND(SUM(Q23:Q25),1)</f>
        <v>50.5</v>
      </c>
      <c r="R26" s="269"/>
      <c r="S26" s="71">
        <f>ROUND(SUM(S23:S25),1)</f>
        <v>44.4</v>
      </c>
      <c r="T26" s="13"/>
      <c r="U26" s="71">
        <f>ROUND(SUM(U23:U25),1)</f>
        <v>0</v>
      </c>
      <c r="V26" s="269"/>
      <c r="W26" s="71">
        <f>ROUND(SUM(W23:W25),1)</f>
        <v>0</v>
      </c>
      <c r="X26" s="269"/>
      <c r="Y26" s="71">
        <f>ROUND(SUM(Y23:Y25),1)</f>
        <v>0</v>
      </c>
      <c r="Z26" s="269"/>
      <c r="AA26" s="71">
        <f>ROUND(SUM(AA23:AA25),1)</f>
        <v>0</v>
      </c>
      <c r="AB26" s="269"/>
      <c r="AC26" s="529"/>
      <c r="AD26" s="71">
        <f>ROUND(SUM(AD23:AD25),1)</f>
        <v>394</v>
      </c>
      <c r="AE26" s="1251"/>
      <c r="AF26" s="269"/>
      <c r="AG26" s="71">
        <f>ROUND(SUM(AG23:AG25),1)</f>
        <v>420.4</v>
      </c>
      <c r="AH26" s="269"/>
      <c r="AI26" s="102"/>
      <c r="AJ26" s="71">
        <f>ROUND(SUM(AJ23:AJ25),1)</f>
        <v>-26.4</v>
      </c>
      <c r="AK26" s="41"/>
      <c r="AL26" s="544">
        <f>ROUND(IF(AG26=0,0,AJ26/ABS(AG26)),3)</f>
        <v>-6.3E-2</v>
      </c>
      <c r="AM26" s="1669"/>
      <c r="AN26" s="1669"/>
    </row>
    <row r="27" spans="1:40" ht="15.75">
      <c r="A27" s="296"/>
      <c r="B27" s="418" t="s">
        <v>585</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2"/>
      <c r="AF27" s="372"/>
      <c r="AG27" s="269"/>
      <c r="AH27" s="292"/>
      <c r="AI27" s="101"/>
      <c r="AJ27" s="292"/>
      <c r="AK27" s="99"/>
      <c r="AL27" s="271"/>
      <c r="AM27" s="1669"/>
      <c r="AN27" s="1669"/>
    </row>
    <row r="28" spans="1:40" ht="15.75">
      <c r="A28" s="296"/>
      <c r="B28" s="289" t="s">
        <v>381</v>
      </c>
      <c r="C28" s="296"/>
      <c r="D28" s="296"/>
      <c r="E28" s="269">
        <v>0</v>
      </c>
      <c r="F28" s="269"/>
      <c r="G28" s="269">
        <v>0</v>
      </c>
      <c r="H28" s="269"/>
      <c r="I28" s="269">
        <v>25.7</v>
      </c>
      <c r="J28" s="269"/>
      <c r="K28" s="269">
        <v>25.8</v>
      </c>
      <c r="L28" s="558"/>
      <c r="M28" s="269">
        <v>25.7</v>
      </c>
      <c r="N28" s="558"/>
      <c r="O28" s="269">
        <v>25.700000000000006</v>
      </c>
      <c r="P28" s="558"/>
      <c r="Q28" s="269">
        <v>25.799999999999986</v>
      </c>
      <c r="R28" s="558"/>
      <c r="S28" s="269">
        <f>$AD28-O28-Q28-M28-K28-I28-G28-E28</f>
        <v>25.700000000000006</v>
      </c>
      <c r="T28" s="558"/>
      <c r="U28" s="269"/>
      <c r="V28" s="558"/>
      <c r="W28" s="269"/>
      <c r="X28" s="558"/>
      <c r="Y28" s="269"/>
      <c r="Z28" s="558"/>
      <c r="AA28" s="269"/>
      <c r="AB28" s="269"/>
      <c r="AC28" s="529"/>
      <c r="AD28" s="537">
        <v>154.4</v>
      </c>
      <c r="AE28" s="269">
        <f>'Exhibit F'!AG1193</f>
        <v>0</v>
      </c>
      <c r="AF28" s="530" t="s">
        <v>103</v>
      </c>
      <c r="AG28" s="537">
        <v>154.4</v>
      </c>
      <c r="AH28" s="292"/>
      <c r="AI28" s="101"/>
      <c r="AJ28" s="269">
        <f>ROUND(AD28-AG28,1)</f>
        <v>0</v>
      </c>
      <c r="AK28" s="99"/>
      <c r="AL28" s="539">
        <f>ROUND(IF(AG28=0,0,AJ28/ABS(AG28)),3)</f>
        <v>0</v>
      </c>
      <c r="AM28" s="1669"/>
      <c r="AN28" s="1669"/>
    </row>
    <row r="29" spans="1:40" ht="15.75">
      <c r="B29" s="87" t="s">
        <v>563</v>
      </c>
      <c r="C29" s="296"/>
      <c r="D29" s="296"/>
      <c r="E29" s="71">
        <f>ROUND(SUM(E28:E28),1)</f>
        <v>0</v>
      </c>
      <c r="F29" s="269"/>
      <c r="G29" s="71">
        <f>ROUND(SUM(G28:G28),1)</f>
        <v>0</v>
      </c>
      <c r="H29" s="269"/>
      <c r="I29" s="71">
        <f>ROUND(SUM(I28:I28),1)</f>
        <v>25.7</v>
      </c>
      <c r="J29" s="269"/>
      <c r="K29" s="71">
        <f>ROUND(SUM(K28:K28),1)</f>
        <v>25.8</v>
      </c>
      <c r="L29" s="269"/>
      <c r="M29" s="71">
        <f>ROUND(SUM(M28:M28),1)</f>
        <v>25.7</v>
      </c>
      <c r="N29" s="269"/>
      <c r="O29" s="71">
        <f>ROUND(SUM(O28:O28),1)</f>
        <v>25.7</v>
      </c>
      <c r="P29" s="269"/>
      <c r="Q29" s="71">
        <f>ROUND(SUM(Q28:Q28),1)</f>
        <v>25.8</v>
      </c>
      <c r="R29" s="269"/>
      <c r="S29" s="71">
        <f>ROUND(SUM(S28:S28),1)</f>
        <v>25.7</v>
      </c>
      <c r="T29" s="13"/>
      <c r="U29" s="71">
        <f>ROUND(SUM(U28:U28),1)</f>
        <v>0</v>
      </c>
      <c r="V29" s="269"/>
      <c r="W29" s="71">
        <f>ROUND(SUM(W28:W28),1)</f>
        <v>0</v>
      </c>
      <c r="X29" s="269"/>
      <c r="Y29" s="71">
        <f>ROUND(SUM(Y28:Y28),1)</f>
        <v>0</v>
      </c>
      <c r="Z29" s="269"/>
      <c r="AA29" s="71">
        <f>ROUND(SUM(AA28:AA28),1)</f>
        <v>0</v>
      </c>
      <c r="AB29" s="269"/>
      <c r="AC29" s="529"/>
      <c r="AD29" s="71">
        <f>ROUND(SUM(AD28:AD28),1)</f>
        <v>154.4</v>
      </c>
      <c r="AE29" s="1262"/>
      <c r="AF29" s="372"/>
      <c r="AG29" s="71">
        <f>ROUND(SUM(AG28:AG28),1)</f>
        <v>154.4</v>
      </c>
      <c r="AH29" s="292"/>
      <c r="AI29" s="101"/>
      <c r="AJ29" s="71">
        <f>ROUND(SUM(AJ28:AJ28),1)</f>
        <v>0</v>
      </c>
      <c r="AK29" s="99"/>
      <c r="AL29" s="543">
        <f>ROUND(IF(AG29=0,0,AJ29/ABS(AG29)),3)</f>
        <v>0</v>
      </c>
      <c r="AM29" s="1669"/>
      <c r="AN29" s="1669"/>
    </row>
    <row r="30" spans="1:40" ht="15.75">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2"/>
      <c r="AF30" s="372"/>
      <c r="AG30" s="269"/>
      <c r="AH30" s="292"/>
      <c r="AI30" s="101"/>
      <c r="AJ30" s="292"/>
      <c r="AK30" s="99"/>
      <c r="AL30" s="1816"/>
      <c r="AM30" s="1669"/>
      <c r="AN30" s="1669"/>
    </row>
    <row r="31" spans="1:40" s="3" customFormat="1" ht="15.75">
      <c r="B31" s="87" t="s">
        <v>385</v>
      </c>
      <c r="E31" s="715">
        <f>ROUND(SUM(+E26+E21+E29),1)</f>
        <v>94.9</v>
      </c>
      <c r="F31" s="13"/>
      <c r="G31" s="715">
        <f>ROUND(SUM(+G26+G21+G29),1)</f>
        <v>93.4</v>
      </c>
      <c r="H31" s="13"/>
      <c r="I31" s="715">
        <f>ROUND(SUM(+I26+I21+I29),1)</f>
        <v>144</v>
      </c>
      <c r="J31" s="13"/>
      <c r="K31" s="715">
        <f>ROUND(SUM(+K26+K21+K29),1)</f>
        <v>117.1</v>
      </c>
      <c r="L31" s="13"/>
      <c r="M31" s="1034">
        <f>ROUND(SUM(+M26+M21+M29),1)</f>
        <v>121.5</v>
      </c>
      <c r="N31" s="13"/>
      <c r="O31" s="1034">
        <f>ROUND(SUM(+O26+O21+O29),1)</f>
        <v>151.80000000000001</v>
      </c>
      <c r="P31" s="13"/>
      <c r="Q31" s="1034">
        <f>ROUND(SUM(+Q26+Q21+Q29),1)</f>
        <v>123.2</v>
      </c>
      <c r="R31" s="13"/>
      <c r="S31" s="1034">
        <f>ROUND(SUM(+S26+S21+S29),1)</f>
        <v>109.4</v>
      </c>
      <c r="T31" s="677"/>
      <c r="U31" s="1034">
        <f>ROUND(SUM(+U26+U21+U29),1)</f>
        <v>0</v>
      </c>
      <c r="V31" s="13"/>
      <c r="W31" s="1034">
        <f>ROUND(SUM(+W26+W21+W29),1)</f>
        <v>0</v>
      </c>
      <c r="X31" s="13"/>
      <c r="Y31" s="1034">
        <f>ROUND(SUM(+Y26+Y21+Y29),1)</f>
        <v>0</v>
      </c>
      <c r="Z31" s="13"/>
      <c r="AA31" s="1034">
        <f>ROUND(SUM(+AA26+AA21+AA29),1)</f>
        <v>0</v>
      </c>
      <c r="AB31" s="13"/>
      <c r="AC31" s="14"/>
      <c r="AD31" s="1034">
        <f>ROUND(SUM(+AD26+AD21+AD29),1)</f>
        <v>955.3</v>
      </c>
      <c r="AE31" s="1817"/>
      <c r="AF31" s="17"/>
      <c r="AG31" s="1034">
        <f>ROUND(SUM(+AG26+AG21+AG29),1)</f>
        <v>985.6</v>
      </c>
      <c r="AH31" s="18"/>
      <c r="AI31" s="101"/>
      <c r="AJ31" s="1034">
        <f>ROUND(SUM(+AJ26+AJ21+AJ29),1)</f>
        <v>-30.3</v>
      </c>
      <c r="AK31" s="324"/>
      <c r="AL31" s="544">
        <f>ROUND(IF(AG31=0,1,AJ31/ABS(AG31)),3)</f>
        <v>-3.1E-2</v>
      </c>
      <c r="AM31" s="1669"/>
      <c r="AN31" s="1669"/>
    </row>
    <row r="32" spans="1:40" ht="15.75">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2"/>
      <c r="AF32" s="372"/>
      <c r="AG32" s="269"/>
      <c r="AH32" s="292"/>
      <c r="AI32" s="101"/>
      <c r="AJ32" s="292"/>
      <c r="AK32" s="99"/>
      <c r="AL32" s="271"/>
      <c r="AM32" s="1669"/>
      <c r="AN32" s="1669"/>
    </row>
    <row r="33" spans="1:40" ht="15.75">
      <c r="A33" s="296"/>
      <c r="B33" s="1235"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51"/>
      <c r="AF33" s="269"/>
      <c r="AG33" s="269"/>
      <c r="AH33" s="292"/>
      <c r="AI33" s="101"/>
      <c r="AJ33" s="292"/>
      <c r="AK33" s="41"/>
      <c r="AL33" s="100"/>
      <c r="AM33" s="1669"/>
      <c r="AN33" s="1669"/>
    </row>
    <row r="34" spans="1:40" ht="15.75">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51"/>
      <c r="AF34" s="269"/>
      <c r="AG34" s="269"/>
      <c r="AH34" s="292"/>
      <c r="AI34" s="101"/>
      <c r="AJ34" s="292"/>
      <c r="AK34" s="41"/>
      <c r="AL34" s="100"/>
      <c r="AM34" s="1669"/>
      <c r="AN34" s="1669"/>
    </row>
    <row r="35" spans="1:40" ht="15.75">
      <c r="A35" s="296"/>
      <c r="B35" s="355" t="s">
        <v>1491</v>
      </c>
      <c r="C35" s="296"/>
      <c r="D35" s="296"/>
      <c r="E35" s="269">
        <v>0.1</v>
      </c>
      <c r="F35" s="269"/>
      <c r="G35" s="269">
        <v>-0.1</v>
      </c>
      <c r="H35" s="269"/>
      <c r="I35" s="269">
        <v>0</v>
      </c>
      <c r="J35" s="269"/>
      <c r="K35" s="269">
        <v>0</v>
      </c>
      <c r="L35" s="558"/>
      <c r="M35" s="269">
        <v>0</v>
      </c>
      <c r="N35" s="558"/>
      <c r="O35" s="269">
        <v>0</v>
      </c>
      <c r="P35" s="558"/>
      <c r="Q35" s="269">
        <v>0</v>
      </c>
      <c r="R35" s="558"/>
      <c r="S35" s="269">
        <f>$AD35-O35-Q35-M35-K35-I35-G35-E35</f>
        <v>0</v>
      </c>
      <c r="T35" s="558"/>
      <c r="U35" s="269"/>
      <c r="V35" s="558"/>
      <c r="W35" s="269"/>
      <c r="X35" s="558"/>
      <c r="Y35" s="269"/>
      <c r="Z35" s="558"/>
      <c r="AA35" s="269"/>
      <c r="AB35" s="269"/>
      <c r="AC35" s="529"/>
      <c r="AD35" s="537">
        <v>0</v>
      </c>
      <c r="AE35" s="269"/>
      <c r="AF35" s="530" t="s">
        <v>103</v>
      </c>
      <c r="AG35" s="537">
        <v>0</v>
      </c>
      <c r="AH35" s="292"/>
      <c r="AI35" s="101"/>
      <c r="AJ35" s="269">
        <f t="shared" ref="AJ35" si="2">ROUND(AD35-AG35,1)</f>
        <v>0</v>
      </c>
      <c r="AK35" s="41"/>
      <c r="AL35" s="271">
        <f>ROUND(IF(AG35=0,0,AJ35/ABS(AG35)),3)</f>
        <v>0</v>
      </c>
      <c r="AM35" s="1669"/>
      <c r="AN35" s="1669"/>
    </row>
    <row r="36" spans="1:40" ht="15.75">
      <c r="A36" s="296"/>
      <c r="B36" s="355" t="s">
        <v>564</v>
      </c>
      <c r="C36" s="296"/>
      <c r="D36" s="296"/>
      <c r="E36" s="269">
        <v>0</v>
      </c>
      <c r="F36" s="269"/>
      <c r="G36" s="269">
        <v>0</v>
      </c>
      <c r="H36" s="269"/>
      <c r="I36" s="269">
        <v>23</v>
      </c>
      <c r="J36" s="269"/>
      <c r="K36" s="269">
        <v>0</v>
      </c>
      <c r="L36" s="558"/>
      <c r="M36" s="269">
        <v>0</v>
      </c>
      <c r="N36" s="558"/>
      <c r="O36" s="269">
        <v>0</v>
      </c>
      <c r="P36" s="558"/>
      <c r="Q36" s="269">
        <v>0</v>
      </c>
      <c r="R36" s="558"/>
      <c r="S36" s="269">
        <f t="shared" ref="S36:S58" si="3">$AD36-O36-Q36-M36-K36-I36-G36-E36</f>
        <v>0</v>
      </c>
      <c r="T36" s="558"/>
      <c r="U36" s="269"/>
      <c r="V36" s="558"/>
      <c r="W36" s="269"/>
      <c r="X36" s="558"/>
      <c r="Y36" s="269"/>
      <c r="Z36" s="558"/>
      <c r="AA36" s="269"/>
      <c r="AB36" s="269"/>
      <c r="AC36" s="529"/>
      <c r="AD36" s="537">
        <v>23</v>
      </c>
      <c r="AE36" s="269"/>
      <c r="AF36" s="530" t="s">
        <v>103</v>
      </c>
      <c r="AG36" s="537">
        <v>23</v>
      </c>
      <c r="AH36" s="292"/>
      <c r="AI36" s="101"/>
      <c r="AJ36" s="269">
        <f t="shared" ref="AJ36:AJ59" si="4">ROUND(AD36-AG36,1)</f>
        <v>0</v>
      </c>
      <c r="AK36" s="41"/>
      <c r="AL36" s="271">
        <f>ROUND(IF(AG36=0,1,AJ36/ABS(AG36)),3)</f>
        <v>0</v>
      </c>
      <c r="AM36" s="1669"/>
      <c r="AN36" s="1669"/>
    </row>
    <row r="37" spans="1:40" ht="15.75">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51"/>
      <c r="AF37" s="269"/>
      <c r="AG37" s="294" t="s">
        <v>103</v>
      </c>
      <c r="AH37" s="292"/>
      <c r="AI37" s="101"/>
      <c r="AJ37" s="269"/>
      <c r="AK37" s="41"/>
      <c r="AL37" s="100"/>
      <c r="AM37" s="1669"/>
      <c r="AN37" s="1669"/>
    </row>
    <row r="38" spans="1:40" ht="15.75">
      <c r="A38" s="296"/>
      <c r="B38" s="355" t="s">
        <v>486</v>
      </c>
      <c r="C38" s="296"/>
      <c r="D38" s="296"/>
      <c r="E38" s="269">
        <v>5.7</v>
      </c>
      <c r="F38" s="269"/>
      <c r="G38" s="269">
        <v>5.7</v>
      </c>
      <c r="H38" s="269"/>
      <c r="I38" s="269">
        <v>5.1000000000000005</v>
      </c>
      <c r="J38" s="269"/>
      <c r="K38" s="269">
        <v>4.8999999999999977</v>
      </c>
      <c r="L38" s="558"/>
      <c r="M38" s="269">
        <v>5.200000000000002</v>
      </c>
      <c r="N38" s="558"/>
      <c r="O38" s="269">
        <v>4.8999999999999977</v>
      </c>
      <c r="P38" s="558"/>
      <c r="Q38" s="269">
        <v>5.1000000000000005</v>
      </c>
      <c r="R38" s="558"/>
      <c r="S38" s="269">
        <f t="shared" si="3"/>
        <v>5.1000000000000005</v>
      </c>
      <c r="T38" s="558"/>
      <c r="U38" s="269"/>
      <c r="V38" s="558"/>
      <c r="W38" s="269"/>
      <c r="X38" s="558"/>
      <c r="Y38" s="269"/>
      <c r="Z38" s="558"/>
      <c r="AA38" s="269"/>
      <c r="AB38" s="269"/>
      <c r="AC38" s="529"/>
      <c r="AD38" s="537">
        <v>41.7</v>
      </c>
      <c r="AE38" s="269"/>
      <c r="AF38" s="530" t="s">
        <v>103</v>
      </c>
      <c r="AG38" s="537">
        <v>42.1</v>
      </c>
      <c r="AH38" s="292"/>
      <c r="AI38" s="101"/>
      <c r="AJ38" s="269">
        <f t="shared" si="4"/>
        <v>-0.4</v>
      </c>
      <c r="AK38" s="41"/>
      <c r="AL38" s="271">
        <f>ROUND(IF(AG38=0,0,AJ38/ABS(AG38)),3)</f>
        <v>-0.01</v>
      </c>
      <c r="AM38" s="1669"/>
      <c r="AN38" s="1669"/>
    </row>
    <row r="39" spans="1:40" ht="15.75">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51"/>
      <c r="AF39" s="269"/>
      <c r="AG39" s="294" t="s">
        <v>103</v>
      </c>
      <c r="AH39" s="292"/>
      <c r="AI39" s="101"/>
      <c r="AJ39" s="269"/>
      <c r="AK39" s="41"/>
      <c r="AL39" s="100"/>
      <c r="AM39" s="1669"/>
      <c r="AN39" s="1669"/>
    </row>
    <row r="40" spans="1:40" ht="15.75">
      <c r="A40" s="296"/>
      <c r="B40" s="355" t="s">
        <v>489</v>
      </c>
      <c r="C40" s="296"/>
      <c r="D40" s="296"/>
      <c r="E40" s="269">
        <v>-7.2</v>
      </c>
      <c r="F40" s="269"/>
      <c r="G40" s="269">
        <v>3.4000000000000004</v>
      </c>
      <c r="H40" s="269"/>
      <c r="I40" s="269">
        <v>7.7999999999999989</v>
      </c>
      <c r="J40" s="269"/>
      <c r="K40" s="269">
        <v>1.4000000000000012</v>
      </c>
      <c r="L40" s="558"/>
      <c r="M40" s="269">
        <v>1.1999999999999993</v>
      </c>
      <c r="N40" s="558"/>
      <c r="O40" s="269">
        <v>1.4000000000000004</v>
      </c>
      <c r="P40" s="558"/>
      <c r="Q40" s="269">
        <v>4.5000000000000009</v>
      </c>
      <c r="R40" s="558"/>
      <c r="S40" s="269">
        <f t="shared" si="3"/>
        <v>2.4000000000000004</v>
      </c>
      <c r="T40" s="558"/>
      <c r="U40" s="269"/>
      <c r="V40" s="558"/>
      <c r="W40" s="269"/>
      <c r="X40" s="558"/>
      <c r="Y40" s="269"/>
      <c r="Z40" s="558"/>
      <c r="AA40" s="269"/>
      <c r="AB40" s="269"/>
      <c r="AC40" s="529"/>
      <c r="AD40" s="537">
        <v>14.9</v>
      </c>
      <c r="AE40" s="269"/>
      <c r="AF40" s="530" t="s">
        <v>103</v>
      </c>
      <c r="AG40" s="537">
        <v>28.2</v>
      </c>
      <c r="AH40" s="292"/>
      <c r="AI40" s="101"/>
      <c r="AJ40" s="269">
        <f t="shared" si="4"/>
        <v>-13.3</v>
      </c>
      <c r="AK40" s="41"/>
      <c r="AL40" s="271">
        <f>ROUND(IF(AG40=0,0,AJ40/ABS(AG40)),3)</f>
        <v>-0.47199999999999998</v>
      </c>
      <c r="AM40" s="1669"/>
      <c r="AN40" s="1669"/>
    </row>
    <row r="41" spans="1:40" ht="15.75">
      <c r="A41" s="296"/>
      <c r="B41" s="355" t="s">
        <v>565</v>
      </c>
      <c r="C41" s="296"/>
      <c r="D41" s="296"/>
      <c r="E41" s="269">
        <v>0</v>
      </c>
      <c r="F41" s="269"/>
      <c r="G41" s="269">
        <v>0</v>
      </c>
      <c r="H41" s="269"/>
      <c r="I41" s="269">
        <v>0</v>
      </c>
      <c r="J41" s="269"/>
      <c r="K41" s="269">
        <v>0</v>
      </c>
      <c r="L41" s="558"/>
      <c r="M41" s="269">
        <v>0</v>
      </c>
      <c r="N41" s="558"/>
      <c r="O41" s="269">
        <v>0</v>
      </c>
      <c r="P41" s="558"/>
      <c r="Q41" s="269">
        <v>0</v>
      </c>
      <c r="R41" s="558"/>
      <c r="S41" s="269">
        <f t="shared" si="3"/>
        <v>0</v>
      </c>
      <c r="T41" s="558"/>
      <c r="U41" s="269"/>
      <c r="V41" s="558"/>
      <c r="W41" s="269"/>
      <c r="X41" s="558"/>
      <c r="Y41" s="269"/>
      <c r="Z41" s="558"/>
      <c r="AA41" s="269"/>
      <c r="AB41" s="269"/>
      <c r="AC41" s="529"/>
      <c r="AD41" s="537">
        <v>0</v>
      </c>
      <c r="AE41" s="269"/>
      <c r="AF41" s="530" t="s">
        <v>103</v>
      </c>
      <c r="AG41" s="537">
        <v>0</v>
      </c>
      <c r="AH41" s="292"/>
      <c r="AI41" s="101"/>
      <c r="AJ41" s="269">
        <f>ROUND(AD41-AG41,1)</f>
        <v>0</v>
      </c>
      <c r="AK41" s="41"/>
      <c r="AL41" s="271">
        <f>ROUND(IF(AG41=0,0,AJ41/ABS(AG41)),3)</f>
        <v>0</v>
      </c>
      <c r="AM41" s="1669"/>
      <c r="AN41" s="1669"/>
    </row>
    <row r="42" spans="1:40" ht="15.75">
      <c r="A42" s="296"/>
      <c r="B42" s="355" t="s">
        <v>492</v>
      </c>
      <c r="C42" s="296"/>
      <c r="D42" s="296"/>
      <c r="E42" s="269">
        <v>63</v>
      </c>
      <c r="F42" s="269"/>
      <c r="G42" s="269">
        <v>64.7</v>
      </c>
      <c r="H42" s="269"/>
      <c r="I42" s="269">
        <v>61.399999999999991</v>
      </c>
      <c r="J42" s="269"/>
      <c r="K42" s="269">
        <v>56.199999999999974</v>
      </c>
      <c r="L42" s="558"/>
      <c r="M42" s="269">
        <v>59.800000000000054</v>
      </c>
      <c r="N42" s="558"/>
      <c r="O42" s="269">
        <v>57.599999999999952</v>
      </c>
      <c r="P42" s="558"/>
      <c r="Q42" s="269">
        <v>96.600000000000023</v>
      </c>
      <c r="R42" s="558"/>
      <c r="S42" s="269">
        <f t="shared" si="3"/>
        <v>51.29999999999994</v>
      </c>
      <c r="T42" s="558"/>
      <c r="U42" s="269"/>
      <c r="V42" s="558"/>
      <c r="W42" s="269"/>
      <c r="X42" s="558"/>
      <c r="Y42" s="269"/>
      <c r="Z42" s="558"/>
      <c r="AA42" s="269"/>
      <c r="AB42" s="269"/>
      <c r="AC42" s="529"/>
      <c r="AD42" s="537">
        <v>510.59999999999997</v>
      </c>
      <c r="AE42" s="269"/>
      <c r="AF42" s="530" t="s">
        <v>103</v>
      </c>
      <c r="AG42" s="537">
        <v>457.8</v>
      </c>
      <c r="AH42" s="292"/>
      <c r="AI42" s="101"/>
      <c r="AJ42" s="269">
        <f t="shared" si="4"/>
        <v>52.8</v>
      </c>
      <c r="AK42" s="41"/>
      <c r="AL42" s="271">
        <f>ROUND(IF(AG42=0,0,AJ42/ABS(AG42)),3)</f>
        <v>0.115</v>
      </c>
      <c r="AM42" s="1669"/>
      <c r="AN42" s="1669"/>
    </row>
    <row r="43" spans="1:40" ht="15.75">
      <c r="A43" s="296"/>
      <c r="B43" s="355" t="s">
        <v>493</v>
      </c>
      <c r="C43" s="296"/>
      <c r="D43" s="296"/>
      <c r="E43" s="269">
        <v>4.4000000000000004</v>
      </c>
      <c r="F43" s="269"/>
      <c r="G43" s="269">
        <v>0.19999999999999929</v>
      </c>
      <c r="H43" s="269"/>
      <c r="I43" s="269">
        <v>4.7000000000000011</v>
      </c>
      <c r="J43" s="269"/>
      <c r="K43" s="269">
        <v>4.3999999999999986</v>
      </c>
      <c r="L43" s="558"/>
      <c r="M43" s="269">
        <v>6.3000000000000007</v>
      </c>
      <c r="N43" s="558"/>
      <c r="O43" s="269">
        <v>1.3999999999999986</v>
      </c>
      <c r="P43" s="558"/>
      <c r="Q43" s="269">
        <v>2.1000000000000014</v>
      </c>
      <c r="R43" s="558"/>
      <c r="S43" s="269">
        <f t="shared" si="3"/>
        <v>0</v>
      </c>
      <c r="T43" s="558"/>
      <c r="U43" s="269"/>
      <c r="V43" s="558"/>
      <c r="W43" s="269"/>
      <c r="X43" s="558"/>
      <c r="Y43" s="269"/>
      <c r="Z43" s="558"/>
      <c r="AA43" s="269"/>
      <c r="AB43" s="269"/>
      <c r="AC43" s="529"/>
      <c r="AD43" s="537">
        <v>23.5</v>
      </c>
      <c r="AE43" s="269"/>
      <c r="AF43" s="530" t="s">
        <v>103</v>
      </c>
      <c r="AG43" s="537">
        <v>22</v>
      </c>
      <c r="AH43" s="292"/>
      <c r="AI43" s="101"/>
      <c r="AJ43" s="269">
        <f t="shared" si="4"/>
        <v>1.5</v>
      </c>
      <c r="AK43" s="41"/>
      <c r="AL43" s="548">
        <f>ROUND(IF(AG43=0,1,AJ43/ABS(AG43)),3)</f>
        <v>6.8000000000000005E-2</v>
      </c>
      <c r="AM43" s="1669"/>
      <c r="AN43" s="1669"/>
    </row>
    <row r="44" spans="1:40" ht="15.75">
      <c r="A44" s="296"/>
      <c r="B44" s="355" t="s">
        <v>403</v>
      </c>
      <c r="C44" s="296"/>
      <c r="D44" s="296"/>
      <c r="E44" s="269">
        <v>2.8</v>
      </c>
      <c r="F44" s="269"/>
      <c r="G44" s="269">
        <v>1.2999999999999998</v>
      </c>
      <c r="H44" s="269"/>
      <c r="I44" s="269">
        <v>2.9000000000000004</v>
      </c>
      <c r="J44" s="269"/>
      <c r="K44" s="269">
        <v>2.4999999999999991</v>
      </c>
      <c r="L44" s="558"/>
      <c r="M44" s="269">
        <v>1.4000000000000012</v>
      </c>
      <c r="N44" s="558"/>
      <c r="O44" s="269">
        <v>2.0999999999999979</v>
      </c>
      <c r="P44" s="558"/>
      <c r="Q44" s="269">
        <v>2.1999999999999993</v>
      </c>
      <c r="R44" s="558"/>
      <c r="S44" s="269">
        <f t="shared" si="3"/>
        <v>12.799999999999997</v>
      </c>
      <c r="T44" s="558"/>
      <c r="U44" s="269"/>
      <c r="V44" s="558"/>
      <c r="W44" s="269"/>
      <c r="X44" s="558"/>
      <c r="Y44" s="269"/>
      <c r="Z44" s="558"/>
      <c r="AA44" s="269"/>
      <c r="AB44" s="269"/>
      <c r="AC44" s="529"/>
      <c r="AD44" s="537">
        <v>28</v>
      </c>
      <c r="AE44" s="1251"/>
      <c r="AF44" s="269" t="s">
        <v>103</v>
      </c>
      <c r="AG44" s="537">
        <v>29.5</v>
      </c>
      <c r="AH44" s="292"/>
      <c r="AI44" s="101"/>
      <c r="AJ44" s="269">
        <f t="shared" si="4"/>
        <v>-1.5</v>
      </c>
      <c r="AK44" s="41"/>
      <c r="AL44" s="548">
        <f>ROUND(IF(AG44=0,1,AJ44/ABS(AG44)),3)</f>
        <v>-5.0999999999999997E-2</v>
      </c>
      <c r="AM44" s="1669"/>
      <c r="AN44" s="1669"/>
    </row>
    <row r="45" spans="1:40" ht="15.75">
      <c r="A45" s="296"/>
      <c r="B45" s="355" t="s">
        <v>409</v>
      </c>
      <c r="C45" s="296"/>
      <c r="D45" s="296"/>
      <c r="E45" s="269">
        <v>3.8</v>
      </c>
      <c r="F45" s="269"/>
      <c r="G45" s="269">
        <v>3.9000000000000004</v>
      </c>
      <c r="H45" s="269"/>
      <c r="I45" s="269">
        <v>3.9999999999999991</v>
      </c>
      <c r="J45" s="269"/>
      <c r="K45" s="269">
        <v>4</v>
      </c>
      <c r="L45" s="558"/>
      <c r="M45" s="269">
        <v>4.6000000000000005</v>
      </c>
      <c r="N45" s="558"/>
      <c r="O45" s="269">
        <v>4.3999999999999977</v>
      </c>
      <c r="P45" s="558"/>
      <c r="Q45" s="269">
        <v>4.1999999999999984</v>
      </c>
      <c r="R45" s="558"/>
      <c r="S45" s="269">
        <f t="shared" si="3"/>
        <v>4.200000000000002</v>
      </c>
      <c r="T45" s="558"/>
      <c r="U45" s="269"/>
      <c r="V45" s="558"/>
      <c r="W45" s="269"/>
      <c r="X45" s="558"/>
      <c r="Y45" s="269"/>
      <c r="Z45" s="558"/>
      <c r="AA45" s="269"/>
      <c r="AB45" s="269"/>
      <c r="AC45" s="529"/>
      <c r="AD45" s="537">
        <v>33.1</v>
      </c>
      <c r="AE45" s="1251"/>
      <c r="AF45" s="269" t="s">
        <v>103</v>
      </c>
      <c r="AG45" s="537">
        <v>33.1</v>
      </c>
      <c r="AH45" s="292"/>
      <c r="AI45" s="101"/>
      <c r="AJ45" s="269">
        <f t="shared" si="4"/>
        <v>0</v>
      </c>
      <c r="AK45" s="41"/>
      <c r="AL45" s="548">
        <f>ROUND(IF(AG45=0,1,AJ45/ABS(AG45)),3)</f>
        <v>0</v>
      </c>
      <c r="AM45" s="1669"/>
      <c r="AN45" s="1669"/>
    </row>
    <row r="46" spans="1:40" ht="15.75">
      <c r="A46" s="296"/>
      <c r="B46" s="355" t="s">
        <v>410</v>
      </c>
      <c r="C46" s="296"/>
      <c r="D46" s="296"/>
      <c r="E46" s="269">
        <v>0</v>
      </c>
      <c r="F46" s="269"/>
      <c r="G46" s="269">
        <v>0</v>
      </c>
      <c r="H46" s="269"/>
      <c r="I46" s="269">
        <v>0</v>
      </c>
      <c r="J46" s="269"/>
      <c r="K46" s="269">
        <v>0</v>
      </c>
      <c r="L46" s="558"/>
      <c r="M46" s="269">
        <v>0</v>
      </c>
      <c r="N46" s="558"/>
      <c r="O46" s="269">
        <v>0</v>
      </c>
      <c r="P46" s="558"/>
      <c r="Q46" s="269">
        <v>0</v>
      </c>
      <c r="R46" s="558"/>
      <c r="S46" s="269">
        <f t="shared" si="3"/>
        <v>0</v>
      </c>
      <c r="T46" s="558"/>
      <c r="U46" s="269"/>
      <c r="V46" s="558"/>
      <c r="W46" s="269"/>
      <c r="X46" s="558"/>
      <c r="Y46" s="269"/>
      <c r="Z46" s="558"/>
      <c r="AA46" s="269"/>
      <c r="AB46" s="269"/>
      <c r="AC46" s="529"/>
      <c r="AD46" s="537">
        <v>0</v>
      </c>
      <c r="AE46" s="269"/>
      <c r="AF46" s="530" t="s">
        <v>103</v>
      </c>
      <c r="AG46" s="537">
        <v>0.5</v>
      </c>
      <c r="AH46" s="292"/>
      <c r="AI46" s="101"/>
      <c r="AJ46" s="269">
        <f>ROUND(AD46-AG46,1)</f>
        <v>-0.5</v>
      </c>
      <c r="AK46" s="41"/>
      <c r="AL46" s="548">
        <f>ROUND(IF(AG46=0,0,AJ46/ABS(AG46)),3)</f>
        <v>-1</v>
      </c>
      <c r="AM46" s="1669"/>
      <c r="AN46" s="1669"/>
    </row>
    <row r="47" spans="1:40" ht="15.75">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51"/>
      <c r="AF47" s="269"/>
      <c r="AG47" s="294" t="s">
        <v>103</v>
      </c>
      <c r="AH47" s="292"/>
      <c r="AI47" s="101"/>
      <c r="AJ47" s="269"/>
      <c r="AK47" s="41"/>
      <c r="AL47" s="100"/>
      <c r="AM47" s="1669"/>
      <c r="AN47" s="1669"/>
    </row>
    <row r="48" spans="1:40" ht="15.75">
      <c r="A48" s="296"/>
      <c r="B48" s="355" t="s">
        <v>497</v>
      </c>
      <c r="C48" s="296"/>
      <c r="D48" s="296"/>
      <c r="E48" s="269">
        <v>0</v>
      </c>
      <c r="F48" s="269"/>
      <c r="G48" s="269">
        <v>103.6</v>
      </c>
      <c r="H48" s="269"/>
      <c r="I48" s="269">
        <v>-2.1999999999999886</v>
      </c>
      <c r="J48" s="269"/>
      <c r="K48" s="269">
        <v>1071.5000000000002</v>
      </c>
      <c r="L48" s="558"/>
      <c r="M48" s="269">
        <v>0.39999999999977831</v>
      </c>
      <c r="N48" s="558"/>
      <c r="O48" s="269">
        <v>8.9999999999999432</v>
      </c>
      <c r="P48" s="558"/>
      <c r="Q48" s="269">
        <v>354.29999999999984</v>
      </c>
      <c r="R48" s="558"/>
      <c r="S48" s="269">
        <f t="shared" si="3"/>
        <v>0.50000000000008527</v>
      </c>
      <c r="T48" s="558"/>
      <c r="U48" s="269"/>
      <c r="V48" s="558"/>
      <c r="W48" s="269"/>
      <c r="X48" s="558"/>
      <c r="Y48" s="269"/>
      <c r="Z48" s="558"/>
      <c r="AA48" s="269"/>
      <c r="AB48" s="269"/>
      <c r="AC48" s="529"/>
      <c r="AD48" s="537">
        <v>1537.1</v>
      </c>
      <c r="AE48" s="269"/>
      <c r="AF48" s="530"/>
      <c r="AG48" s="537">
        <v>2478.1999999999998</v>
      </c>
      <c r="AH48" s="292"/>
      <c r="AI48" s="101"/>
      <c r="AJ48" s="269">
        <f t="shared" si="4"/>
        <v>-941.1</v>
      </c>
      <c r="AK48" s="41"/>
      <c r="AL48" s="1088">
        <f>ROUND(IF(AG48=0,0,AJ48/ABS(AG48)),3)</f>
        <v>-0.38</v>
      </c>
      <c r="AM48" s="1669"/>
      <c r="AN48" s="1669"/>
    </row>
    <row r="49" spans="1:40" s="377" customFormat="1" ht="15.75">
      <c r="B49" s="355" t="s">
        <v>499</v>
      </c>
      <c r="C49" s="296"/>
      <c r="D49" s="296"/>
      <c r="E49" s="269">
        <v>0</v>
      </c>
      <c r="F49" s="294"/>
      <c r="G49" s="269">
        <v>0</v>
      </c>
      <c r="H49" s="294"/>
      <c r="I49" s="269">
        <v>0</v>
      </c>
      <c r="J49" s="294"/>
      <c r="K49" s="269">
        <v>0</v>
      </c>
      <c r="L49" s="558"/>
      <c r="M49" s="269">
        <v>0</v>
      </c>
      <c r="N49" s="558"/>
      <c r="O49" s="269">
        <v>0</v>
      </c>
      <c r="P49" s="558"/>
      <c r="Q49" s="269">
        <v>0</v>
      </c>
      <c r="R49" s="558"/>
      <c r="S49" s="269">
        <f t="shared" si="3"/>
        <v>0</v>
      </c>
      <c r="T49" s="558"/>
      <c r="U49" s="269"/>
      <c r="V49" s="558"/>
      <c r="W49" s="269"/>
      <c r="X49" s="558"/>
      <c r="Y49" s="269"/>
      <c r="Z49" s="558"/>
      <c r="AA49" s="269"/>
      <c r="AB49" s="269"/>
      <c r="AC49" s="529"/>
      <c r="AD49" s="537">
        <v>0</v>
      </c>
      <c r="AE49" s="269"/>
      <c r="AF49" s="530" t="s">
        <v>103</v>
      </c>
      <c r="AG49" s="537">
        <v>0</v>
      </c>
      <c r="AH49" s="292"/>
      <c r="AI49" s="101"/>
      <c r="AJ49" s="269">
        <f t="shared" si="4"/>
        <v>0</v>
      </c>
      <c r="AK49" s="273"/>
      <c r="AL49" s="271">
        <f>ROUND(IF(AG49=0,0,AJ49/ABS(AG49)),3)</f>
        <v>0</v>
      </c>
      <c r="AM49" s="1669"/>
      <c r="AN49" s="1669"/>
    </row>
    <row r="50" spans="1:40" ht="15.75">
      <c r="A50" s="296"/>
      <c r="B50" s="355" t="s">
        <v>500</v>
      </c>
      <c r="C50" s="296"/>
      <c r="D50" s="296"/>
      <c r="E50" s="269">
        <v>2.8</v>
      </c>
      <c r="F50" s="269"/>
      <c r="G50" s="269">
        <v>1.1000000000000001</v>
      </c>
      <c r="H50" s="269"/>
      <c r="I50" s="269">
        <v>8.4</v>
      </c>
      <c r="J50" s="269"/>
      <c r="K50" s="269">
        <v>128.1</v>
      </c>
      <c r="L50" s="558"/>
      <c r="M50" s="269">
        <v>0.1999999999999944</v>
      </c>
      <c r="N50" s="558"/>
      <c r="O50" s="269">
        <v>1.0000000000000058</v>
      </c>
      <c r="P50" s="558"/>
      <c r="Q50" s="269">
        <v>41.000000000000014</v>
      </c>
      <c r="R50" s="558"/>
      <c r="S50" s="269">
        <f t="shared" si="3"/>
        <v>0.29999999999999405</v>
      </c>
      <c r="T50" s="558"/>
      <c r="U50" s="269"/>
      <c r="V50" s="558"/>
      <c r="W50" s="269"/>
      <c r="X50" s="558"/>
      <c r="Y50" s="269"/>
      <c r="Z50" s="558"/>
      <c r="AA50" s="269"/>
      <c r="AB50" s="269"/>
      <c r="AC50" s="529"/>
      <c r="AD50" s="537">
        <v>182.9</v>
      </c>
      <c r="AE50" s="269"/>
      <c r="AF50" s="530" t="s">
        <v>103</v>
      </c>
      <c r="AG50" s="537">
        <v>1.9</v>
      </c>
      <c r="AH50" s="292"/>
      <c r="AI50" s="101"/>
      <c r="AJ50" s="269">
        <f t="shared" si="4"/>
        <v>181</v>
      </c>
      <c r="AK50" s="41"/>
      <c r="AL50" s="548">
        <f>ROUND(IF(AG50=0,1,AJ50/ABS(AG50)),3)</f>
        <v>95.263000000000005</v>
      </c>
      <c r="AM50" s="1669"/>
      <c r="AN50" s="1669"/>
    </row>
    <row r="51" spans="1:40" ht="15.75">
      <c r="A51" s="296"/>
      <c r="B51" s="355" t="s">
        <v>416</v>
      </c>
      <c r="C51" s="296"/>
      <c r="D51" s="296"/>
      <c r="E51" s="269">
        <v>1.1000000000000001</v>
      </c>
      <c r="F51" s="269"/>
      <c r="G51" s="269">
        <v>1.7999999999999998</v>
      </c>
      <c r="H51" s="269"/>
      <c r="I51" s="269">
        <v>0.89999999999999991</v>
      </c>
      <c r="J51" s="269"/>
      <c r="K51" s="269">
        <v>1.4000000000000004</v>
      </c>
      <c r="L51" s="558"/>
      <c r="M51" s="269">
        <v>1.6</v>
      </c>
      <c r="N51" s="558"/>
      <c r="O51" s="269">
        <v>1.5000000000000004</v>
      </c>
      <c r="P51" s="558"/>
      <c r="Q51" s="269">
        <v>0.70000000000000018</v>
      </c>
      <c r="R51" s="558"/>
      <c r="S51" s="269">
        <f t="shared" si="3"/>
        <v>0.99999999999999911</v>
      </c>
      <c r="T51" s="558"/>
      <c r="U51" s="269"/>
      <c r="V51" s="558"/>
      <c r="W51" s="269"/>
      <c r="X51" s="558"/>
      <c r="Y51" s="269"/>
      <c r="Z51" s="558"/>
      <c r="AA51" s="269"/>
      <c r="AB51" s="269"/>
      <c r="AC51" s="529"/>
      <c r="AD51" s="537">
        <v>10</v>
      </c>
      <c r="AE51" s="269"/>
      <c r="AF51" s="530" t="s">
        <v>103</v>
      </c>
      <c r="AG51" s="537">
        <v>11.5</v>
      </c>
      <c r="AH51" s="292"/>
      <c r="AI51" s="101"/>
      <c r="AJ51" s="269">
        <f t="shared" si="4"/>
        <v>-1.5</v>
      </c>
      <c r="AK51" s="41"/>
      <c r="AL51" s="271">
        <f>ROUND(IF(AG51=0,0,AJ51/ABS(AG51)),3)</f>
        <v>-0.13</v>
      </c>
      <c r="AM51" s="1669"/>
      <c r="AN51" s="1669"/>
    </row>
    <row r="52" spans="1:40" ht="15.75">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51"/>
      <c r="AF52" s="269"/>
      <c r="AG52" s="294" t="s">
        <v>103</v>
      </c>
      <c r="AH52" s="292"/>
      <c r="AI52" s="101"/>
      <c r="AJ52" s="269"/>
      <c r="AK52" s="41"/>
      <c r="AL52" s="100"/>
      <c r="AM52" s="1669"/>
      <c r="AN52" s="1669"/>
    </row>
    <row r="53" spans="1:40" ht="15.75">
      <c r="A53" s="296"/>
      <c r="B53" s="355" t="s">
        <v>501</v>
      </c>
      <c r="C53" s="296"/>
      <c r="D53" s="296"/>
      <c r="E53" s="269">
        <v>0</v>
      </c>
      <c r="F53" s="294"/>
      <c r="G53" s="269">
        <v>0</v>
      </c>
      <c r="H53" s="269"/>
      <c r="I53" s="269">
        <v>0</v>
      </c>
      <c r="J53" s="269"/>
      <c r="K53" s="269">
        <v>0</v>
      </c>
      <c r="L53" s="558"/>
      <c r="M53" s="269">
        <v>0</v>
      </c>
      <c r="N53" s="558"/>
      <c r="O53" s="269">
        <v>0</v>
      </c>
      <c r="P53" s="558"/>
      <c r="Q53" s="269">
        <v>0</v>
      </c>
      <c r="R53" s="558"/>
      <c r="S53" s="269">
        <f t="shared" si="3"/>
        <v>0</v>
      </c>
      <c r="T53" s="558"/>
      <c r="U53" s="269"/>
      <c r="V53" s="558"/>
      <c r="W53" s="269"/>
      <c r="X53" s="558"/>
      <c r="Y53" s="269"/>
      <c r="Z53" s="558"/>
      <c r="AA53" s="269"/>
      <c r="AB53" s="269"/>
      <c r="AC53" s="529"/>
      <c r="AD53" s="537">
        <v>0</v>
      </c>
      <c r="AE53" s="269"/>
      <c r="AF53" s="530" t="s">
        <v>103</v>
      </c>
      <c r="AG53" s="537">
        <v>4.2</v>
      </c>
      <c r="AH53" s="292"/>
      <c r="AI53" s="101"/>
      <c r="AJ53" s="269">
        <f t="shared" si="4"/>
        <v>-4.2</v>
      </c>
      <c r="AK53" s="41"/>
      <c r="AL53" s="271">
        <f>ROUND(IF(AG53=0,0,AJ53/ABS(AG53)),3)</f>
        <v>-1</v>
      </c>
      <c r="AM53" s="1669"/>
      <c r="AN53" s="1669"/>
    </row>
    <row r="54" spans="1:40" ht="15.75">
      <c r="A54" s="296"/>
      <c r="B54" s="355" t="s">
        <v>503</v>
      </c>
      <c r="C54" s="296"/>
      <c r="D54" s="296"/>
      <c r="E54" s="269">
        <v>-0.7</v>
      </c>
      <c r="F54" s="294"/>
      <c r="G54" s="269">
        <v>0.39999999999999997</v>
      </c>
      <c r="H54" s="269"/>
      <c r="I54" s="269">
        <v>13.6</v>
      </c>
      <c r="J54" s="269"/>
      <c r="K54" s="269">
        <v>0.50000000000000067</v>
      </c>
      <c r="L54" s="558"/>
      <c r="M54" s="269">
        <v>3.1999999999999993</v>
      </c>
      <c r="N54" s="558"/>
      <c r="O54" s="269">
        <v>5.7</v>
      </c>
      <c r="P54" s="558"/>
      <c r="Q54" s="269">
        <v>0.40000000000000319</v>
      </c>
      <c r="R54" s="558"/>
      <c r="S54" s="269">
        <f t="shared" si="3"/>
        <v>0.59999999999999898</v>
      </c>
      <c r="T54" s="558"/>
      <c r="U54" s="269"/>
      <c r="V54" s="558"/>
      <c r="W54" s="269"/>
      <c r="X54" s="558"/>
      <c r="Y54" s="269"/>
      <c r="Z54" s="558"/>
      <c r="AA54" s="269"/>
      <c r="AB54" s="269"/>
      <c r="AC54" s="529"/>
      <c r="AD54" s="537">
        <v>23.7</v>
      </c>
      <c r="AE54" s="269"/>
      <c r="AF54" s="530" t="s">
        <v>103</v>
      </c>
      <c r="AG54" s="537">
        <v>6.4</v>
      </c>
      <c r="AH54" s="292"/>
      <c r="AI54" s="101"/>
      <c r="AJ54" s="269">
        <f t="shared" si="4"/>
        <v>17.3</v>
      </c>
      <c r="AK54" s="41"/>
      <c r="AL54" s="271">
        <f>ROUND(IF(AG54=0,0,AJ54/ABS(AG54)),3)</f>
        <v>2.7029999999999998</v>
      </c>
      <c r="AM54" s="1669"/>
      <c r="AN54" s="1669"/>
    </row>
    <row r="55" spans="1:40" ht="15.75">
      <c r="A55" s="296"/>
      <c r="B55" s="355" t="s">
        <v>504</v>
      </c>
      <c r="C55" s="296"/>
      <c r="D55" s="296"/>
      <c r="E55" s="269">
        <v>1.8</v>
      </c>
      <c r="F55" s="294"/>
      <c r="G55" s="269">
        <v>9.1999999999999993</v>
      </c>
      <c r="H55" s="269"/>
      <c r="I55" s="269">
        <v>6.3000000000000007</v>
      </c>
      <c r="J55" s="269"/>
      <c r="K55" s="269">
        <v>8.3999999999999986</v>
      </c>
      <c r="L55" s="558"/>
      <c r="M55" s="269">
        <v>6.5000000000000044</v>
      </c>
      <c r="N55" s="558"/>
      <c r="O55" s="269">
        <v>7.299999999999998</v>
      </c>
      <c r="P55" s="558"/>
      <c r="Q55" s="269">
        <v>6.8999999999999959</v>
      </c>
      <c r="R55" s="558"/>
      <c r="S55" s="269">
        <f t="shared" si="3"/>
        <v>8.9999999999999964</v>
      </c>
      <c r="T55" s="558"/>
      <c r="U55" s="269"/>
      <c r="V55" s="558"/>
      <c r="W55" s="269"/>
      <c r="X55" s="558"/>
      <c r="Y55" s="269"/>
      <c r="Z55" s="558"/>
      <c r="AA55" s="269"/>
      <c r="AB55" s="269"/>
      <c r="AC55" s="529"/>
      <c r="AD55" s="537">
        <v>55.4</v>
      </c>
      <c r="AE55" s="269"/>
      <c r="AF55" s="530" t="s">
        <v>103</v>
      </c>
      <c r="AG55" s="537">
        <v>58.9</v>
      </c>
      <c r="AH55" s="292"/>
      <c r="AI55" s="101"/>
      <c r="AJ55" s="269">
        <f t="shared" si="4"/>
        <v>-3.5</v>
      </c>
      <c r="AK55" s="41"/>
      <c r="AL55" s="271">
        <f>ROUND(IF(AG55=0,1,AJ55/ABS(AG55)),3)</f>
        <v>-5.8999999999999997E-2</v>
      </c>
      <c r="AM55" s="1669"/>
      <c r="AN55" s="1669"/>
    </row>
    <row r="56" spans="1:40" ht="15.75">
      <c r="A56" s="296"/>
      <c r="B56" s="355" t="s">
        <v>506</v>
      </c>
      <c r="C56" s="296"/>
      <c r="D56" s="296"/>
      <c r="E56" s="269">
        <v>0</v>
      </c>
      <c r="F56" s="294"/>
      <c r="G56" s="269">
        <v>0</v>
      </c>
      <c r="H56" s="269"/>
      <c r="I56" s="269">
        <v>0</v>
      </c>
      <c r="J56" s="269"/>
      <c r="K56" s="269">
        <v>0</v>
      </c>
      <c r="L56" s="558"/>
      <c r="M56" s="269">
        <v>0</v>
      </c>
      <c r="N56" s="558"/>
      <c r="O56" s="269">
        <v>0</v>
      </c>
      <c r="P56" s="558"/>
      <c r="Q56" s="269">
        <v>0</v>
      </c>
      <c r="R56" s="558"/>
      <c r="S56" s="269">
        <f t="shared" si="3"/>
        <v>0</v>
      </c>
      <c r="T56" s="558"/>
      <c r="U56" s="269"/>
      <c r="V56" s="558"/>
      <c r="W56" s="269"/>
      <c r="X56" s="558"/>
      <c r="Y56" s="269"/>
      <c r="Z56" s="558"/>
      <c r="AA56" s="269"/>
      <c r="AB56" s="269"/>
      <c r="AC56" s="529"/>
      <c r="AD56" s="537">
        <v>0</v>
      </c>
      <c r="AE56" s="269"/>
      <c r="AF56" s="530" t="s">
        <v>103</v>
      </c>
      <c r="AG56" s="537">
        <v>0.1</v>
      </c>
      <c r="AH56" s="292"/>
      <c r="AI56" s="101"/>
      <c r="AJ56" s="269">
        <f>ROUND(AD56-AG56,1)</f>
        <v>-0.1</v>
      </c>
      <c r="AK56" s="41"/>
      <c r="AL56" s="271">
        <f>ROUND(IF(AG56=0,0,AJ56/ABS(AG56)),3)</f>
        <v>-1</v>
      </c>
      <c r="AM56" s="1669"/>
      <c r="AN56" s="1669"/>
    </row>
    <row r="57" spans="1:40" ht="15.75">
      <c r="A57" s="296"/>
      <c r="B57" s="355" t="s">
        <v>507</v>
      </c>
      <c r="C57" s="296"/>
      <c r="D57" s="296"/>
      <c r="E57" s="269">
        <v>0</v>
      </c>
      <c r="F57" s="294"/>
      <c r="G57" s="269">
        <v>0.1</v>
      </c>
      <c r="H57" s="269"/>
      <c r="I57" s="269">
        <v>0.19999999999999998</v>
      </c>
      <c r="J57" s="269"/>
      <c r="K57" s="269">
        <v>2.4</v>
      </c>
      <c r="L57" s="558"/>
      <c r="M57" s="269">
        <v>0.29999999999999993</v>
      </c>
      <c r="N57" s="558"/>
      <c r="O57" s="269">
        <v>2</v>
      </c>
      <c r="P57" s="558"/>
      <c r="Q57" s="269">
        <v>1.0999999999999999</v>
      </c>
      <c r="R57" s="558"/>
      <c r="S57" s="269">
        <f t="shared" si="3"/>
        <v>0.90000000000000069</v>
      </c>
      <c r="T57" s="558"/>
      <c r="U57" s="269"/>
      <c r="V57" s="558"/>
      <c r="W57" s="269"/>
      <c r="X57" s="558"/>
      <c r="Y57" s="269"/>
      <c r="Z57" s="558"/>
      <c r="AA57" s="269"/>
      <c r="AB57" s="269"/>
      <c r="AC57" s="529"/>
      <c r="AD57" s="537">
        <v>7</v>
      </c>
      <c r="AE57" s="269"/>
      <c r="AF57" s="530" t="s">
        <v>103</v>
      </c>
      <c r="AG57" s="537">
        <v>8</v>
      </c>
      <c r="AH57" s="292"/>
      <c r="AI57" s="101"/>
      <c r="AJ57" s="269">
        <f t="shared" si="4"/>
        <v>-1</v>
      </c>
      <c r="AK57" s="41"/>
      <c r="AL57" s="1088">
        <f>ROUND(IF(AG57=0,1,AJ57/ABS(AG57)),3)</f>
        <v>-0.125</v>
      </c>
      <c r="AM57" s="1669"/>
      <c r="AN57" s="1669"/>
    </row>
    <row r="58" spans="1:40" ht="15.75">
      <c r="A58" s="296"/>
      <c r="B58" s="355" t="s">
        <v>508</v>
      </c>
      <c r="C58" s="296"/>
      <c r="D58" s="296"/>
      <c r="E58" s="269">
        <v>0.3</v>
      </c>
      <c r="F58" s="294"/>
      <c r="G58" s="269">
        <v>2.9000000000000004</v>
      </c>
      <c r="H58" s="269"/>
      <c r="I58" s="269">
        <v>3</v>
      </c>
      <c r="J58" s="269"/>
      <c r="K58" s="269">
        <v>3.8</v>
      </c>
      <c r="L58" s="558"/>
      <c r="M58" s="269">
        <v>3</v>
      </c>
      <c r="N58" s="558"/>
      <c r="O58" s="269">
        <v>3.1000000000000005</v>
      </c>
      <c r="P58" s="558"/>
      <c r="Q58" s="269">
        <v>2.7999999999999963</v>
      </c>
      <c r="R58" s="558"/>
      <c r="S58" s="269">
        <f t="shared" si="3"/>
        <v>6.4999999999999991</v>
      </c>
      <c r="T58" s="558"/>
      <c r="U58" s="269"/>
      <c r="V58" s="558"/>
      <c r="W58" s="269"/>
      <c r="X58" s="558"/>
      <c r="Y58" s="269"/>
      <c r="Z58" s="558"/>
      <c r="AA58" s="269"/>
      <c r="AB58" s="269"/>
      <c r="AC58" s="529"/>
      <c r="AD58" s="537">
        <v>25.4</v>
      </c>
      <c r="AE58" s="269"/>
      <c r="AF58" s="530" t="s">
        <v>103</v>
      </c>
      <c r="AG58" s="537">
        <v>15.9</v>
      </c>
      <c r="AH58" s="292"/>
      <c r="AI58" s="101"/>
      <c r="AJ58" s="269">
        <f t="shared" si="4"/>
        <v>9.5</v>
      </c>
      <c r="AK58" s="41"/>
      <c r="AL58" s="548">
        <f>ROUND(IF(AG58=0,0,AJ58/ABS(AG58)),3)</f>
        <v>0.59699999999999998</v>
      </c>
      <c r="AM58" s="1669"/>
      <c r="AN58" s="1669"/>
    </row>
    <row r="59" spans="1:40" ht="15.75">
      <c r="A59" s="296"/>
      <c r="B59" s="355" t="s">
        <v>427</v>
      </c>
      <c r="C59" s="296"/>
      <c r="D59" s="296"/>
      <c r="E59" s="269">
        <v>0.1</v>
      </c>
      <c r="F59" s="294"/>
      <c r="G59" s="269">
        <v>0</v>
      </c>
      <c r="H59" s="269"/>
      <c r="I59" s="269">
        <v>9.9999999999999978E-2</v>
      </c>
      <c r="J59" s="269"/>
      <c r="K59" s="269">
        <v>0.1</v>
      </c>
      <c r="L59" s="558"/>
      <c r="M59" s="269">
        <v>0.10000000000000003</v>
      </c>
      <c r="N59" s="558"/>
      <c r="O59" s="269">
        <v>0.1</v>
      </c>
      <c r="P59" s="558"/>
      <c r="Q59" s="269">
        <v>0.19999999999999993</v>
      </c>
      <c r="R59" s="558"/>
      <c r="S59" s="269">
        <f>ROUND($AD59-O59-Q59-M59-K59-I59-G59-E59,1)</f>
        <v>0</v>
      </c>
      <c r="T59" s="558"/>
      <c r="U59" s="269"/>
      <c r="V59" s="558"/>
      <c r="W59" s="269"/>
      <c r="X59" s="558"/>
      <c r="Y59" s="269"/>
      <c r="Z59" s="558"/>
      <c r="AA59" s="269"/>
      <c r="AB59" s="269"/>
      <c r="AC59" s="529"/>
      <c r="AD59" s="537">
        <v>0.70000000000000007</v>
      </c>
      <c r="AE59" s="269"/>
      <c r="AF59" s="530" t="s">
        <v>103</v>
      </c>
      <c r="AG59" s="537">
        <v>1.5</v>
      </c>
      <c r="AH59" s="292"/>
      <c r="AI59" s="101"/>
      <c r="AJ59" s="269">
        <f t="shared" si="4"/>
        <v>-0.8</v>
      </c>
      <c r="AK59" s="41"/>
      <c r="AL59" s="548">
        <f>ROUND(IF(AG59=0,1,AJ59/ABS(AG59)),3)</f>
        <v>-0.53300000000000003</v>
      </c>
      <c r="AM59" s="1669"/>
      <c r="AN59" s="1669"/>
    </row>
    <row r="60" spans="1:40" s="3" customFormat="1" ht="15.75"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93.8</v>
      </c>
      <c r="N60" s="269"/>
      <c r="O60" s="71">
        <f>ROUND(SUM(O33:O59),1)</f>
        <v>101.5</v>
      </c>
      <c r="P60" s="269"/>
      <c r="Q60" s="71">
        <f>ROUND(SUM(Q33:Q59),1)</f>
        <v>522.1</v>
      </c>
      <c r="R60" s="269"/>
      <c r="S60" s="71">
        <f>ROUND(SUM(S33:S59),1)</f>
        <v>94.6</v>
      </c>
      <c r="T60" s="13"/>
      <c r="U60" s="71">
        <f>ROUND(SUM(U33:U59),1)</f>
        <v>0</v>
      </c>
      <c r="V60" s="269"/>
      <c r="W60" s="71">
        <f>ROUND(SUM(W33:W59),1)</f>
        <v>0</v>
      </c>
      <c r="X60" s="269"/>
      <c r="Y60" s="71">
        <f>ROUND(SUM(Y33:Y59),1)</f>
        <v>0</v>
      </c>
      <c r="Z60" s="269"/>
      <c r="AA60" s="71">
        <f>ROUND(SUM(AA33:AA59),1)</f>
        <v>0</v>
      </c>
      <c r="AB60" s="13"/>
      <c r="AC60" s="14"/>
      <c r="AD60" s="71">
        <f>ROUND(SUM(AD33:AD59),1)</f>
        <v>2517</v>
      </c>
      <c r="AE60" s="1253"/>
      <c r="AF60" s="13"/>
      <c r="AG60" s="71">
        <f>ROUND(SUM(AG33:AG59),1)</f>
        <v>3222.8</v>
      </c>
      <c r="AH60" s="18"/>
      <c r="AI60" s="101"/>
      <c r="AJ60" s="71">
        <f>ROUND(SUM(AJ33:AJ59),1)</f>
        <v>-705.8</v>
      </c>
      <c r="AK60" s="40"/>
      <c r="AL60" s="543">
        <f>ROUND(IF(AG60=0,0,AJ60/ABS(AG60)),3)</f>
        <v>-0.219</v>
      </c>
      <c r="AM60" s="1669"/>
      <c r="AN60" s="1669"/>
    </row>
    <row r="61" spans="1:40" s="3" customFormat="1" ht="15.75">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3"/>
      <c r="AF61" s="13"/>
      <c r="AG61" s="13"/>
      <c r="AH61" s="18"/>
      <c r="AI61" s="101"/>
      <c r="AJ61" s="13"/>
      <c r="AK61" s="40"/>
      <c r="AL61" s="77"/>
      <c r="AM61" s="1669"/>
      <c r="AN61" s="1669"/>
    </row>
    <row r="62" spans="1:40" ht="15.75">
      <c r="A62" s="296"/>
      <c r="B62" s="296" t="s">
        <v>510</v>
      </c>
      <c r="C62" s="296"/>
      <c r="D62" s="296"/>
      <c r="E62" s="269">
        <v>0</v>
      </c>
      <c r="F62" s="269"/>
      <c r="G62" s="269">
        <v>0</v>
      </c>
      <c r="H62" s="269"/>
      <c r="I62" s="269">
        <v>-0.1</v>
      </c>
      <c r="J62" s="269"/>
      <c r="K62" s="269">
        <v>-0.1</v>
      </c>
      <c r="L62" s="258"/>
      <c r="M62" s="269">
        <v>0</v>
      </c>
      <c r="N62" s="258"/>
      <c r="O62" s="269">
        <v>0</v>
      </c>
      <c r="P62" s="258"/>
      <c r="Q62" s="269">
        <v>0</v>
      </c>
      <c r="R62" s="258"/>
      <c r="S62" s="269">
        <f>$AD62-O62-Q62-M62-K62-I62-G62-E62</f>
        <v>0</v>
      </c>
      <c r="T62" s="898"/>
      <c r="U62" s="269"/>
      <c r="V62" s="898"/>
      <c r="W62" s="269"/>
      <c r="X62" s="898"/>
      <c r="Y62" s="269"/>
      <c r="Z62" s="898"/>
      <c r="AA62" s="269"/>
      <c r="AB62" s="296"/>
      <c r="AC62" s="529"/>
      <c r="AD62" s="537">
        <v>-0.2</v>
      </c>
      <c r="AE62" s="269"/>
      <c r="AF62" s="530" t="s">
        <v>103</v>
      </c>
      <c r="AG62" s="537">
        <v>-0.2</v>
      </c>
      <c r="AH62" s="292"/>
      <c r="AI62" s="102"/>
      <c r="AJ62" s="388">
        <f>ROUND(AD62-AG62,1)</f>
        <v>0</v>
      </c>
      <c r="AK62" s="41"/>
      <c r="AL62" s="539">
        <f>-ROUND(IF(AG62=0,1,AJ62/ABS(AG62)),3)</f>
        <v>0</v>
      </c>
      <c r="AM62" s="1669"/>
      <c r="AN62" s="1669"/>
    </row>
    <row r="63" spans="1:40" ht="15.75">
      <c r="A63" s="296"/>
      <c r="B63" s="296"/>
      <c r="C63" s="296"/>
      <c r="D63" s="296"/>
      <c r="E63" s="622"/>
      <c r="F63" s="269"/>
      <c r="G63" s="622"/>
      <c r="H63" s="269"/>
      <c r="I63" s="622"/>
      <c r="J63" s="269"/>
      <c r="K63" s="622"/>
      <c r="L63" s="258"/>
      <c r="M63" s="622"/>
      <c r="N63" s="258"/>
      <c r="O63" s="622"/>
      <c r="P63" s="258"/>
      <c r="Q63" s="622"/>
      <c r="R63" s="258"/>
      <c r="S63" s="622"/>
      <c r="T63" s="258"/>
      <c r="U63" s="622"/>
      <c r="V63" s="258"/>
      <c r="W63" s="622"/>
      <c r="X63" s="258"/>
      <c r="Y63" s="622"/>
      <c r="Z63" s="258"/>
      <c r="AA63" s="622"/>
      <c r="AB63" s="296"/>
      <c r="AC63" s="529"/>
      <c r="AD63" s="622"/>
      <c r="AE63" s="1251"/>
      <c r="AF63" s="269"/>
      <c r="AG63" s="622"/>
      <c r="AH63" s="269"/>
      <c r="AI63" s="102"/>
      <c r="AJ63" s="269"/>
      <c r="AL63" s="271"/>
      <c r="AM63" s="1669"/>
      <c r="AN63" s="1669"/>
    </row>
    <row r="64" spans="1:40" ht="15.75">
      <c r="A64" s="296"/>
      <c r="B64" s="3" t="s">
        <v>566</v>
      </c>
      <c r="C64" s="296"/>
      <c r="D64" s="296"/>
      <c r="E64" s="362">
        <f>ROUND(SUM(E31+E60+E62),1)</f>
        <v>172.9</v>
      </c>
      <c r="F64" s="13"/>
      <c r="G64" s="362">
        <f>ROUND(SUM(G31+G60+G62),1)</f>
        <v>291.60000000000002</v>
      </c>
      <c r="H64" s="13"/>
      <c r="I64" s="1153">
        <f>ROUND(SUM(I31+I60+I62),1)</f>
        <v>283.10000000000002</v>
      </c>
      <c r="J64" s="13"/>
      <c r="K64" s="1153">
        <f>ROUND(SUM(K31+K60+K62),1)</f>
        <v>1406.6</v>
      </c>
      <c r="L64" s="13"/>
      <c r="M64" s="362">
        <f>ROUND(SUM(M31+M60+M62),1)</f>
        <v>215.3</v>
      </c>
      <c r="N64" s="13"/>
      <c r="O64" s="362">
        <f>ROUND(SUM(O31+O60+O62),1)</f>
        <v>253.3</v>
      </c>
      <c r="P64" s="13"/>
      <c r="Q64" s="362">
        <f>ROUND(SUM(Q31+Q60+Q62),1)</f>
        <v>645.29999999999995</v>
      </c>
      <c r="R64" s="13"/>
      <c r="S64" s="362">
        <f>ROUND(SUM(S31+S60+S62),1)</f>
        <v>204</v>
      </c>
      <c r="T64" s="13"/>
      <c r="U64" s="362">
        <f>ROUND(SUM(U31+U60+U62),1)</f>
        <v>0</v>
      </c>
      <c r="V64" s="13"/>
      <c r="W64" s="362">
        <f>ROUND(SUM(W31+W60+W62),1)</f>
        <v>0</v>
      </c>
      <c r="X64" s="13"/>
      <c r="Y64" s="362">
        <f>ROUND(SUM(Y31+Y60+Y62),1)</f>
        <v>0</v>
      </c>
      <c r="Z64" s="13"/>
      <c r="AA64" s="362">
        <f>ROUND(SUM(AA31+AA60+AA62),1)</f>
        <v>0</v>
      </c>
      <c r="AB64" s="13"/>
      <c r="AC64" s="14"/>
      <c r="AD64" s="362">
        <f>ROUND(SUM(AD31+AD60+AD62),1)</f>
        <v>3472.1</v>
      </c>
      <c r="AE64" s="1253"/>
      <c r="AF64" s="13"/>
      <c r="AG64" s="362">
        <f>ROUND(SUM(AG31+AG60+AG62),1)</f>
        <v>4208.2</v>
      </c>
      <c r="AH64" s="18"/>
      <c r="AI64" s="102"/>
      <c r="AJ64" s="362">
        <f>ROUND(SUM(AJ31+AJ60+AJ62),1)</f>
        <v>-736.1</v>
      </c>
      <c r="AK64" s="40"/>
      <c r="AL64" s="544">
        <f>ROUND(IF(AG64=0,0,AJ64/ABS(AG64)),3)</f>
        <v>-0.17499999999999999</v>
      </c>
      <c r="AM64" s="1669"/>
      <c r="AN64" s="1669"/>
    </row>
    <row r="65" spans="1:40" ht="15.75">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51"/>
      <c r="AC65" s="269"/>
      <c r="AD65" s="622"/>
      <c r="AE65" s="1251"/>
      <c r="AF65" s="269"/>
      <c r="AG65" s="622"/>
      <c r="AH65" s="269"/>
      <c r="AI65" s="102"/>
      <c r="AJ65" s="12"/>
      <c r="AL65" s="100"/>
      <c r="AM65" s="1669"/>
      <c r="AN65" s="1669"/>
    </row>
    <row r="66" spans="1:40" ht="15.75">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51"/>
      <c r="AC66" s="269"/>
      <c r="AD66" s="269"/>
      <c r="AE66" s="1251"/>
      <c r="AF66" s="269"/>
      <c r="AG66" s="269"/>
      <c r="AH66" s="269"/>
      <c r="AI66" s="102"/>
      <c r="AJ66" s="12"/>
      <c r="AL66" s="100"/>
      <c r="AM66" s="1669"/>
      <c r="AN66" s="1669"/>
    </row>
    <row r="67" spans="1:40" ht="15.75">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51"/>
      <c r="AF67" s="269"/>
      <c r="AG67" s="269"/>
      <c r="AH67" s="269"/>
      <c r="AI67" s="102"/>
      <c r="AJ67" s="12"/>
      <c r="AL67" s="100"/>
      <c r="AM67" s="1669"/>
      <c r="AN67" s="1669"/>
    </row>
    <row r="68" spans="1:40" ht="15.75">
      <c r="A68" s="296"/>
      <c r="B68" s="296" t="s">
        <v>124</v>
      </c>
      <c r="C68" s="296"/>
      <c r="D68" s="296"/>
      <c r="E68" s="269">
        <v>7</v>
      </c>
      <c r="F68" s="269"/>
      <c r="G68" s="269">
        <v>14.2</v>
      </c>
      <c r="H68" s="269"/>
      <c r="I68" s="269">
        <v>3.9000000000000021</v>
      </c>
      <c r="J68" s="269"/>
      <c r="K68" s="269">
        <v>60.8</v>
      </c>
      <c r="L68" s="558"/>
      <c r="M68" s="269">
        <v>2.5000000000000036</v>
      </c>
      <c r="N68" s="558"/>
      <c r="O68" s="269">
        <v>10.000000000000007</v>
      </c>
      <c r="P68" s="558"/>
      <c r="Q68" s="269">
        <v>10.29999999999999</v>
      </c>
      <c r="R68" s="558"/>
      <c r="S68" s="269">
        <f>$AD68-O68-Q68-M68-K68-I68-G68-E68</f>
        <v>1.0000000000000071</v>
      </c>
      <c r="T68" s="558"/>
      <c r="U68" s="269"/>
      <c r="V68" s="558"/>
      <c r="W68" s="269"/>
      <c r="X68" s="558"/>
      <c r="Y68" s="269"/>
      <c r="Z68" s="558"/>
      <c r="AA68" s="269"/>
      <c r="AB68" s="269"/>
      <c r="AC68" s="529"/>
      <c r="AD68" s="537">
        <v>109.7</v>
      </c>
      <c r="AE68" s="269"/>
      <c r="AF68" s="530" t="s">
        <v>103</v>
      </c>
      <c r="AG68" s="537">
        <v>283.39999999999998</v>
      </c>
      <c r="AH68" s="292"/>
      <c r="AI68" s="101"/>
      <c r="AJ68" s="269">
        <f t="shared" ref="AJ68:AJ77" si="5">ROUND(AD68-AG68,1)</f>
        <v>-173.7</v>
      </c>
      <c r="AK68" s="41"/>
      <c r="AL68" s="1088">
        <f>ROUND(IF(AG68=0,1,AJ68/ABS(AG68)),3)</f>
        <v>-0.61299999999999999</v>
      </c>
      <c r="AM68" s="1669"/>
      <c r="AN68" s="1669"/>
    </row>
    <row r="69" spans="1:40" ht="15.75">
      <c r="A69" s="296"/>
      <c r="B69" s="296" t="s">
        <v>125</v>
      </c>
      <c r="C69" s="296"/>
      <c r="D69" s="296"/>
      <c r="E69" s="269">
        <v>6.1</v>
      </c>
      <c r="F69" s="269"/>
      <c r="G69" s="269">
        <v>15.1</v>
      </c>
      <c r="H69" s="269"/>
      <c r="I69" s="269">
        <v>15.000000000000002</v>
      </c>
      <c r="J69" s="269"/>
      <c r="K69" s="269">
        <v>29.799999999999997</v>
      </c>
      <c r="L69" s="558"/>
      <c r="M69" s="269">
        <v>22.700000000000003</v>
      </c>
      <c r="N69" s="558"/>
      <c r="O69" s="269">
        <v>18.100000000000009</v>
      </c>
      <c r="P69" s="558"/>
      <c r="Q69" s="269">
        <v>11.599999999999982</v>
      </c>
      <c r="R69" s="558"/>
      <c r="S69" s="269">
        <f t="shared" ref="S69:S77" si="6">$AD69-O69-Q69-M69-K69-I69-G69-E69</f>
        <v>37.599999999999994</v>
      </c>
      <c r="T69" s="558"/>
      <c r="U69" s="269"/>
      <c r="V69" s="558"/>
      <c r="W69" s="269"/>
      <c r="X69" s="558"/>
      <c r="Y69" s="269"/>
      <c r="Z69" s="558"/>
      <c r="AA69" s="269"/>
      <c r="AB69" s="269"/>
      <c r="AC69" s="529"/>
      <c r="AD69" s="537">
        <v>156</v>
      </c>
      <c r="AE69" s="269"/>
      <c r="AF69" s="530" t="s">
        <v>103</v>
      </c>
      <c r="AG69" s="537">
        <v>245.3</v>
      </c>
      <c r="AH69" s="292"/>
      <c r="AI69" s="101"/>
      <c r="AJ69" s="269">
        <f t="shared" si="5"/>
        <v>-89.3</v>
      </c>
      <c r="AK69" s="41"/>
      <c r="AL69" s="271">
        <f>ROUND(IF(AG69=0,0,AJ69/ABS(AG69)),3)</f>
        <v>-0.36399999999999999</v>
      </c>
      <c r="AM69" s="1669"/>
      <c r="AN69" s="1669"/>
    </row>
    <row r="70" spans="1:40" ht="15.75">
      <c r="A70" s="296"/>
      <c r="B70" s="296" t="s">
        <v>126</v>
      </c>
      <c r="C70" s="296"/>
      <c r="D70" s="296"/>
      <c r="E70" s="269">
        <v>34.1</v>
      </c>
      <c r="F70" s="269"/>
      <c r="G70" s="269">
        <v>33.1</v>
      </c>
      <c r="H70" s="269"/>
      <c r="I70" s="269">
        <v>57.999999999999993</v>
      </c>
      <c r="J70" s="269"/>
      <c r="K70" s="269">
        <v>29.100000000000023</v>
      </c>
      <c r="L70" s="558"/>
      <c r="M70" s="269">
        <v>27.999999999999986</v>
      </c>
      <c r="N70" s="558"/>
      <c r="O70" s="269">
        <v>101.5</v>
      </c>
      <c r="P70" s="558"/>
      <c r="Q70" s="269">
        <v>42.800000000000004</v>
      </c>
      <c r="R70" s="558"/>
      <c r="S70" s="269">
        <f t="shared" si="6"/>
        <v>40.89999999999997</v>
      </c>
      <c r="T70" s="558"/>
      <c r="U70" s="269"/>
      <c r="V70" s="558"/>
      <c r="W70" s="269"/>
      <c r="X70" s="558"/>
      <c r="Y70" s="269"/>
      <c r="Z70" s="558"/>
      <c r="AA70" s="269"/>
      <c r="AB70" s="269"/>
      <c r="AC70" s="529"/>
      <c r="AD70" s="537">
        <v>367.5</v>
      </c>
      <c r="AE70" s="269"/>
      <c r="AF70" s="530" t="s">
        <v>103</v>
      </c>
      <c r="AG70" s="537">
        <v>341.5</v>
      </c>
      <c r="AH70" s="292"/>
      <c r="AI70" s="101"/>
      <c r="AJ70" s="269">
        <f t="shared" si="5"/>
        <v>26</v>
      </c>
      <c r="AK70" s="41"/>
      <c r="AL70" s="271">
        <f>ROUND(IF(AG70=0,0,AJ70/ABS(AG70)),3)</f>
        <v>7.5999999999999998E-2</v>
      </c>
      <c r="AM70" s="1669"/>
      <c r="AN70" s="1669"/>
    </row>
    <row r="71" spans="1:40" ht="15.75">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69"/>
      <c r="AN71" s="1669"/>
    </row>
    <row r="72" spans="1:40" ht="15.75">
      <c r="A72" s="296"/>
      <c r="B72" s="296" t="s">
        <v>128</v>
      </c>
      <c r="C72" s="3"/>
      <c r="D72" s="296"/>
      <c r="E72" s="269">
        <v>0</v>
      </c>
      <c r="F72" s="269"/>
      <c r="G72" s="269">
        <v>0</v>
      </c>
      <c r="H72" s="269"/>
      <c r="I72" s="269">
        <v>0</v>
      </c>
      <c r="J72" s="269"/>
      <c r="K72" s="269">
        <v>0</v>
      </c>
      <c r="L72" s="558"/>
      <c r="M72" s="269">
        <v>0</v>
      </c>
      <c r="N72" s="558"/>
      <c r="O72" s="269">
        <v>0</v>
      </c>
      <c r="P72" s="558"/>
      <c r="Q72" s="269">
        <v>0</v>
      </c>
      <c r="R72" s="558"/>
      <c r="S72" s="269">
        <f t="shared" si="6"/>
        <v>0</v>
      </c>
      <c r="T72" s="558"/>
      <c r="U72" s="269"/>
      <c r="V72" s="558"/>
      <c r="W72" s="269"/>
      <c r="X72" s="558"/>
      <c r="Y72" s="269"/>
      <c r="Z72" s="558"/>
      <c r="AA72" s="269"/>
      <c r="AB72" s="269"/>
      <c r="AC72" s="529"/>
      <c r="AD72" s="537">
        <v>0</v>
      </c>
      <c r="AE72" s="269"/>
      <c r="AF72" s="530" t="s">
        <v>103</v>
      </c>
      <c r="AG72" s="537">
        <v>0</v>
      </c>
      <c r="AH72" s="269"/>
      <c r="AI72" s="102"/>
      <c r="AJ72" s="269">
        <f t="shared" si="5"/>
        <v>0</v>
      </c>
      <c r="AL72" s="548">
        <f>ROUND(IF(AG72=0,0,AJ72/ABS(AG72)),3)</f>
        <v>0</v>
      </c>
      <c r="AM72" s="1669"/>
      <c r="AN72" s="1669"/>
    </row>
    <row r="73" spans="1:40" ht="15.75">
      <c r="A73" s="296"/>
      <c r="B73" s="296" t="s">
        <v>129</v>
      </c>
      <c r="C73" s="296"/>
      <c r="D73" s="296"/>
      <c r="E73" s="269">
        <v>24.7</v>
      </c>
      <c r="F73" s="269"/>
      <c r="G73" s="269">
        <v>46.5</v>
      </c>
      <c r="H73" s="269"/>
      <c r="I73" s="269">
        <v>37.700000000000003</v>
      </c>
      <c r="J73" s="269"/>
      <c r="K73" s="269">
        <v>76.900000000000006</v>
      </c>
      <c r="L73" s="558"/>
      <c r="M73" s="269">
        <v>50.2</v>
      </c>
      <c r="N73" s="558"/>
      <c r="O73" s="269">
        <v>23.899999999999952</v>
      </c>
      <c r="P73" s="558"/>
      <c r="Q73" s="269">
        <v>36.500000000000028</v>
      </c>
      <c r="R73" s="558"/>
      <c r="S73" s="269">
        <f t="shared" si="6"/>
        <v>55.299999999999955</v>
      </c>
      <c r="T73" s="558"/>
      <c r="U73" s="269"/>
      <c r="V73" s="558"/>
      <c r="W73" s="269"/>
      <c r="X73" s="558"/>
      <c r="Y73" s="269"/>
      <c r="Z73" s="558"/>
      <c r="AA73" s="269"/>
      <c r="AB73" s="269"/>
      <c r="AC73" s="529"/>
      <c r="AD73" s="537">
        <v>351.7</v>
      </c>
      <c r="AE73" s="269"/>
      <c r="AF73" s="530" t="s">
        <v>103</v>
      </c>
      <c r="AG73" s="537">
        <v>290.5</v>
      </c>
      <c r="AH73" s="292"/>
      <c r="AI73" s="101"/>
      <c r="AJ73" s="269">
        <f t="shared" si="5"/>
        <v>61.2</v>
      </c>
      <c r="AK73" s="41"/>
      <c r="AL73" s="271">
        <f>ROUND(IF(AG73=0,0,AJ73/ABS(AG73)),3)</f>
        <v>0.21099999999999999</v>
      </c>
      <c r="AM73" s="1669"/>
      <c r="AN73" s="1669"/>
    </row>
    <row r="74" spans="1:40" ht="15.75">
      <c r="A74" s="296"/>
      <c r="B74" s="296" t="s">
        <v>130</v>
      </c>
      <c r="C74" s="296"/>
      <c r="D74" s="296"/>
      <c r="E74" s="269">
        <v>1.5</v>
      </c>
      <c r="F74" s="269"/>
      <c r="G74" s="269">
        <v>2.2999999999999998</v>
      </c>
      <c r="H74" s="269"/>
      <c r="I74" s="269">
        <v>2</v>
      </c>
      <c r="J74" s="269"/>
      <c r="K74" s="269">
        <v>3.8999999999999995</v>
      </c>
      <c r="L74" s="558"/>
      <c r="M74" s="269">
        <v>1.2000000000000011</v>
      </c>
      <c r="N74" s="558"/>
      <c r="O74" s="269">
        <v>5.9000000000000012</v>
      </c>
      <c r="P74" s="558"/>
      <c r="Q74" s="269">
        <v>1.6999999999999957</v>
      </c>
      <c r="R74" s="558"/>
      <c r="S74" s="269">
        <f t="shared" si="6"/>
        <v>0.6000000000000032</v>
      </c>
      <c r="T74" s="558"/>
      <c r="U74" s="269"/>
      <c r="V74" s="558"/>
      <c r="W74" s="269"/>
      <c r="X74" s="558"/>
      <c r="Y74" s="269"/>
      <c r="Z74" s="558"/>
      <c r="AA74" s="269"/>
      <c r="AB74" s="269"/>
      <c r="AC74" s="529"/>
      <c r="AD74" s="537">
        <v>19.100000000000001</v>
      </c>
      <c r="AE74" s="269"/>
      <c r="AF74" s="530" t="s">
        <v>103</v>
      </c>
      <c r="AG74" s="537">
        <v>12.7</v>
      </c>
      <c r="AH74" s="292"/>
      <c r="AI74" s="101"/>
      <c r="AJ74" s="269">
        <f t="shared" si="5"/>
        <v>6.4</v>
      </c>
      <c r="AK74" s="41"/>
      <c r="AL74" s="548">
        <f>ROUND(IF(AG74=0,1,AJ74/ABS(AG74)),3)</f>
        <v>0.504</v>
      </c>
      <c r="AM74" s="1669"/>
      <c r="AN74" s="1669"/>
    </row>
    <row r="75" spans="1:40" ht="15.75">
      <c r="A75" s="296"/>
      <c r="B75" s="296" t="s">
        <v>131</v>
      </c>
      <c r="C75" s="296"/>
      <c r="D75" s="296"/>
      <c r="E75" s="269">
        <v>50.3</v>
      </c>
      <c r="F75" s="269"/>
      <c r="G75" s="269">
        <v>210.2</v>
      </c>
      <c r="H75" s="269"/>
      <c r="I75" s="269">
        <v>168.89999999999998</v>
      </c>
      <c r="J75" s="269"/>
      <c r="K75" s="269">
        <v>163.80000000000007</v>
      </c>
      <c r="L75" s="558"/>
      <c r="M75" s="269">
        <v>168.69999999999993</v>
      </c>
      <c r="N75" s="558"/>
      <c r="O75" s="269">
        <v>141.60000000000002</v>
      </c>
      <c r="P75" s="558"/>
      <c r="Q75" s="269">
        <v>107.20000000000006</v>
      </c>
      <c r="R75" s="558"/>
      <c r="S75" s="269">
        <f t="shared" si="6"/>
        <v>262.49999999999989</v>
      </c>
      <c r="T75" s="558"/>
      <c r="U75" s="269"/>
      <c r="V75" s="558"/>
      <c r="W75" s="269"/>
      <c r="X75" s="558"/>
      <c r="Y75" s="269"/>
      <c r="Z75" s="558"/>
      <c r="AA75" s="269"/>
      <c r="AB75" s="269"/>
      <c r="AC75" s="529"/>
      <c r="AD75" s="537">
        <v>1273.2</v>
      </c>
      <c r="AE75" s="269"/>
      <c r="AF75" s="530" t="s">
        <v>103</v>
      </c>
      <c r="AG75" s="537">
        <v>974.3</v>
      </c>
      <c r="AH75" s="269"/>
      <c r="AI75" s="102"/>
      <c r="AJ75" s="269">
        <f t="shared" si="5"/>
        <v>298.89999999999998</v>
      </c>
      <c r="AK75" s="41"/>
      <c r="AL75" s="567">
        <f>ROUND(IF(AG75=0,1,AJ75/ABS(AG75)),3)</f>
        <v>0.307</v>
      </c>
      <c r="AM75" s="1669"/>
      <c r="AN75" s="1669"/>
    </row>
    <row r="76" spans="1:40" ht="15.75">
      <c r="A76" s="296"/>
      <c r="B76" s="296" t="s">
        <v>132</v>
      </c>
      <c r="C76" s="3"/>
      <c r="D76" s="296"/>
      <c r="E76" s="269">
        <v>93</v>
      </c>
      <c r="F76" s="269"/>
      <c r="G76" s="269">
        <v>23.900000000000006</v>
      </c>
      <c r="H76" s="269"/>
      <c r="I76" s="269">
        <v>83.5</v>
      </c>
      <c r="J76" s="269"/>
      <c r="K76" s="269">
        <v>43.5</v>
      </c>
      <c r="L76" s="558"/>
      <c r="M76" s="269">
        <v>554.6</v>
      </c>
      <c r="N76" s="558"/>
      <c r="O76" s="269">
        <v>148.70000000000002</v>
      </c>
      <c r="P76" s="558"/>
      <c r="Q76" s="269">
        <v>28.699999999999903</v>
      </c>
      <c r="R76" s="558"/>
      <c r="S76" s="269">
        <f t="shared" si="6"/>
        <v>11.999999999999972</v>
      </c>
      <c r="T76" s="558"/>
      <c r="U76" s="269"/>
      <c r="V76" s="558"/>
      <c r="W76" s="269"/>
      <c r="X76" s="558"/>
      <c r="Y76" s="269"/>
      <c r="Z76" s="558"/>
      <c r="AA76" s="269"/>
      <c r="AB76" s="269"/>
      <c r="AC76" s="529"/>
      <c r="AD76" s="537">
        <v>987.9</v>
      </c>
      <c r="AE76" s="269"/>
      <c r="AF76" s="530" t="s">
        <v>103</v>
      </c>
      <c r="AG76" s="537">
        <v>1136.7</v>
      </c>
      <c r="AH76" s="269"/>
      <c r="AI76" s="102"/>
      <c r="AJ76" s="269">
        <f t="shared" si="5"/>
        <v>-148.80000000000001</v>
      </c>
      <c r="AL76" s="567">
        <f>ROUND(IF(AG76=0,0,AJ76/ABS(AG76)),3)</f>
        <v>-0.13100000000000001</v>
      </c>
      <c r="AM76" s="1669"/>
      <c r="AN76" s="1669"/>
    </row>
    <row r="77" spans="1:40" ht="15.75">
      <c r="A77" s="296"/>
      <c r="B77" s="296" t="s">
        <v>133</v>
      </c>
      <c r="C77" s="296"/>
      <c r="D77" s="296"/>
      <c r="E77" s="269">
        <v>0.4</v>
      </c>
      <c r="F77" s="269"/>
      <c r="G77" s="269">
        <v>18.700000000000003</v>
      </c>
      <c r="H77" s="269"/>
      <c r="I77" s="269">
        <v>136.59999999999997</v>
      </c>
      <c r="J77" s="269"/>
      <c r="K77" s="269">
        <v>3.4000000000000115</v>
      </c>
      <c r="L77" s="558"/>
      <c r="M77" s="269">
        <v>2.0000000000000129</v>
      </c>
      <c r="N77" s="558"/>
      <c r="O77" s="269">
        <v>162.80000000000004</v>
      </c>
      <c r="P77" s="558"/>
      <c r="Q77" s="269">
        <v>18.599999999999987</v>
      </c>
      <c r="R77" s="558"/>
      <c r="S77" s="269">
        <f t="shared" si="6"/>
        <v>352.09999999999997</v>
      </c>
      <c r="T77" s="558"/>
      <c r="U77" s="269"/>
      <c r="V77" s="558"/>
      <c r="W77" s="269"/>
      <c r="X77" s="558"/>
      <c r="Y77" s="269"/>
      <c r="Z77" s="558"/>
      <c r="AA77" s="269"/>
      <c r="AB77" s="269"/>
      <c r="AC77" s="529"/>
      <c r="AD77" s="537">
        <v>694.6</v>
      </c>
      <c r="AE77" s="269"/>
      <c r="AF77" s="530" t="s">
        <v>103</v>
      </c>
      <c r="AG77" s="537">
        <v>583.5</v>
      </c>
      <c r="AH77" s="269"/>
      <c r="AI77" s="102"/>
      <c r="AJ77" s="269">
        <f t="shared" si="5"/>
        <v>111.1</v>
      </c>
      <c r="AK77" s="41"/>
      <c r="AL77" s="548">
        <f>ROUND(IF(AG77=0,0,AJ77/ABS(AG77)),3)</f>
        <v>0.19</v>
      </c>
      <c r="AM77" s="1669"/>
      <c r="AN77" s="1669"/>
    </row>
    <row r="78" spans="1:40" ht="15.75">
      <c r="A78" s="296"/>
      <c r="B78" s="3" t="s">
        <v>567</v>
      </c>
      <c r="C78" s="296"/>
      <c r="D78" s="296"/>
      <c r="E78" s="623">
        <f>ROUND(SUM(E68:E77),1)</f>
        <v>217.1</v>
      </c>
      <c r="F78" s="13"/>
      <c r="G78" s="623">
        <f>ROUND(SUM(G68:G77),1)</f>
        <v>364</v>
      </c>
      <c r="H78" s="13"/>
      <c r="I78" s="623">
        <f>ROUND(SUM(I68:I77),1)</f>
        <v>505.6</v>
      </c>
      <c r="J78" s="13"/>
      <c r="K78" s="623">
        <f>ROUND(SUM(K68:K77),1)</f>
        <v>411.2</v>
      </c>
      <c r="L78" s="13"/>
      <c r="M78" s="623">
        <f>ROUND(SUM(M68:M77),1)</f>
        <v>829.9</v>
      </c>
      <c r="N78" s="13"/>
      <c r="O78" s="623">
        <f>ROUND(SUM(O68:O77),1)</f>
        <v>612.5</v>
      </c>
      <c r="P78" s="13"/>
      <c r="Q78" s="623">
        <f>ROUND(SUM(Q68:Q77),1)</f>
        <v>257.39999999999998</v>
      </c>
      <c r="R78" s="13"/>
      <c r="S78" s="623">
        <f>ROUND(SUM(S68:S77),1)</f>
        <v>762</v>
      </c>
      <c r="T78" s="13"/>
      <c r="U78" s="623">
        <f>ROUND(SUM(U68:U77),1)</f>
        <v>0</v>
      </c>
      <c r="V78" s="13"/>
      <c r="W78" s="623">
        <f>ROUND(SUM(W68:W77),1)</f>
        <v>0</v>
      </c>
      <c r="X78" s="13"/>
      <c r="Y78" s="623">
        <f>ROUND(SUM(Y68:Y77),1)</f>
        <v>0</v>
      </c>
      <c r="Z78" s="13"/>
      <c r="AA78" s="623">
        <f>ROUND(SUM(AA68:AA77),1)</f>
        <v>0</v>
      </c>
      <c r="AB78" s="13"/>
      <c r="AC78" s="14"/>
      <c r="AD78" s="623">
        <f>ROUND(SUM(AD68:AD77),1)</f>
        <v>3959.7</v>
      </c>
      <c r="AE78" s="1253"/>
      <c r="AF78" s="13"/>
      <c r="AG78" s="623">
        <f>ROUND(SUM(AG68:AG77),1)</f>
        <v>3867.9</v>
      </c>
      <c r="AH78" s="13"/>
      <c r="AI78" s="102"/>
      <c r="AJ78" s="623">
        <f>ROUND(SUM(AJ68:AJ77),1)</f>
        <v>91.8</v>
      </c>
      <c r="AK78" s="3"/>
      <c r="AL78" s="543">
        <f>ROUND(IF(AG78=0,0,AJ78/ABS(AG78)),3)</f>
        <v>2.4E-2</v>
      </c>
      <c r="AM78" s="1669"/>
      <c r="AN78" s="1669"/>
    </row>
    <row r="79" spans="1:40"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51"/>
      <c r="AF79" s="269"/>
      <c r="AG79" s="269"/>
      <c r="AH79" s="269"/>
      <c r="AI79" s="102"/>
      <c r="AJ79" s="12"/>
      <c r="AL79" s="100"/>
      <c r="AM79" s="1669"/>
      <c r="AN79" s="1669"/>
    </row>
    <row r="80" spans="1:40" ht="15.75">
      <c r="A80" s="296"/>
      <c r="B80" s="296" t="s">
        <v>569</v>
      </c>
      <c r="C80" s="296"/>
      <c r="D80" s="296"/>
      <c r="E80" s="269">
        <v>0</v>
      </c>
      <c r="F80" s="269"/>
      <c r="G80" s="269">
        <v>0</v>
      </c>
      <c r="H80" s="269"/>
      <c r="I80" s="269">
        <v>0</v>
      </c>
      <c r="J80" s="269"/>
      <c r="K80" s="269">
        <v>0</v>
      </c>
      <c r="L80" s="558"/>
      <c r="M80" s="269">
        <v>0</v>
      </c>
      <c r="N80" s="558"/>
      <c r="O80" s="269">
        <v>0</v>
      </c>
      <c r="P80" s="558"/>
      <c r="Q80" s="269">
        <v>0</v>
      </c>
      <c r="R80" s="558"/>
      <c r="S80" s="269">
        <f>$AD80-O80-Q80-M80-K80-I80-G80-E80</f>
        <v>0</v>
      </c>
      <c r="T80" s="558"/>
      <c r="U80" s="269"/>
      <c r="V80" s="558"/>
      <c r="W80" s="269"/>
      <c r="X80" s="558"/>
      <c r="Y80" s="269"/>
      <c r="Z80" s="558"/>
      <c r="AA80" s="269"/>
      <c r="AB80" s="269"/>
      <c r="AC80" s="529"/>
      <c r="AD80" s="269">
        <v>0</v>
      </c>
      <c r="AE80" s="1251"/>
      <c r="AF80" s="269"/>
      <c r="AG80" s="269">
        <v>0</v>
      </c>
      <c r="AH80" s="372"/>
      <c r="AI80" s="104"/>
      <c r="AJ80" s="269">
        <f>ROUND(AD80-AG80,1)</f>
        <v>0</v>
      </c>
      <c r="AL80" s="271">
        <f>ROUND(IF(AG80=0,0,AJ80/ABS(AG80)),3)</f>
        <v>0</v>
      </c>
      <c r="AM80" s="1669"/>
      <c r="AN80" s="1669"/>
    </row>
    <row r="81" spans="1:40" ht="15.75">
      <c r="A81" s="296"/>
      <c r="B81" s="296" t="s">
        <v>570</v>
      </c>
      <c r="C81" s="296"/>
      <c r="D81" s="296"/>
      <c r="E81" s="269">
        <v>0</v>
      </c>
      <c r="F81" s="269"/>
      <c r="G81" s="269">
        <v>0</v>
      </c>
      <c r="H81" s="269"/>
      <c r="I81" s="269">
        <v>0</v>
      </c>
      <c r="J81" s="269"/>
      <c r="K81" s="269">
        <v>0</v>
      </c>
      <c r="L81" s="558"/>
      <c r="M81" s="269">
        <v>0</v>
      </c>
      <c r="N81" s="558"/>
      <c r="O81" s="269">
        <v>0</v>
      </c>
      <c r="P81" s="558"/>
      <c r="Q81" s="269">
        <v>0</v>
      </c>
      <c r="R81" s="558"/>
      <c r="S81" s="269">
        <f t="shared" ref="S81:S83" si="7">$AD81-O81-Q81-M81-K81-I81-G81-E81</f>
        <v>0</v>
      </c>
      <c r="T81" s="558"/>
      <c r="U81" s="269"/>
      <c r="V81" s="558"/>
      <c r="W81" s="269"/>
      <c r="X81" s="558"/>
      <c r="Y81" s="269"/>
      <c r="Z81" s="558"/>
      <c r="AA81" s="269"/>
      <c r="AB81" s="269"/>
      <c r="AC81" s="529"/>
      <c r="AD81" s="896">
        <v>0</v>
      </c>
      <c r="AE81" s="1251"/>
      <c r="AF81" s="269"/>
      <c r="AG81" s="896">
        <v>0</v>
      </c>
      <c r="AH81" s="372"/>
      <c r="AI81" s="104"/>
      <c r="AJ81" s="269">
        <f>ROUND(AD81-AG81,1)</f>
        <v>0</v>
      </c>
      <c r="AL81" s="271">
        <f>ROUND(IF(AG81=0,0,AJ81/ABS(AG81)),3)</f>
        <v>0</v>
      </c>
      <c r="AM81" s="1669"/>
      <c r="AN81" s="1669"/>
    </row>
    <row r="82" spans="1:40" ht="15.75">
      <c r="A82" s="296"/>
      <c r="B82" s="296" t="s">
        <v>571</v>
      </c>
      <c r="C82" s="296"/>
      <c r="D82" s="296"/>
      <c r="E82" s="269">
        <v>0</v>
      </c>
      <c r="F82" s="269"/>
      <c r="G82" s="269">
        <v>0</v>
      </c>
      <c r="H82" s="269"/>
      <c r="I82" s="269">
        <v>0</v>
      </c>
      <c r="J82" s="269"/>
      <c r="K82" s="269">
        <v>0</v>
      </c>
      <c r="L82" s="558"/>
      <c r="M82" s="269">
        <v>0</v>
      </c>
      <c r="N82" s="558"/>
      <c r="O82" s="269">
        <v>0</v>
      </c>
      <c r="P82" s="558"/>
      <c r="Q82" s="269">
        <v>0</v>
      </c>
      <c r="R82" s="558"/>
      <c r="S82" s="269">
        <f t="shared" si="7"/>
        <v>0</v>
      </c>
      <c r="T82" s="558"/>
      <c r="U82" s="269"/>
      <c r="V82" s="558"/>
      <c r="W82" s="269"/>
      <c r="X82" s="558"/>
      <c r="Y82" s="269"/>
      <c r="Z82" s="558"/>
      <c r="AA82" s="269"/>
      <c r="AB82" s="1082"/>
      <c r="AC82" s="1083"/>
      <c r="AD82" s="269">
        <v>0</v>
      </c>
      <c r="AE82" s="1251"/>
      <c r="AF82" s="269"/>
      <c r="AG82" s="269">
        <v>0</v>
      </c>
      <c r="AH82" s="372"/>
      <c r="AI82" s="104"/>
      <c r="AJ82" s="269">
        <f>ROUND(AD82-AG82,1)</f>
        <v>0</v>
      </c>
      <c r="AL82" s="271">
        <f>ROUND(IF(AG82=0,0,AJ82/ABS(AG82)),3)</f>
        <v>0</v>
      </c>
      <c r="AM82" s="1669"/>
      <c r="AN82" s="1669"/>
    </row>
    <row r="83" spans="1:40" ht="15.75">
      <c r="A83" s="296"/>
      <c r="B83" s="418" t="s">
        <v>516</v>
      </c>
      <c r="C83" s="296"/>
      <c r="D83" s="296"/>
      <c r="E83" s="269">
        <v>430.4</v>
      </c>
      <c r="F83" s="269"/>
      <c r="G83" s="269">
        <v>666.50000000000011</v>
      </c>
      <c r="H83" s="269"/>
      <c r="I83" s="269">
        <v>764.4</v>
      </c>
      <c r="J83" s="269"/>
      <c r="K83" s="269">
        <v>734.89999999999975</v>
      </c>
      <c r="L83" s="558"/>
      <c r="M83" s="269">
        <v>704.3000000000003</v>
      </c>
      <c r="N83" s="558"/>
      <c r="O83" s="269">
        <v>711.9000000000002</v>
      </c>
      <c r="P83" s="558"/>
      <c r="Q83" s="269">
        <v>775.70000000000039</v>
      </c>
      <c r="R83" s="558"/>
      <c r="S83" s="269">
        <f t="shared" si="7"/>
        <v>723.99999999999966</v>
      </c>
      <c r="T83" s="558"/>
      <c r="U83" s="269"/>
      <c r="V83" s="558"/>
      <c r="W83" s="269"/>
      <c r="X83" s="558"/>
      <c r="Y83" s="269"/>
      <c r="Z83" s="558"/>
      <c r="AA83" s="269"/>
      <c r="AB83" s="269"/>
      <c r="AC83" s="529"/>
      <c r="AD83" s="1001">
        <v>5512.1</v>
      </c>
      <c r="AE83" s="269"/>
      <c r="AF83" s="530" t="s">
        <v>103</v>
      </c>
      <c r="AG83" s="1001">
        <v>5189.6000000000004</v>
      </c>
      <c r="AH83" s="292"/>
      <c r="AI83" s="101"/>
      <c r="AJ83" s="388">
        <f>ROUND(AD83-AG83,1)</f>
        <v>322.5</v>
      </c>
      <c r="AL83" s="539">
        <f>ROUND(IF(AG83=0,0,AJ83/ABS(AG83)),3)</f>
        <v>6.2E-2</v>
      </c>
      <c r="AM83" s="1669"/>
      <c r="AN83" s="1669"/>
    </row>
    <row r="84" spans="1:40" ht="15.75">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529"/>
      <c r="AD84" s="12"/>
      <c r="AE84" s="1251"/>
      <c r="AF84" s="269"/>
      <c r="AG84" s="12"/>
      <c r="AH84" s="12"/>
      <c r="AI84" s="102"/>
      <c r="AJ84" s="12"/>
      <c r="AL84" s="100"/>
      <c r="AM84" s="1669"/>
      <c r="AN84" s="1669"/>
    </row>
    <row r="85" spans="1:40" ht="15.75">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1033.0999999999999</v>
      </c>
      <c r="R85" s="13"/>
      <c r="S85" s="13">
        <f>ROUND(SUM(S78:S83),1)</f>
        <v>1486</v>
      </c>
      <c r="T85" s="13"/>
      <c r="U85" s="13">
        <f>ROUND(SUM(U78:U83),1)</f>
        <v>0</v>
      </c>
      <c r="V85" s="13"/>
      <c r="W85" s="13">
        <f>ROUND(SUM(W78:W83),1)</f>
        <v>0</v>
      </c>
      <c r="X85" s="13"/>
      <c r="Y85" s="13">
        <f>ROUND(SUM(Y78:Y83),1)</f>
        <v>0</v>
      </c>
      <c r="Z85" s="13"/>
      <c r="AA85" s="13">
        <f>ROUND(SUM(AA78:AA83),1)</f>
        <v>0</v>
      </c>
      <c r="AB85" s="13"/>
      <c r="AC85" s="14"/>
      <c r="AD85" s="13">
        <f>ROUND(SUM(AD78:AD83),1)</f>
        <v>9471.7999999999993</v>
      </c>
      <c r="AE85" s="1253"/>
      <c r="AF85" s="13"/>
      <c r="AG85" s="13">
        <f>ROUND(SUM(AG78:AG83),1)</f>
        <v>9057.5</v>
      </c>
      <c r="AH85" s="13"/>
      <c r="AI85" s="102"/>
      <c r="AJ85" s="362">
        <f>ROUND(AD85-AG85,1)</f>
        <v>414.3</v>
      </c>
      <c r="AK85" s="3"/>
      <c r="AL85" s="544">
        <f>ROUND(IF(AG85=0,0,AJ85/ABS(AG85)),3)</f>
        <v>4.5999999999999999E-2</v>
      </c>
      <c r="AM85" s="1669"/>
      <c r="AN85" s="1669"/>
    </row>
    <row r="86" spans="1:40" ht="15.75">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529"/>
      <c r="AD86" s="622"/>
      <c r="AE86" s="1251"/>
      <c r="AF86" s="269"/>
      <c r="AG86" s="622"/>
      <c r="AH86" s="269"/>
      <c r="AI86" s="102"/>
      <c r="AJ86" s="12"/>
      <c r="AL86" s="100"/>
      <c r="AM86" s="1669"/>
      <c r="AN86" s="1669"/>
    </row>
    <row r="87" spans="1:40"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51"/>
      <c r="AF87" s="269"/>
      <c r="AG87" s="12"/>
      <c r="AH87" s="12"/>
      <c r="AI87" s="102"/>
      <c r="AJ87" s="12"/>
      <c r="AL87" s="100"/>
      <c r="AM87" s="1669"/>
      <c r="AN87" s="1669"/>
    </row>
    <row r="88" spans="1:40" ht="15.75">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-387.8</v>
      </c>
      <c r="R88" s="13"/>
      <c r="S88" s="13">
        <f>ROUND(SUM(S64-S85),1)</f>
        <v>-1282</v>
      </c>
      <c r="T88" s="13"/>
      <c r="U88" s="13">
        <f>ROUND(SUM(U64-U85),1)</f>
        <v>0</v>
      </c>
      <c r="V88" s="13"/>
      <c r="W88" s="13">
        <f>ROUND(SUM(W64-W85),1)</f>
        <v>0</v>
      </c>
      <c r="X88" s="13"/>
      <c r="Y88" s="13">
        <f>ROUND(SUM(Y64-Y85),1)</f>
        <v>0</v>
      </c>
      <c r="Z88" s="13"/>
      <c r="AA88" s="13">
        <f>ROUND(SUM(AA64-AA85),1)</f>
        <v>0</v>
      </c>
      <c r="AB88" s="13"/>
      <c r="AC88" s="14"/>
      <c r="AD88" s="13">
        <f>ROUND(SUM(AD64-AD85),1)</f>
        <v>-5999.7</v>
      </c>
      <c r="AE88" s="1253"/>
      <c r="AF88" s="13"/>
      <c r="AG88" s="13">
        <f>ROUND(SUM(AG64-AG85),1)</f>
        <v>-4849.3</v>
      </c>
      <c r="AH88" s="13"/>
      <c r="AI88" s="102"/>
      <c r="AJ88" s="362">
        <f>ROUND(AD88-AG88,1)</f>
        <v>-1150.4000000000001</v>
      </c>
      <c r="AK88" s="3"/>
      <c r="AL88" s="545">
        <f>ROUND(IF(AG88=0,0,AJ88/ABS(AG88)),3)</f>
        <v>-0.23699999999999999</v>
      </c>
      <c r="AM88" s="1669"/>
      <c r="AN88" s="1669"/>
    </row>
    <row r="89" spans="1:40" ht="15.75">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529"/>
      <c r="AD89" s="622"/>
      <c r="AE89" s="1251"/>
      <c r="AF89" s="269"/>
      <c r="AG89" s="622"/>
      <c r="AH89" s="269"/>
      <c r="AI89" s="102"/>
      <c r="AJ89" s="12"/>
      <c r="AL89" s="100"/>
      <c r="AM89" s="1669"/>
      <c r="AN89" s="1669"/>
    </row>
    <row r="90" spans="1:40"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51"/>
      <c r="AF90" s="269"/>
      <c r="AG90" s="372"/>
      <c r="AH90" s="372"/>
      <c r="AI90" s="104"/>
      <c r="AJ90" s="12"/>
      <c r="AL90" s="100"/>
      <c r="AM90" s="1669"/>
      <c r="AN90" s="1669"/>
    </row>
    <row r="91" spans="1:40" ht="15.75">
      <c r="A91" s="296"/>
      <c r="B91" s="296" t="s">
        <v>576</v>
      </c>
      <c r="C91" s="296"/>
      <c r="D91" s="296"/>
      <c r="E91" s="269">
        <v>0</v>
      </c>
      <c r="F91" s="269"/>
      <c r="G91" s="269">
        <v>0</v>
      </c>
      <c r="H91" s="269"/>
      <c r="I91" s="269">
        <v>0</v>
      </c>
      <c r="J91" s="269"/>
      <c r="K91" s="269">
        <v>0</v>
      </c>
      <c r="L91" s="558"/>
      <c r="M91" s="269">
        <v>0</v>
      </c>
      <c r="N91" s="558"/>
      <c r="O91" s="269">
        <v>0</v>
      </c>
      <c r="P91" s="558"/>
      <c r="Q91" s="269">
        <v>0</v>
      </c>
      <c r="R91" s="558"/>
      <c r="S91" s="269">
        <f>$AD91-O91-Q91-M91-K91-I91-G91-E91</f>
        <v>0</v>
      </c>
      <c r="T91" s="558"/>
      <c r="U91" s="269"/>
      <c r="V91" s="558"/>
      <c r="W91" s="269"/>
      <c r="X91" s="558"/>
      <c r="Y91" s="269"/>
      <c r="Z91" s="558"/>
      <c r="AA91" s="269"/>
      <c r="AB91" s="269"/>
      <c r="AC91" s="529"/>
      <c r="AD91" s="537">
        <v>0</v>
      </c>
      <c r="AE91" s="292"/>
      <c r="AF91" s="1806"/>
      <c r="AG91" s="537">
        <v>0</v>
      </c>
      <c r="AH91" s="372"/>
      <c r="AI91" s="104"/>
      <c r="AJ91" s="269">
        <f>ROUND(AD91-AG91,1)</f>
        <v>0</v>
      </c>
      <c r="AK91" s="41"/>
      <c r="AL91" s="548">
        <f>ROUND(IF(AG91=0,0,AJ91/ABS(AG91)),3)</f>
        <v>0</v>
      </c>
      <c r="AM91" s="1669"/>
      <c r="AN91" s="1669"/>
    </row>
    <row r="92" spans="1:40" ht="15.75">
      <c r="A92" s="296"/>
      <c r="B92" s="418" t="s">
        <v>518</v>
      </c>
      <c r="C92" s="296"/>
      <c r="D92" s="296"/>
      <c r="E92" s="269">
        <v>414.4</v>
      </c>
      <c r="F92" s="269"/>
      <c r="G92" s="269">
        <v>469.9</v>
      </c>
      <c r="H92" s="269"/>
      <c r="I92" s="269">
        <v>760.29999999999984</v>
      </c>
      <c r="J92" s="269"/>
      <c r="K92" s="269">
        <v>-185.6999999999997</v>
      </c>
      <c r="L92" s="558"/>
      <c r="M92" s="269">
        <v>944.69999999999993</v>
      </c>
      <c r="N92" s="558"/>
      <c r="O92" s="269">
        <v>861.00000000000011</v>
      </c>
      <c r="P92" s="558"/>
      <c r="Q92" s="269">
        <v>923.70000000000039</v>
      </c>
      <c r="R92" s="558"/>
      <c r="S92" s="269">
        <f t="shared" ref="S92:S93" si="8">$AD92-O92-Q92-M92-K92-I92-G92-E92</f>
        <v>864.3000000000003</v>
      </c>
      <c r="T92" s="558"/>
      <c r="U92" s="269"/>
      <c r="V92" s="558"/>
      <c r="W92" s="269"/>
      <c r="X92" s="558"/>
      <c r="Y92" s="269"/>
      <c r="Z92" s="558"/>
      <c r="AA92" s="269"/>
      <c r="AB92" s="269"/>
      <c r="AC92" s="529"/>
      <c r="AD92" s="537">
        <v>5052.6000000000004</v>
      </c>
      <c r="AE92" s="292"/>
      <c r="AF92" s="1806"/>
      <c r="AG92" s="537">
        <v>3984.9</v>
      </c>
      <c r="AH92" s="292"/>
      <c r="AI92" s="101"/>
      <c r="AJ92" s="269">
        <f>ROUND(AD92-AG92,1)</f>
        <v>1067.7</v>
      </c>
      <c r="AL92" s="548">
        <f>ROUND(IF(AG92=0,0,AJ92/ABS(AG92)),3)</f>
        <v>0.26800000000000002</v>
      </c>
      <c r="AM92" s="1669"/>
      <c r="AN92" s="1669"/>
    </row>
    <row r="93" spans="1:40" ht="15.75">
      <c r="A93" s="296"/>
      <c r="B93" s="418" t="s">
        <v>577</v>
      </c>
      <c r="C93" s="296"/>
      <c r="D93" s="296"/>
      <c r="E93" s="269">
        <v>-0.4</v>
      </c>
      <c r="F93" s="269"/>
      <c r="G93" s="269">
        <v>-0.6</v>
      </c>
      <c r="H93" s="269"/>
      <c r="I93" s="269">
        <v>-3.3</v>
      </c>
      <c r="J93" s="269"/>
      <c r="K93" s="269">
        <v>-11.800000000000002</v>
      </c>
      <c r="L93" s="558"/>
      <c r="M93" s="269">
        <v>-25.6</v>
      </c>
      <c r="N93" s="558"/>
      <c r="O93" s="269">
        <v>-1.7999999999999945</v>
      </c>
      <c r="P93" s="558"/>
      <c r="Q93" s="269">
        <v>-2.6000000000000041</v>
      </c>
      <c r="R93" s="558"/>
      <c r="S93" s="269">
        <f t="shared" si="8"/>
        <v>-1.6000000000000005</v>
      </c>
      <c r="T93" s="558"/>
      <c r="U93" s="269"/>
      <c r="V93" s="558"/>
      <c r="W93" s="269"/>
      <c r="X93" s="558"/>
      <c r="Y93" s="269"/>
      <c r="Z93" s="558"/>
      <c r="AA93" s="269"/>
      <c r="AB93" s="269"/>
      <c r="AC93" s="529"/>
      <c r="AD93" s="1001">
        <v>-47.7</v>
      </c>
      <c r="AE93" s="292"/>
      <c r="AF93" s="1806"/>
      <c r="AG93" s="1001">
        <v>-64.400000000000006</v>
      </c>
      <c r="AH93" s="269"/>
      <c r="AI93" s="102"/>
      <c r="AJ93" s="388">
        <f>ROUND(-AD93+AG93,1)</f>
        <v>-16.7</v>
      </c>
      <c r="AL93" s="539">
        <f>ROUND(IF(AG93=0,0,AJ93/ABS(AG93)),3)</f>
        <v>-0.25900000000000001</v>
      </c>
      <c r="AM93" s="1669"/>
      <c r="AN93" s="1669"/>
    </row>
    <row r="94" spans="1:40" ht="15.75">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529"/>
      <c r="AD94" s="12"/>
      <c r="AE94" s="1251"/>
      <c r="AF94" s="269"/>
      <c r="AG94" s="12"/>
      <c r="AH94" s="12"/>
      <c r="AI94" s="102"/>
      <c r="AJ94" s="12"/>
      <c r="AL94" s="100"/>
      <c r="AM94" s="1669"/>
      <c r="AN94" s="1669"/>
    </row>
    <row r="95" spans="1:40" ht="15.75">
      <c r="A95" s="296"/>
      <c r="B95" s="3" t="s">
        <v>586</v>
      </c>
      <c r="C95" s="296"/>
      <c r="D95" s="296"/>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921.1</v>
      </c>
      <c r="R95" s="13"/>
      <c r="S95" s="13">
        <f>ROUND(SUM(S91:S93),1)</f>
        <v>862.7</v>
      </c>
      <c r="T95" s="13"/>
      <c r="U95" s="13">
        <f>ROUND(SUM(U91:U93),1)</f>
        <v>0</v>
      </c>
      <c r="V95" s="13"/>
      <c r="W95" s="13">
        <f>ROUND(SUM(W91:W93),1)</f>
        <v>0</v>
      </c>
      <c r="X95" s="13"/>
      <c r="Y95" s="13">
        <f>ROUND(SUM(Y91:Y93),1)</f>
        <v>0</v>
      </c>
      <c r="Z95" s="13"/>
      <c r="AA95" s="13">
        <f>ROUND(SUM(AA91:AA93),1)</f>
        <v>0</v>
      </c>
      <c r="AB95" s="13"/>
      <c r="AC95" s="14"/>
      <c r="AD95" s="13">
        <f>ROUND(SUM(AD91:AD93),1)</f>
        <v>5004.8999999999996</v>
      </c>
      <c r="AE95" s="1253"/>
      <c r="AF95" s="13"/>
      <c r="AG95" s="13">
        <f>ROUND(SUM(AG91:AG93),1)</f>
        <v>3920.5</v>
      </c>
      <c r="AH95" s="13"/>
      <c r="AI95" s="102"/>
      <c r="AJ95" s="362">
        <f>ROUND(AD95-AG95,1)</f>
        <v>1084.4000000000001</v>
      </c>
      <c r="AK95" s="3"/>
      <c r="AL95" s="545">
        <f>ROUND(IF(AG95=0,0,AJ95/ABS(AG95)),3)</f>
        <v>0.27700000000000002</v>
      </c>
      <c r="AM95" s="1669"/>
      <c r="AN95" s="1669"/>
    </row>
    <row r="96" spans="1:40" ht="15.75">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529"/>
      <c r="AD96" s="622"/>
      <c r="AE96" s="1251"/>
      <c r="AF96" s="269"/>
      <c r="AG96" s="622"/>
      <c r="AH96" s="269"/>
      <c r="AI96" s="102"/>
      <c r="AJ96" s="12"/>
      <c r="AL96" s="100"/>
      <c r="AM96" s="1669"/>
      <c r="AN96" s="1669"/>
    </row>
    <row r="97" spans="1:40" ht="15.75">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51"/>
      <c r="AF97" s="269"/>
      <c r="AG97" s="269"/>
      <c r="AH97" s="269"/>
      <c r="AI97" s="102"/>
      <c r="AJ97" s="12"/>
      <c r="AL97" s="100"/>
      <c r="AM97" s="1669"/>
      <c r="AN97" s="1669"/>
    </row>
    <row r="98" spans="1:40" ht="15.75">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51"/>
      <c r="AF98" s="269"/>
      <c r="AG98" s="12"/>
      <c r="AH98" s="12"/>
      <c r="AI98" s="102"/>
      <c r="AJ98" s="12"/>
      <c r="AL98" s="100"/>
      <c r="AM98" s="1669"/>
      <c r="AN98" s="1669"/>
    </row>
    <row r="99" spans="1:40" s="12" customFormat="1" ht="15.75">
      <c r="A99" s="269"/>
      <c r="B99" s="13" t="s">
        <v>1419</v>
      </c>
      <c r="C99" s="269"/>
      <c r="D99" s="269"/>
      <c r="E99" s="727">
        <f>ROUND(SUM(E88+E95),1)</f>
        <v>-60.6</v>
      </c>
      <c r="F99" s="728"/>
      <c r="G99" s="727">
        <f>ROUND(SUM(G88+G95),1)</f>
        <v>-269.60000000000002</v>
      </c>
      <c r="H99" s="728"/>
      <c r="I99" s="727">
        <f>ROUND(SUM(I88+I95),1)</f>
        <v>-229.9</v>
      </c>
      <c r="J99" s="728"/>
      <c r="K99" s="727">
        <f>ROUND(SUM(K88+K95),1)</f>
        <v>63</v>
      </c>
      <c r="L99" s="728"/>
      <c r="M99" s="727">
        <f>ROUND(SUM(M88+M95),1)</f>
        <v>-399.8</v>
      </c>
      <c r="N99" s="728"/>
      <c r="O99" s="727">
        <f>ROUND(SUM(O88+O95),1)</f>
        <v>-211.9</v>
      </c>
      <c r="P99" s="728"/>
      <c r="Q99" s="727">
        <f>ROUND(SUM(Q88+Q95),1)</f>
        <v>533.29999999999995</v>
      </c>
      <c r="R99" s="728"/>
      <c r="S99" s="727">
        <f>ROUND(SUM(S88+S95),1)</f>
        <v>-419.3</v>
      </c>
      <c r="T99" s="728"/>
      <c r="U99" s="727">
        <f>ROUND(SUM(U88+U95),1)</f>
        <v>0</v>
      </c>
      <c r="V99" s="728"/>
      <c r="W99" s="727">
        <f>ROUND(SUM(W88+W95),1)</f>
        <v>0</v>
      </c>
      <c r="X99" s="934"/>
      <c r="Y99" s="727">
        <f>ROUND(SUM(Y88+Y95),1)</f>
        <v>0</v>
      </c>
      <c r="Z99" s="728"/>
      <c r="AA99" s="727">
        <f>ROUND(SUM(AA88+AA95),1)</f>
        <v>0</v>
      </c>
      <c r="AB99" s="728"/>
      <c r="AC99" s="729"/>
      <c r="AD99" s="727">
        <f>ROUND(SUM(AD88+AD95),1)</f>
        <v>-994.8</v>
      </c>
      <c r="AE99" s="1263"/>
      <c r="AF99" s="13"/>
      <c r="AG99" s="727">
        <f>ROUND(SUM(AG88+AG95),1)</f>
        <v>-928.8</v>
      </c>
      <c r="AH99" s="13"/>
      <c r="AI99" s="102"/>
      <c r="AJ99" s="727">
        <f>ROUND(SUM(AJ88+AJ95),1)</f>
        <v>-66</v>
      </c>
      <c r="AK99" s="13"/>
      <c r="AL99" s="545">
        <f>ROUND(IF(AG99=0,0,AJ99/ABS(AG99)),3)</f>
        <v>-7.0999999999999994E-2</v>
      </c>
      <c r="AM99" s="1669"/>
      <c r="AN99" s="1669"/>
    </row>
    <row r="100" spans="1:40">
      <c r="B100" s="939"/>
      <c r="X100" s="1089"/>
      <c r="AC100" s="1818"/>
      <c r="AF100" s="1818"/>
      <c r="AI100" s="1819"/>
      <c r="AM100" s="1669"/>
      <c r="AN100" s="1669"/>
    </row>
    <row r="101" spans="1:40" ht="16.5"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-1652.8</v>
      </c>
      <c r="S101" s="73">
        <f>ROUND(SUM(S13+S99),1)</f>
        <v>-2072.1</v>
      </c>
      <c r="U101" s="73">
        <f>ROUND(SUM(U13+U99),1)</f>
        <v>0</v>
      </c>
      <c r="W101" s="73">
        <f>ROUND(SUM(W13+W99),1)</f>
        <v>0</v>
      </c>
      <c r="Y101" s="73">
        <f>ROUND(SUM(Y13+Y99),1)</f>
        <v>0</v>
      </c>
      <c r="AA101" s="73">
        <f>ROUND(SUM(AA13+AA99),1)</f>
        <v>0</v>
      </c>
      <c r="AC101" s="1818"/>
      <c r="AD101" s="73">
        <f>ROUND(SUM(AD13+AD99),1)</f>
        <v>-2072.1</v>
      </c>
      <c r="AF101" s="1818"/>
      <c r="AG101" s="73">
        <f>ROUND(SUM(AG13+AG99),1)</f>
        <v>-1674.1</v>
      </c>
      <c r="AI101" s="1819"/>
      <c r="AJ101" s="73">
        <f>ROUND(SUM(AJ13+AJ99),1)</f>
        <v>-398</v>
      </c>
      <c r="AL101" s="80">
        <f>ROUND(IF(AG101=0,0,AJ101/ABS(AG101)),3)</f>
        <v>-0.23799999999999999</v>
      </c>
      <c r="AM101" s="1669"/>
      <c r="AN101" s="1669"/>
    </row>
    <row r="102" spans="1:40" ht="15.75" thickTop="1">
      <c r="B102" s="935"/>
      <c r="C102" s="107"/>
      <c r="D102" s="107"/>
      <c r="E102" s="107"/>
      <c r="F102" s="107"/>
      <c r="G102" s="107"/>
      <c r="AG102" s="431"/>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5: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80" zoomScaleNormal="80" workbookViewId="0"/>
  </sheetViews>
  <sheetFormatPr defaultColWidth="8.88671875" defaultRowHeight="15"/>
  <cols>
    <col min="1" max="1" width="2.5546875" style="23" customWidth="1"/>
    <col min="2" max="2" width="14.109375" style="23" customWidth="1"/>
    <col min="3" max="3" width="26.5546875" style="23" customWidth="1"/>
    <col min="4" max="4" width="2.109375"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886718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2.88671875" style="23" customWidth="1"/>
    <col min="31" max="32" width="1.109375" style="23" customWidth="1"/>
    <col min="33" max="33" width="12.88671875" style="23" customWidth="1"/>
    <col min="34" max="35" width="1.109375" style="23" customWidth="1"/>
    <col min="36" max="36" width="12.88671875" style="23" customWidth="1"/>
    <col min="37" max="37" width="1.109375" style="23" customWidth="1"/>
    <col min="38" max="38" width="12.88671875" style="23" customWidth="1"/>
    <col min="39" max="39" width="8.88671875" style="23" bestFit="1" customWidth="1"/>
    <col min="40" max="40" width="9.44140625" style="23" bestFit="1" customWidth="1"/>
    <col min="41" max="16384" width="8.8867187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4"/>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8"/>
      <c r="D6" s="89"/>
      <c r="E6" s="89"/>
      <c r="F6" s="90"/>
      <c r="G6" s="90"/>
      <c r="H6" s="1150"/>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0"/>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93"/>
      <c r="F8" s="90"/>
      <c r="G8" s="90"/>
      <c r="H8" s="1150"/>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68"/>
      <c r="F9" s="90"/>
      <c r="G9" s="90"/>
      <c r="H9" s="90"/>
      <c r="I9" s="90"/>
      <c r="J9" s="90"/>
      <c r="K9" s="90"/>
      <c r="L9" s="90"/>
      <c r="M9" s="90"/>
      <c r="N9" s="90"/>
      <c r="O9" s="90"/>
      <c r="P9" s="90"/>
      <c r="Q9" s="90"/>
      <c r="R9" s="90"/>
      <c r="S9" s="90"/>
      <c r="T9" s="90"/>
      <c r="U9" s="90"/>
      <c r="V9" s="90"/>
      <c r="W9" s="90"/>
      <c r="X9" s="90"/>
      <c r="Y9" s="90"/>
      <c r="Z9" s="90"/>
      <c r="AA9" s="90"/>
      <c r="AB9" s="90"/>
      <c r="AC9" s="2100" t="str">
        <f>'Cashflow Governmental'!$AB$12</f>
        <v>8 Months Ended November 30</v>
      </c>
      <c r="AD9" s="2100"/>
      <c r="AE9" s="2100"/>
      <c r="AF9" s="2100"/>
      <c r="AG9" s="2100"/>
      <c r="AH9" s="2100"/>
      <c r="AI9" s="2100"/>
      <c r="AJ9" s="2100"/>
      <c r="AK9" s="2100"/>
      <c r="AL9" s="2100"/>
    </row>
    <row r="10" spans="1:40" ht="15.75">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 r="A11" s="296"/>
      <c r="B11" s="296"/>
      <c r="C11" s="296"/>
      <c r="D11" s="296"/>
      <c r="E11" s="1236" t="s">
        <v>332</v>
      </c>
      <c r="F11" s="3"/>
      <c r="G11" s="1236" t="s">
        <v>333</v>
      </c>
      <c r="H11" s="3"/>
      <c r="I11" s="1236" t="s">
        <v>334</v>
      </c>
      <c r="J11" s="3"/>
      <c r="K11" s="1236" t="s">
        <v>335</v>
      </c>
      <c r="L11" s="3"/>
      <c r="M11" s="1236" t="s">
        <v>336</v>
      </c>
      <c r="N11" s="3"/>
      <c r="O11" s="1236" t="s">
        <v>448</v>
      </c>
      <c r="P11" s="3"/>
      <c r="Q11" s="1236" t="s">
        <v>449</v>
      </c>
      <c r="R11" s="3"/>
      <c r="S11" s="1236" t="s">
        <v>339</v>
      </c>
      <c r="T11" s="3"/>
      <c r="U11" s="1236" t="s">
        <v>340</v>
      </c>
      <c r="V11" s="3"/>
      <c r="W11" s="1236" t="s">
        <v>341</v>
      </c>
      <c r="X11" s="3"/>
      <c r="Y11" s="1236" t="s">
        <v>342</v>
      </c>
      <c r="Z11" s="3"/>
      <c r="AA11" s="1236" t="s">
        <v>450</v>
      </c>
      <c r="AB11" s="3"/>
      <c r="AC11" s="3"/>
      <c r="AD11" s="1236" t="str">
        <f>'Cashflow Governmental'!AB14</f>
        <v>2025</v>
      </c>
      <c r="AE11" s="3" t="s">
        <v>103</v>
      </c>
      <c r="AF11" s="3"/>
      <c r="AG11" s="1236"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ht="15.75">
      <c r="A13" s="296"/>
      <c r="B13" s="1235" t="s">
        <v>559</v>
      </c>
      <c r="C13" s="3"/>
      <c r="E13" s="86">
        <v>-378.7</v>
      </c>
      <c r="F13" s="273"/>
      <c r="G13" s="86">
        <f>E82</f>
        <v>-418.4</v>
      </c>
      <c r="H13" s="86"/>
      <c r="I13" s="86">
        <f>G82</f>
        <v>-418.7</v>
      </c>
      <c r="J13" s="273"/>
      <c r="K13" s="86">
        <f>I82</f>
        <v>-350.2</v>
      </c>
      <c r="L13" s="273"/>
      <c r="M13" s="86">
        <f>K82</f>
        <v>-385.4</v>
      </c>
      <c r="N13" s="273"/>
      <c r="O13" s="86">
        <f>M82</f>
        <v>-388.8</v>
      </c>
      <c r="P13" s="273"/>
      <c r="Q13" s="86">
        <f>O82</f>
        <v>-402.8</v>
      </c>
      <c r="R13" s="279"/>
      <c r="S13" s="86">
        <f>Q82</f>
        <v>-352.8</v>
      </c>
      <c r="T13" s="20"/>
      <c r="U13" s="86"/>
      <c r="V13" s="20"/>
      <c r="W13" s="86"/>
      <c r="X13" s="20"/>
      <c r="Y13" s="86"/>
      <c r="Z13" s="20"/>
      <c r="AA13" s="86"/>
      <c r="AB13" s="273"/>
      <c r="AC13" s="674"/>
      <c r="AD13" s="1802">
        <f>E13</f>
        <v>-378.7</v>
      </c>
      <c r="AE13" s="273"/>
      <c r="AF13" s="1063"/>
      <c r="AG13" s="2002">
        <v>-572.79999999999995</v>
      </c>
      <c r="AH13" s="273"/>
      <c r="AI13" s="96"/>
      <c r="AJ13" s="1802">
        <f>+AD13-AG13</f>
        <v>194.09999999999997</v>
      </c>
      <c r="AL13" s="77">
        <f>-ROUND((+AJ13/AG13),3)</f>
        <v>0.33900000000000002</v>
      </c>
      <c r="AM13" s="1669"/>
      <c r="AN13" s="1669"/>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3"/>
      <c r="AG14" s="273"/>
      <c r="AH14" s="273"/>
      <c r="AI14" s="96"/>
      <c r="AM14" s="1669"/>
      <c r="AN14" s="1669"/>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273"/>
      <c r="AF15" s="1063"/>
      <c r="AG15" s="273"/>
      <c r="AH15" s="273"/>
      <c r="AI15" s="96"/>
      <c r="AM15" s="1669"/>
      <c r="AN15" s="1669"/>
    </row>
    <row r="16" spans="1:40" ht="15.75">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63"/>
      <c r="AE16" s="1251"/>
      <c r="AF16" s="269"/>
      <c r="AG16" s="269"/>
      <c r="AH16" s="292"/>
      <c r="AI16" s="101"/>
      <c r="AJ16" s="292"/>
      <c r="AK16" s="41"/>
      <c r="AL16" s="100"/>
      <c r="AM16" s="1669"/>
      <c r="AN16" s="1669"/>
    </row>
    <row r="17" spans="1:40" ht="15.75">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63"/>
      <c r="AE17" s="1251"/>
      <c r="AF17" s="269"/>
      <c r="AG17" s="269"/>
      <c r="AH17" s="292"/>
      <c r="AI17" s="101"/>
      <c r="AJ17" s="292"/>
      <c r="AK17" s="41"/>
      <c r="AL17" s="379"/>
      <c r="AM17" s="1669"/>
      <c r="AN17" s="1669"/>
    </row>
    <row r="18" spans="1:40">
      <c r="A18" s="296"/>
      <c r="B18" s="355" t="s">
        <v>1491</v>
      </c>
      <c r="C18" s="296"/>
      <c r="D18" s="296"/>
      <c r="E18" s="269">
        <v>0</v>
      </c>
      <c r="F18" s="294"/>
      <c r="G18" s="269">
        <v>0</v>
      </c>
      <c r="H18" s="294"/>
      <c r="I18" s="269">
        <v>0</v>
      </c>
      <c r="J18" s="269"/>
      <c r="K18" s="269">
        <v>0</v>
      </c>
      <c r="L18" s="269"/>
      <c r="M18" s="269">
        <v>0</v>
      </c>
      <c r="N18" s="269"/>
      <c r="O18" s="269">
        <v>0</v>
      </c>
      <c r="P18" s="269"/>
      <c r="Q18" s="269">
        <v>0</v>
      </c>
      <c r="R18" s="269"/>
      <c r="S18" s="294">
        <f>$AD18-O18-Q18-M18-K18-I18-G18-E18</f>
        <v>0</v>
      </c>
      <c r="T18" s="294"/>
      <c r="U18" s="294"/>
      <c r="V18" s="294"/>
      <c r="W18" s="294"/>
      <c r="X18" s="294"/>
      <c r="Y18" s="294"/>
      <c r="Z18" s="294"/>
      <c r="AA18" s="294"/>
      <c r="AB18" s="269"/>
      <c r="AC18" s="529"/>
      <c r="AD18" s="537">
        <v>0</v>
      </c>
      <c r="AE18" s="269"/>
      <c r="AF18" s="530" t="s">
        <v>103</v>
      </c>
      <c r="AG18" s="537">
        <v>0</v>
      </c>
      <c r="AH18" s="292"/>
      <c r="AI18" s="1803"/>
      <c r="AJ18" s="292">
        <f>ROUND(AD18-AG18,1)</f>
        <v>0</v>
      </c>
      <c r="AK18" s="273"/>
      <c r="AL18" s="271">
        <f>ROUND(IF(AG18=0,0,AJ18/ABS(AG18)),3)</f>
        <v>0</v>
      </c>
      <c r="AM18" s="1669"/>
      <c r="AN18" s="1669"/>
    </row>
    <row r="19" spans="1:40" s="296" customFormat="1">
      <c r="B19" s="355" t="s">
        <v>564</v>
      </c>
      <c r="E19" s="269">
        <v>0</v>
      </c>
      <c r="F19" s="294"/>
      <c r="G19" s="269">
        <v>0</v>
      </c>
      <c r="H19" s="294"/>
      <c r="I19" s="269">
        <v>0</v>
      </c>
      <c r="J19" s="269"/>
      <c r="K19" s="269">
        <v>0</v>
      </c>
      <c r="L19" s="269"/>
      <c r="M19" s="269">
        <v>0</v>
      </c>
      <c r="N19" s="269"/>
      <c r="O19" s="269">
        <v>0</v>
      </c>
      <c r="P19" s="269"/>
      <c r="Q19" s="269">
        <v>0</v>
      </c>
      <c r="R19" s="269"/>
      <c r="S19" s="294">
        <f t="shared" ref="S19:S41" si="0">$AD19-O19-Q19-M19-K19-I19-G19-E19</f>
        <v>0</v>
      </c>
      <c r="T19" s="294"/>
      <c r="U19" s="294"/>
      <c r="V19" s="294"/>
      <c r="W19" s="294"/>
      <c r="X19" s="294"/>
      <c r="Y19" s="294"/>
      <c r="Z19" s="294"/>
      <c r="AA19" s="294"/>
      <c r="AB19" s="269"/>
      <c r="AC19" s="529"/>
      <c r="AD19" s="537">
        <v>0</v>
      </c>
      <c r="AE19" s="269"/>
      <c r="AF19" s="530" t="s">
        <v>103</v>
      </c>
      <c r="AG19" s="537">
        <v>0</v>
      </c>
      <c r="AH19" s="292"/>
      <c r="AI19" s="1803"/>
      <c r="AJ19" s="292">
        <f>ROUND(AD19-AG19,1)</f>
        <v>0</v>
      </c>
      <c r="AK19" s="273"/>
      <c r="AL19" s="271">
        <f>ROUND(IF(AG19=0,0,AJ19/ABS(AG19)),3)</f>
        <v>0</v>
      </c>
      <c r="AM19" s="1669"/>
      <c r="AN19" s="1669"/>
    </row>
    <row r="20" spans="1:40" s="296" customFormat="1" ht="15.75">
      <c r="B20" s="355" t="s">
        <v>390</v>
      </c>
      <c r="E20" s="294" t="s">
        <v>103</v>
      </c>
      <c r="F20" s="269"/>
      <c r="G20" s="269"/>
      <c r="H20" s="269"/>
      <c r="I20" s="269"/>
      <c r="J20" s="269"/>
      <c r="K20" s="269"/>
      <c r="L20" s="269"/>
      <c r="M20" s="269"/>
      <c r="N20" s="269"/>
      <c r="O20" s="269"/>
      <c r="P20" s="269"/>
      <c r="Q20" s="269"/>
      <c r="R20" s="269"/>
      <c r="S20" s="294"/>
      <c r="T20" s="269"/>
      <c r="U20" s="294"/>
      <c r="V20" s="269"/>
      <c r="W20" s="294"/>
      <c r="X20" s="269"/>
      <c r="Y20" s="294"/>
      <c r="Z20" s="269"/>
      <c r="AA20" s="294"/>
      <c r="AB20" s="269"/>
      <c r="AC20" s="529"/>
      <c r="AD20" s="269" t="s">
        <v>103</v>
      </c>
      <c r="AE20" s="1251"/>
      <c r="AF20" s="269"/>
      <c r="AG20" s="269" t="s">
        <v>103</v>
      </c>
      <c r="AH20" s="292"/>
      <c r="AI20" s="101"/>
      <c r="AJ20" s="292" t="s">
        <v>103</v>
      </c>
      <c r="AK20" s="273"/>
      <c r="AL20" s="379" t="s">
        <v>103</v>
      </c>
      <c r="AM20" s="1669"/>
      <c r="AN20" s="1669"/>
    </row>
    <row r="21" spans="1:40" s="296" customFormat="1" ht="15.75">
      <c r="B21" s="355" t="s">
        <v>486</v>
      </c>
      <c r="E21" s="269">
        <v>0</v>
      </c>
      <c r="F21" s="269"/>
      <c r="G21" s="269">
        <v>0</v>
      </c>
      <c r="H21" s="269"/>
      <c r="I21" s="269">
        <v>0</v>
      </c>
      <c r="J21" s="269"/>
      <c r="K21" s="269">
        <v>0</v>
      </c>
      <c r="L21" s="269"/>
      <c r="M21" s="269">
        <v>0</v>
      </c>
      <c r="N21" s="269"/>
      <c r="O21" s="269">
        <v>0</v>
      </c>
      <c r="P21" s="269"/>
      <c r="Q21" s="269">
        <v>0</v>
      </c>
      <c r="R21" s="269"/>
      <c r="S21" s="294">
        <f t="shared" si="0"/>
        <v>0</v>
      </c>
      <c r="T21" s="294"/>
      <c r="U21" s="294"/>
      <c r="V21" s="269"/>
      <c r="W21" s="294"/>
      <c r="X21" s="269"/>
      <c r="Y21" s="294"/>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69"/>
      <c r="AN21" s="1669"/>
    </row>
    <row r="22" spans="1:40" s="296" customFormat="1" ht="15.75">
      <c r="B22" s="355" t="s">
        <v>395</v>
      </c>
      <c r="E22" s="269" t="s">
        <v>103</v>
      </c>
      <c r="F22" s="269"/>
      <c r="G22" s="269"/>
      <c r="H22" s="269"/>
      <c r="I22" s="269"/>
      <c r="J22" s="269"/>
      <c r="K22" s="269"/>
      <c r="L22" s="269"/>
      <c r="M22" s="269"/>
      <c r="N22" s="269"/>
      <c r="O22" s="269"/>
      <c r="P22" s="269"/>
      <c r="Q22" s="269"/>
      <c r="R22" s="269"/>
      <c r="S22" s="294"/>
      <c r="T22" s="269"/>
      <c r="U22" s="294"/>
      <c r="V22" s="269"/>
      <c r="W22" s="294"/>
      <c r="X22" s="269"/>
      <c r="Y22" s="294"/>
      <c r="Z22" s="269"/>
      <c r="AA22" s="294"/>
      <c r="AB22" s="269"/>
      <c r="AC22" s="529"/>
      <c r="AD22" s="269" t="s">
        <v>103</v>
      </c>
      <c r="AE22" s="1251"/>
      <c r="AF22" s="269"/>
      <c r="AG22" s="269" t="s">
        <v>103</v>
      </c>
      <c r="AH22" s="292"/>
      <c r="AI22" s="101"/>
      <c r="AJ22" s="292" t="s">
        <v>103</v>
      </c>
      <c r="AK22" s="273"/>
      <c r="AL22" s="379" t="s">
        <v>103</v>
      </c>
      <c r="AM22" s="1669"/>
      <c r="AN22" s="1669"/>
    </row>
    <row r="23" spans="1:40" s="296" customFormat="1" ht="15.75">
      <c r="B23" s="355" t="s">
        <v>489</v>
      </c>
      <c r="E23" s="269">
        <v>0</v>
      </c>
      <c r="F23" s="269"/>
      <c r="G23" s="269">
        <v>0</v>
      </c>
      <c r="H23" s="269"/>
      <c r="I23" s="269">
        <v>0</v>
      </c>
      <c r="J23" s="269"/>
      <c r="K23" s="269">
        <v>0</v>
      </c>
      <c r="L23" s="269"/>
      <c r="M23" s="269">
        <v>0</v>
      </c>
      <c r="N23" s="269"/>
      <c r="O23" s="269">
        <v>0</v>
      </c>
      <c r="P23" s="269"/>
      <c r="Q23" s="269">
        <v>0</v>
      </c>
      <c r="R23" s="269"/>
      <c r="S23" s="294">
        <f t="shared" si="0"/>
        <v>0</v>
      </c>
      <c r="T23" s="294"/>
      <c r="U23" s="294"/>
      <c r="V23" s="269"/>
      <c r="W23" s="294"/>
      <c r="X23" s="269"/>
      <c r="Y23" s="294"/>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69"/>
      <c r="AN23" s="1669"/>
    </row>
    <row r="24" spans="1:40" s="296" customFormat="1" ht="15.75">
      <c r="B24" s="355" t="s">
        <v>565</v>
      </c>
      <c r="E24" s="269">
        <v>0</v>
      </c>
      <c r="F24" s="269"/>
      <c r="G24" s="269">
        <v>0</v>
      </c>
      <c r="H24" s="269"/>
      <c r="I24" s="269">
        <v>0</v>
      </c>
      <c r="J24" s="269"/>
      <c r="K24" s="269">
        <v>0</v>
      </c>
      <c r="L24" s="269"/>
      <c r="M24" s="269">
        <v>0</v>
      </c>
      <c r="N24" s="269"/>
      <c r="O24" s="269">
        <v>0</v>
      </c>
      <c r="P24" s="269"/>
      <c r="Q24" s="269">
        <v>0</v>
      </c>
      <c r="R24" s="269"/>
      <c r="S24" s="294">
        <f t="shared" si="0"/>
        <v>0</v>
      </c>
      <c r="T24" s="294"/>
      <c r="U24" s="294"/>
      <c r="V24" s="269"/>
      <c r="W24" s="294"/>
      <c r="X24" s="269"/>
      <c r="Y24" s="294"/>
      <c r="Z24" s="269"/>
      <c r="AA24" s="294"/>
      <c r="AB24" s="269"/>
      <c r="AC24" s="529"/>
      <c r="AD24" s="537">
        <v>0</v>
      </c>
      <c r="AE24" s="269"/>
      <c r="AF24" s="530" t="s">
        <v>103</v>
      </c>
      <c r="AG24" s="537">
        <v>0</v>
      </c>
      <c r="AH24" s="292"/>
      <c r="AI24" s="101"/>
      <c r="AJ24" s="292">
        <f>ROUND(AD24-AG24,1)</f>
        <v>0</v>
      </c>
      <c r="AK24" s="273"/>
      <c r="AL24" s="379">
        <f t="shared" si="2"/>
        <v>0</v>
      </c>
      <c r="AM24" s="1669"/>
      <c r="AN24" s="1669"/>
    </row>
    <row r="25" spans="1:40" s="296" customFormat="1" ht="15.75">
      <c r="B25" s="355" t="s">
        <v>492</v>
      </c>
      <c r="E25" s="269">
        <v>0</v>
      </c>
      <c r="F25" s="269"/>
      <c r="G25" s="269">
        <v>0</v>
      </c>
      <c r="H25" s="269"/>
      <c r="I25" s="269">
        <v>0</v>
      </c>
      <c r="J25" s="269"/>
      <c r="K25" s="269">
        <v>0</v>
      </c>
      <c r="L25" s="269"/>
      <c r="M25" s="269">
        <v>0</v>
      </c>
      <c r="N25" s="269"/>
      <c r="O25" s="269">
        <v>0</v>
      </c>
      <c r="P25" s="269"/>
      <c r="Q25" s="269">
        <v>0</v>
      </c>
      <c r="R25" s="269"/>
      <c r="S25" s="294">
        <f t="shared" si="0"/>
        <v>0</v>
      </c>
      <c r="T25" s="294"/>
      <c r="U25" s="294"/>
      <c r="V25" s="269"/>
      <c r="W25" s="294"/>
      <c r="X25" s="269"/>
      <c r="Y25" s="294"/>
      <c r="Z25" s="269"/>
      <c r="AA25" s="294"/>
      <c r="AB25" s="269"/>
      <c r="AC25" s="529"/>
      <c r="AD25" s="537">
        <v>0</v>
      </c>
      <c r="AE25" s="269"/>
      <c r="AF25" s="530" t="s">
        <v>103</v>
      </c>
      <c r="AG25" s="537">
        <v>0</v>
      </c>
      <c r="AH25" s="292"/>
      <c r="AI25" s="101"/>
      <c r="AJ25" s="292">
        <f t="shared" si="1"/>
        <v>0</v>
      </c>
      <c r="AK25" s="273"/>
      <c r="AL25" s="379">
        <f t="shared" si="2"/>
        <v>0</v>
      </c>
      <c r="AM25" s="1669"/>
      <c r="AN25" s="1669"/>
    </row>
    <row r="26" spans="1:40" s="296" customFormat="1" ht="15.75">
      <c r="B26" s="355" t="s">
        <v>493</v>
      </c>
      <c r="E26" s="269">
        <v>0</v>
      </c>
      <c r="F26" s="269"/>
      <c r="G26" s="269">
        <v>0</v>
      </c>
      <c r="H26" s="269"/>
      <c r="I26" s="269">
        <v>0</v>
      </c>
      <c r="J26" s="269"/>
      <c r="K26" s="269">
        <v>0</v>
      </c>
      <c r="L26" s="269"/>
      <c r="M26" s="269">
        <v>0</v>
      </c>
      <c r="N26" s="269"/>
      <c r="O26" s="269">
        <v>0</v>
      </c>
      <c r="P26" s="269"/>
      <c r="Q26" s="269">
        <v>0</v>
      </c>
      <c r="R26" s="269"/>
      <c r="S26" s="294">
        <f t="shared" si="0"/>
        <v>0</v>
      </c>
      <c r="T26" s="294"/>
      <c r="U26" s="294"/>
      <c r="V26" s="269"/>
      <c r="W26" s="294"/>
      <c r="X26" s="269"/>
      <c r="Y26" s="294"/>
      <c r="Z26" s="269"/>
      <c r="AA26" s="294"/>
      <c r="AB26" s="269"/>
      <c r="AC26" s="529"/>
      <c r="AD26" s="537">
        <v>0</v>
      </c>
      <c r="AE26" s="269"/>
      <c r="AF26" s="530" t="s">
        <v>103</v>
      </c>
      <c r="AG26" s="537">
        <v>0</v>
      </c>
      <c r="AH26" s="292"/>
      <c r="AI26" s="101"/>
      <c r="AJ26" s="292">
        <f t="shared" si="1"/>
        <v>0</v>
      </c>
      <c r="AK26" s="273"/>
      <c r="AL26" s="379">
        <f t="shared" si="2"/>
        <v>0</v>
      </c>
      <c r="AM26" s="1669"/>
      <c r="AN26" s="1669"/>
    </row>
    <row r="27" spans="1:40" s="296" customFormat="1" ht="15.75">
      <c r="B27" s="355" t="s">
        <v>403</v>
      </c>
      <c r="E27" s="269">
        <v>0</v>
      </c>
      <c r="F27" s="269"/>
      <c r="G27" s="269">
        <v>0</v>
      </c>
      <c r="H27" s="269"/>
      <c r="I27" s="269">
        <v>0</v>
      </c>
      <c r="J27" s="269"/>
      <c r="K27" s="269">
        <v>0</v>
      </c>
      <c r="L27" s="269"/>
      <c r="M27" s="269">
        <v>0</v>
      </c>
      <c r="N27" s="269"/>
      <c r="O27" s="269">
        <v>0</v>
      </c>
      <c r="P27" s="269"/>
      <c r="Q27" s="269">
        <v>0</v>
      </c>
      <c r="R27" s="269"/>
      <c r="S27" s="294">
        <f t="shared" si="0"/>
        <v>0</v>
      </c>
      <c r="T27" s="294"/>
      <c r="U27" s="294"/>
      <c r="V27" s="269"/>
      <c r="W27" s="294"/>
      <c r="X27" s="269"/>
      <c r="Y27" s="294"/>
      <c r="Z27" s="269"/>
      <c r="AA27" s="294"/>
      <c r="AB27" s="269"/>
      <c r="AC27" s="529"/>
      <c r="AD27" s="537">
        <v>0</v>
      </c>
      <c r="AE27" s="1251"/>
      <c r="AF27" s="269" t="s">
        <v>103</v>
      </c>
      <c r="AG27" s="537">
        <v>0</v>
      </c>
      <c r="AH27" s="292"/>
      <c r="AI27" s="101"/>
      <c r="AJ27" s="292">
        <f t="shared" si="1"/>
        <v>0</v>
      </c>
      <c r="AK27" s="273"/>
      <c r="AL27" s="379">
        <f t="shared" si="2"/>
        <v>0</v>
      </c>
      <c r="AM27" s="1669"/>
      <c r="AN27" s="1669"/>
    </row>
    <row r="28" spans="1:40" s="296" customFormat="1" ht="15.75">
      <c r="B28" s="355" t="s">
        <v>409</v>
      </c>
      <c r="E28" s="269">
        <v>0.2</v>
      </c>
      <c r="F28" s="269"/>
      <c r="G28" s="269">
        <v>9.9999999999999978E-2</v>
      </c>
      <c r="H28" s="269"/>
      <c r="I28" s="269">
        <v>0.2</v>
      </c>
      <c r="J28" s="269"/>
      <c r="K28" s="269">
        <v>0.19999999999999996</v>
      </c>
      <c r="L28" s="269"/>
      <c r="M28" s="269">
        <v>0.3000000000000001</v>
      </c>
      <c r="N28" s="269"/>
      <c r="O28" s="269">
        <v>0.19999999999999996</v>
      </c>
      <c r="P28" s="269"/>
      <c r="Q28" s="269">
        <v>0.3000000000000001</v>
      </c>
      <c r="R28" s="269"/>
      <c r="S28" s="294">
        <f t="shared" si="0"/>
        <v>0.19999999999999996</v>
      </c>
      <c r="T28" s="294"/>
      <c r="U28" s="294"/>
      <c r="V28" s="269"/>
      <c r="W28" s="294"/>
      <c r="X28" s="269"/>
      <c r="Y28" s="294"/>
      <c r="Z28" s="269"/>
      <c r="AA28" s="294"/>
      <c r="AB28" s="269"/>
      <c r="AC28" s="529"/>
      <c r="AD28" s="537">
        <v>1.7</v>
      </c>
      <c r="AE28" s="1251"/>
      <c r="AF28" s="269" t="s">
        <v>103</v>
      </c>
      <c r="AG28" s="537">
        <v>0</v>
      </c>
      <c r="AH28" s="292"/>
      <c r="AI28" s="101"/>
      <c r="AJ28" s="292">
        <f t="shared" si="1"/>
        <v>1.7</v>
      </c>
      <c r="AK28" s="273"/>
      <c r="AL28" s="379">
        <f>ROUND(IF(AG28=0,1,AJ28/ABS(AG28)),3)</f>
        <v>1</v>
      </c>
      <c r="AM28" s="1669"/>
      <c r="AN28" s="1669"/>
    </row>
    <row r="29" spans="1:40" ht="15.75">
      <c r="A29" s="296"/>
      <c r="B29" s="355" t="s">
        <v>410</v>
      </c>
      <c r="C29" s="296"/>
      <c r="D29" s="296"/>
      <c r="E29" s="269">
        <v>0</v>
      </c>
      <c r="F29" s="269"/>
      <c r="G29" s="269">
        <v>0</v>
      </c>
      <c r="H29" s="269"/>
      <c r="I29" s="269">
        <v>0</v>
      </c>
      <c r="J29" s="269"/>
      <c r="K29" s="269">
        <v>0</v>
      </c>
      <c r="L29" s="269"/>
      <c r="M29" s="269">
        <v>0</v>
      </c>
      <c r="N29" s="269"/>
      <c r="O29" s="269">
        <v>0</v>
      </c>
      <c r="P29" s="269"/>
      <c r="Q29" s="269">
        <v>0</v>
      </c>
      <c r="R29" s="269"/>
      <c r="S29" s="294">
        <f t="shared" si="0"/>
        <v>0</v>
      </c>
      <c r="T29" s="294"/>
      <c r="U29" s="294"/>
      <c r="V29" s="269"/>
      <c r="W29" s="294"/>
      <c r="X29" s="269"/>
      <c r="Y29" s="294"/>
      <c r="Z29" s="269"/>
      <c r="AA29" s="294"/>
      <c r="AB29" s="269"/>
      <c r="AC29" s="529"/>
      <c r="AD29" s="537">
        <v>0</v>
      </c>
      <c r="AE29" s="269"/>
      <c r="AF29" s="530" t="s">
        <v>103</v>
      </c>
      <c r="AG29" s="537">
        <v>0</v>
      </c>
      <c r="AH29" s="292"/>
      <c r="AI29" s="101"/>
      <c r="AJ29" s="292">
        <f>ROUND(AD29-AG29,1)</f>
        <v>0</v>
      </c>
      <c r="AK29" s="41"/>
      <c r="AL29" s="379">
        <f>ROUND(IF(AG29=0,0,AJ29/ABS(AG29)),3)</f>
        <v>0</v>
      </c>
      <c r="AM29" s="1669"/>
      <c r="AN29" s="1669"/>
    </row>
    <row r="30" spans="1:40" s="296" customFormat="1" ht="15.75">
      <c r="B30" s="355" t="s">
        <v>411</v>
      </c>
      <c r="E30" s="269" t="s">
        <v>103</v>
      </c>
      <c r="F30" s="269"/>
      <c r="G30" s="269"/>
      <c r="H30" s="269"/>
      <c r="I30" s="269"/>
      <c r="J30" s="269"/>
      <c r="K30" s="269"/>
      <c r="L30" s="269"/>
      <c r="M30" s="269"/>
      <c r="N30" s="269"/>
      <c r="O30" s="269"/>
      <c r="P30" s="269"/>
      <c r="Q30" s="269"/>
      <c r="R30" s="269"/>
      <c r="S30" s="294"/>
      <c r="T30" s="269"/>
      <c r="U30" s="294"/>
      <c r="V30" s="269"/>
      <c r="W30" s="294"/>
      <c r="X30" s="269"/>
      <c r="Y30" s="294"/>
      <c r="Z30" s="269"/>
      <c r="AA30" s="294"/>
      <c r="AB30" s="269"/>
      <c r="AC30" s="529"/>
      <c r="AD30" s="294" t="s">
        <v>103</v>
      </c>
      <c r="AE30" s="1251"/>
      <c r="AF30" s="269"/>
      <c r="AG30" s="294" t="s">
        <v>103</v>
      </c>
      <c r="AH30" s="292"/>
      <c r="AI30" s="101"/>
      <c r="AJ30" s="292" t="s">
        <v>103</v>
      </c>
      <c r="AK30" s="273"/>
      <c r="AL30" s="379" t="s">
        <v>103</v>
      </c>
      <c r="AM30" s="1669"/>
      <c r="AN30" s="1669"/>
    </row>
    <row r="31" spans="1:40" s="296" customFormat="1" ht="15.75">
      <c r="B31" s="355" t="s">
        <v>497</v>
      </c>
      <c r="E31" s="269">
        <v>0</v>
      </c>
      <c r="F31" s="269"/>
      <c r="G31" s="269">
        <v>0</v>
      </c>
      <c r="H31" s="269"/>
      <c r="I31" s="269">
        <v>0</v>
      </c>
      <c r="J31" s="269"/>
      <c r="K31" s="269">
        <v>0</v>
      </c>
      <c r="L31" s="269"/>
      <c r="M31" s="269">
        <v>0</v>
      </c>
      <c r="N31" s="269"/>
      <c r="O31" s="269">
        <v>0</v>
      </c>
      <c r="P31" s="269"/>
      <c r="Q31" s="269">
        <v>0</v>
      </c>
      <c r="R31" s="269"/>
      <c r="S31" s="294">
        <f t="shared" si="0"/>
        <v>0</v>
      </c>
      <c r="T31" s="294"/>
      <c r="U31" s="294"/>
      <c r="V31" s="269"/>
      <c r="W31" s="294"/>
      <c r="X31" s="269"/>
      <c r="Y31" s="294"/>
      <c r="Z31" s="269"/>
      <c r="AA31" s="294"/>
      <c r="AB31" s="269"/>
      <c r="AC31" s="529"/>
      <c r="AD31" s="537">
        <v>0</v>
      </c>
      <c r="AE31" s="269"/>
      <c r="AF31" s="530"/>
      <c r="AG31" s="537">
        <v>0</v>
      </c>
      <c r="AH31" s="292"/>
      <c r="AI31" s="101"/>
      <c r="AJ31" s="292">
        <f t="shared" si="1"/>
        <v>0</v>
      </c>
      <c r="AK31" s="273"/>
      <c r="AL31" s="379">
        <f>ROUND(IF(AG31=0,0,AJ31/ABS(AG31)),3)</f>
        <v>0</v>
      </c>
      <c r="AM31" s="1669"/>
      <c r="AN31" s="1669"/>
    </row>
    <row r="32" spans="1:40" s="296" customFormat="1" ht="15.75">
      <c r="B32" s="355" t="s">
        <v>499</v>
      </c>
      <c r="E32" s="269">
        <v>0</v>
      </c>
      <c r="F32" s="294"/>
      <c r="G32" s="269">
        <v>0</v>
      </c>
      <c r="H32" s="294"/>
      <c r="I32" s="269">
        <v>0</v>
      </c>
      <c r="J32" s="294"/>
      <c r="K32" s="269">
        <v>0</v>
      </c>
      <c r="L32" s="294"/>
      <c r="M32" s="269">
        <v>0</v>
      </c>
      <c r="N32" s="269"/>
      <c r="O32" s="269">
        <v>0</v>
      </c>
      <c r="P32" s="269"/>
      <c r="Q32" s="269">
        <v>0</v>
      </c>
      <c r="R32" s="269"/>
      <c r="S32" s="294">
        <f t="shared" si="0"/>
        <v>0</v>
      </c>
      <c r="T32" s="294"/>
      <c r="U32" s="294"/>
      <c r="V32" s="269"/>
      <c r="W32" s="294"/>
      <c r="X32" s="269"/>
      <c r="Y32" s="294"/>
      <c r="Z32" s="269"/>
      <c r="AA32" s="294"/>
      <c r="AB32" s="269"/>
      <c r="AC32" s="529"/>
      <c r="AD32" s="537">
        <v>0</v>
      </c>
      <c r="AE32" s="269"/>
      <c r="AF32" s="530" t="s">
        <v>103</v>
      </c>
      <c r="AG32" s="537">
        <v>0</v>
      </c>
      <c r="AH32" s="292"/>
      <c r="AI32" s="101"/>
      <c r="AJ32" s="292">
        <f t="shared" si="1"/>
        <v>0</v>
      </c>
      <c r="AK32" s="273"/>
      <c r="AL32" s="379">
        <f>ROUND(IF(AG32=0,0,AJ32/ABS(AG32)),3)</f>
        <v>0</v>
      </c>
      <c r="AM32" s="1669"/>
      <c r="AN32" s="1669"/>
    </row>
    <row r="33" spans="1:40" s="296" customFormat="1" ht="15.75">
      <c r="B33" s="355" t="s">
        <v>500</v>
      </c>
      <c r="E33" s="269">
        <v>0</v>
      </c>
      <c r="F33" s="269"/>
      <c r="G33" s="269">
        <v>0</v>
      </c>
      <c r="H33" s="269"/>
      <c r="I33" s="269">
        <v>0</v>
      </c>
      <c r="J33" s="269"/>
      <c r="K33" s="269">
        <v>0</v>
      </c>
      <c r="L33" s="269"/>
      <c r="M33" s="269">
        <v>0</v>
      </c>
      <c r="N33" s="269"/>
      <c r="O33" s="269">
        <v>0</v>
      </c>
      <c r="P33" s="269"/>
      <c r="Q33" s="269">
        <v>0</v>
      </c>
      <c r="R33" s="269"/>
      <c r="S33" s="294">
        <f t="shared" si="0"/>
        <v>0</v>
      </c>
      <c r="T33" s="294"/>
      <c r="U33" s="294"/>
      <c r="V33" s="269"/>
      <c r="W33" s="294"/>
      <c r="X33" s="269"/>
      <c r="Y33" s="294"/>
      <c r="Z33" s="269"/>
      <c r="AA33" s="294"/>
      <c r="AB33" s="269"/>
      <c r="AC33" s="529"/>
      <c r="AD33" s="537">
        <v>0</v>
      </c>
      <c r="AE33" s="269"/>
      <c r="AF33" s="530" t="s">
        <v>103</v>
      </c>
      <c r="AG33" s="537">
        <v>0</v>
      </c>
      <c r="AH33" s="292"/>
      <c r="AI33" s="101"/>
      <c r="AJ33" s="292">
        <f>ROUND(AD33-AG33,1)</f>
        <v>0</v>
      </c>
      <c r="AK33" s="273"/>
      <c r="AL33" s="379">
        <f>ROUND(IF(AG33=0,0,AJ33/ABS(AG33)),3)</f>
        <v>0</v>
      </c>
      <c r="AM33" s="1669"/>
      <c r="AN33" s="1669"/>
    </row>
    <row r="34" spans="1:40" ht="15.75">
      <c r="A34" s="296"/>
      <c r="B34" s="355" t="s">
        <v>416</v>
      </c>
      <c r="C34" s="296"/>
      <c r="D34" s="296"/>
      <c r="E34" s="269">
        <v>0</v>
      </c>
      <c r="F34" s="269"/>
      <c r="G34" s="269">
        <v>0</v>
      </c>
      <c r="H34" s="269"/>
      <c r="I34" s="269">
        <v>0</v>
      </c>
      <c r="J34" s="269"/>
      <c r="K34" s="269">
        <v>0</v>
      </c>
      <c r="L34" s="269"/>
      <c r="M34" s="269">
        <v>0</v>
      </c>
      <c r="N34" s="269"/>
      <c r="O34" s="269">
        <v>0</v>
      </c>
      <c r="P34" s="269"/>
      <c r="Q34" s="269">
        <v>0</v>
      </c>
      <c r="R34" s="269"/>
      <c r="S34" s="294">
        <f t="shared" si="0"/>
        <v>0</v>
      </c>
      <c r="T34" s="294"/>
      <c r="U34" s="294"/>
      <c r="V34" s="269"/>
      <c r="W34" s="294"/>
      <c r="X34" s="269"/>
      <c r="Y34" s="294"/>
      <c r="Z34" s="269"/>
      <c r="AA34" s="294"/>
      <c r="AB34" s="269"/>
      <c r="AC34" s="529"/>
      <c r="AD34" s="537">
        <v>0</v>
      </c>
      <c r="AE34" s="269"/>
      <c r="AF34" s="530" t="s">
        <v>103</v>
      </c>
      <c r="AG34" s="537">
        <v>0</v>
      </c>
      <c r="AH34" s="292"/>
      <c r="AI34" s="101"/>
      <c r="AJ34" s="292">
        <f t="shared" si="1"/>
        <v>0</v>
      </c>
      <c r="AK34" s="41"/>
      <c r="AL34" s="271">
        <f>ROUND(IF(AG34=0,0,AJ34/ABS(AG34)),3)</f>
        <v>0</v>
      </c>
      <c r="AM34" s="1669"/>
      <c r="AN34" s="1669"/>
    </row>
    <row r="35" spans="1:40" ht="15.75">
      <c r="A35" s="296"/>
      <c r="B35" s="355" t="s">
        <v>417</v>
      </c>
      <c r="C35" s="296"/>
      <c r="D35" s="296"/>
      <c r="E35" s="269" t="s">
        <v>103</v>
      </c>
      <c r="F35" s="269"/>
      <c r="G35" s="269"/>
      <c r="H35" s="269"/>
      <c r="I35" s="269"/>
      <c r="J35" s="269"/>
      <c r="K35" s="269"/>
      <c r="L35" s="269"/>
      <c r="M35" s="269"/>
      <c r="N35" s="269"/>
      <c r="O35" s="269"/>
      <c r="P35" s="269"/>
      <c r="Q35" s="269"/>
      <c r="R35" s="269"/>
      <c r="S35" s="294"/>
      <c r="T35" s="269"/>
      <c r="U35" s="294"/>
      <c r="V35" s="269"/>
      <c r="W35" s="294"/>
      <c r="X35" s="269"/>
      <c r="Y35" s="294"/>
      <c r="Z35" s="269"/>
      <c r="AA35" s="294"/>
      <c r="AB35" s="269"/>
      <c r="AC35" s="529"/>
      <c r="AD35" s="269" t="s">
        <v>103</v>
      </c>
      <c r="AE35" s="1251"/>
      <c r="AF35" s="269"/>
      <c r="AG35" s="269" t="s">
        <v>103</v>
      </c>
      <c r="AH35" s="292"/>
      <c r="AI35" s="101"/>
      <c r="AJ35" s="292" t="s">
        <v>103</v>
      </c>
      <c r="AK35" s="41"/>
      <c r="AL35" s="379" t="s">
        <v>103</v>
      </c>
      <c r="AM35" s="1669"/>
      <c r="AN35" s="1669"/>
    </row>
    <row r="36" spans="1:40" ht="15.75">
      <c r="A36" s="296"/>
      <c r="B36" s="355" t="s">
        <v>501</v>
      </c>
      <c r="C36" s="296"/>
      <c r="D36" s="296"/>
      <c r="E36" s="269">
        <v>0</v>
      </c>
      <c r="F36" s="269"/>
      <c r="G36" s="269">
        <v>0</v>
      </c>
      <c r="H36" s="269"/>
      <c r="I36" s="269">
        <v>0</v>
      </c>
      <c r="J36" s="269"/>
      <c r="K36" s="269">
        <v>0</v>
      </c>
      <c r="L36" s="269"/>
      <c r="M36" s="269">
        <v>0</v>
      </c>
      <c r="N36" s="269"/>
      <c r="O36" s="269">
        <v>0</v>
      </c>
      <c r="P36" s="269"/>
      <c r="Q36" s="269">
        <v>0</v>
      </c>
      <c r="R36" s="269"/>
      <c r="S36" s="294">
        <f t="shared" si="0"/>
        <v>0</v>
      </c>
      <c r="T36" s="294"/>
      <c r="U36" s="294"/>
      <c r="V36" s="269"/>
      <c r="W36" s="294"/>
      <c r="X36" s="269"/>
      <c r="Y36" s="294"/>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69"/>
      <c r="AN36" s="1669"/>
    </row>
    <row r="37" spans="1:40" ht="15.75">
      <c r="A37" s="296"/>
      <c r="B37" s="355" t="s">
        <v>503</v>
      </c>
      <c r="C37" s="296"/>
      <c r="D37" s="296"/>
      <c r="E37" s="269">
        <v>0</v>
      </c>
      <c r="F37" s="269"/>
      <c r="G37" s="269">
        <v>0</v>
      </c>
      <c r="H37" s="269"/>
      <c r="I37" s="269">
        <v>0</v>
      </c>
      <c r="J37" s="269"/>
      <c r="K37" s="269">
        <v>0</v>
      </c>
      <c r="L37" s="269"/>
      <c r="M37" s="269">
        <v>0</v>
      </c>
      <c r="N37" s="269"/>
      <c r="O37" s="269">
        <v>0</v>
      </c>
      <c r="P37" s="269"/>
      <c r="Q37" s="269">
        <v>0</v>
      </c>
      <c r="R37" s="269"/>
      <c r="S37" s="294">
        <f t="shared" si="0"/>
        <v>0</v>
      </c>
      <c r="T37" s="294"/>
      <c r="U37" s="294"/>
      <c r="V37" s="269"/>
      <c r="W37" s="294"/>
      <c r="X37" s="269"/>
      <c r="Y37" s="294"/>
      <c r="Z37" s="269"/>
      <c r="AA37" s="294"/>
      <c r="AB37" s="269"/>
      <c r="AC37" s="529"/>
      <c r="AD37" s="537">
        <v>0</v>
      </c>
      <c r="AE37" s="269"/>
      <c r="AF37" s="530" t="s">
        <v>103</v>
      </c>
      <c r="AG37" s="537">
        <v>0</v>
      </c>
      <c r="AH37" s="292"/>
      <c r="AI37" s="101"/>
      <c r="AJ37" s="292">
        <f t="shared" si="1"/>
        <v>0</v>
      </c>
      <c r="AK37" s="41"/>
      <c r="AL37" s="379">
        <f t="shared" si="3"/>
        <v>0</v>
      </c>
      <c r="AM37" s="1669"/>
      <c r="AN37" s="1669"/>
    </row>
    <row r="38" spans="1:40" ht="15.75">
      <c r="A38" s="296"/>
      <c r="B38" s="355" t="s">
        <v>504</v>
      </c>
      <c r="C38" s="296"/>
      <c r="D38" s="296"/>
      <c r="E38" s="269">
        <v>0</v>
      </c>
      <c r="F38" s="269"/>
      <c r="G38" s="269">
        <v>0</v>
      </c>
      <c r="H38" s="269"/>
      <c r="I38" s="269">
        <v>0</v>
      </c>
      <c r="J38" s="269"/>
      <c r="K38" s="269">
        <v>0</v>
      </c>
      <c r="L38" s="269"/>
      <c r="M38" s="269">
        <v>0</v>
      </c>
      <c r="N38" s="269"/>
      <c r="O38" s="269">
        <v>0</v>
      </c>
      <c r="P38" s="269"/>
      <c r="Q38" s="269">
        <v>0</v>
      </c>
      <c r="R38" s="269"/>
      <c r="S38" s="294">
        <f t="shared" si="0"/>
        <v>0</v>
      </c>
      <c r="T38" s="294"/>
      <c r="U38" s="294"/>
      <c r="V38" s="269"/>
      <c r="W38" s="294"/>
      <c r="X38" s="269"/>
      <c r="Y38" s="294"/>
      <c r="Z38" s="269"/>
      <c r="AA38" s="294"/>
      <c r="AB38" s="269"/>
      <c r="AC38" s="529"/>
      <c r="AD38" s="537">
        <v>0</v>
      </c>
      <c r="AE38" s="269"/>
      <c r="AF38" s="530" t="s">
        <v>103</v>
      </c>
      <c r="AG38" s="537">
        <v>0</v>
      </c>
      <c r="AH38" s="292"/>
      <c r="AI38" s="101"/>
      <c r="AJ38" s="292">
        <f t="shared" si="1"/>
        <v>0</v>
      </c>
      <c r="AK38" s="41"/>
      <c r="AL38" s="379">
        <f>ROUND(IF(AG38=0,0,AJ38/ABS(AG38)),3)</f>
        <v>0</v>
      </c>
      <c r="AM38" s="1669"/>
      <c r="AN38" s="1669"/>
    </row>
    <row r="39" spans="1:40" ht="15.75">
      <c r="A39" s="296"/>
      <c r="B39" s="355" t="s">
        <v>507</v>
      </c>
      <c r="C39" s="296"/>
      <c r="D39" s="296"/>
      <c r="E39" s="269">
        <v>0</v>
      </c>
      <c r="F39" s="269"/>
      <c r="G39" s="269">
        <v>0</v>
      </c>
      <c r="H39" s="269"/>
      <c r="I39" s="269">
        <v>0</v>
      </c>
      <c r="J39" s="269"/>
      <c r="K39" s="269">
        <v>0</v>
      </c>
      <c r="L39" s="269"/>
      <c r="M39" s="269">
        <v>0</v>
      </c>
      <c r="N39" s="269"/>
      <c r="O39" s="269">
        <v>0</v>
      </c>
      <c r="P39" s="269"/>
      <c r="Q39" s="269">
        <v>0</v>
      </c>
      <c r="R39" s="269"/>
      <c r="S39" s="294">
        <f t="shared" si="0"/>
        <v>0</v>
      </c>
      <c r="T39" s="294"/>
      <c r="U39" s="294"/>
      <c r="V39" s="269"/>
      <c r="W39" s="294"/>
      <c r="X39" s="269"/>
      <c r="Y39" s="294"/>
      <c r="Z39" s="269"/>
      <c r="AA39" s="294"/>
      <c r="AB39" s="269"/>
      <c r="AC39" s="529"/>
      <c r="AD39" s="537">
        <v>0</v>
      </c>
      <c r="AE39" s="269"/>
      <c r="AF39" s="530" t="s">
        <v>103</v>
      </c>
      <c r="AG39" s="537">
        <v>0</v>
      </c>
      <c r="AH39" s="292"/>
      <c r="AI39" s="101"/>
      <c r="AJ39" s="292">
        <f t="shared" si="1"/>
        <v>0</v>
      </c>
      <c r="AK39" s="41"/>
      <c r="AL39" s="379">
        <f t="shared" si="3"/>
        <v>0</v>
      </c>
      <c r="AM39" s="1669"/>
      <c r="AN39" s="1669"/>
    </row>
    <row r="40" spans="1:40" ht="15.75">
      <c r="A40" s="296"/>
      <c r="B40" s="355" t="s">
        <v>508</v>
      </c>
      <c r="C40" s="296"/>
      <c r="D40" s="296"/>
      <c r="E40" s="269">
        <v>0</v>
      </c>
      <c r="F40" s="269"/>
      <c r="G40" s="269">
        <v>0</v>
      </c>
      <c r="H40" s="269"/>
      <c r="I40" s="269">
        <v>0</v>
      </c>
      <c r="J40" s="269"/>
      <c r="K40" s="269">
        <v>0</v>
      </c>
      <c r="L40" s="269"/>
      <c r="M40" s="269">
        <v>0</v>
      </c>
      <c r="N40" s="269"/>
      <c r="O40" s="269">
        <v>0</v>
      </c>
      <c r="P40" s="269"/>
      <c r="Q40" s="269">
        <v>0</v>
      </c>
      <c r="R40" s="269"/>
      <c r="S40" s="294">
        <f t="shared" si="0"/>
        <v>0</v>
      </c>
      <c r="T40" s="294"/>
      <c r="U40" s="294"/>
      <c r="V40" s="269"/>
      <c r="W40" s="294"/>
      <c r="X40" s="269"/>
      <c r="Y40" s="294"/>
      <c r="Z40" s="269"/>
      <c r="AA40" s="294"/>
      <c r="AB40" s="269"/>
      <c r="AC40" s="529"/>
      <c r="AD40" s="537">
        <v>0</v>
      </c>
      <c r="AE40" s="269"/>
      <c r="AF40" s="530" t="s">
        <v>103</v>
      </c>
      <c r="AG40" s="537">
        <v>0</v>
      </c>
      <c r="AH40" s="292"/>
      <c r="AI40" s="101"/>
      <c r="AJ40" s="292">
        <f t="shared" si="1"/>
        <v>0</v>
      </c>
      <c r="AK40" s="41"/>
      <c r="AL40" s="379">
        <f t="shared" si="3"/>
        <v>0</v>
      </c>
      <c r="AM40" s="1669"/>
      <c r="AN40" s="1669"/>
    </row>
    <row r="41" spans="1:40" ht="15.75">
      <c r="A41" s="296"/>
      <c r="B41" s="355" t="s">
        <v>427</v>
      </c>
      <c r="C41" s="296"/>
      <c r="D41" s="296"/>
      <c r="E41" s="269">
        <v>0</v>
      </c>
      <c r="F41" s="269"/>
      <c r="G41" s="269">
        <v>0.1</v>
      </c>
      <c r="H41" s="269"/>
      <c r="I41" s="269">
        <v>0</v>
      </c>
      <c r="J41" s="269"/>
      <c r="K41" s="269">
        <v>0</v>
      </c>
      <c r="L41" s="269"/>
      <c r="M41" s="269">
        <v>0</v>
      </c>
      <c r="N41" s="558" t="s">
        <v>103</v>
      </c>
      <c r="O41" s="269">
        <v>0</v>
      </c>
      <c r="P41" s="558" t="s">
        <v>103</v>
      </c>
      <c r="Q41" s="269">
        <v>0</v>
      </c>
      <c r="R41" s="558" t="s">
        <v>103</v>
      </c>
      <c r="S41" s="294">
        <f t="shared" si="0"/>
        <v>0</v>
      </c>
      <c r="T41" s="558" t="s">
        <v>103</v>
      </c>
      <c r="U41" s="294"/>
      <c r="V41" s="558"/>
      <c r="W41" s="294"/>
      <c r="X41" s="558"/>
      <c r="Y41" s="294"/>
      <c r="Z41" s="558"/>
      <c r="AA41" s="294"/>
      <c r="AB41" s="269"/>
      <c r="AC41" s="529"/>
      <c r="AD41" s="537">
        <v>0.1</v>
      </c>
      <c r="AE41" s="269"/>
      <c r="AF41" s="530" t="s">
        <v>103</v>
      </c>
      <c r="AG41" s="537">
        <v>0.30000000000000004</v>
      </c>
      <c r="AH41" s="292"/>
      <c r="AI41" s="101"/>
      <c r="AJ41" s="292">
        <f t="shared" si="1"/>
        <v>-0.2</v>
      </c>
      <c r="AK41" s="41"/>
      <c r="AL41" s="271">
        <f>ROUND(IF(AG41=0,1,AJ41/ABS(AG41)),3)</f>
        <v>-0.66700000000000004</v>
      </c>
      <c r="AM41" s="1669"/>
      <c r="AN41" s="1669"/>
    </row>
    <row r="42" spans="1:40" s="3" customFormat="1" ht="15.75" collapsed="1">
      <c r="B42" s="87" t="s">
        <v>429</v>
      </c>
      <c r="E42" s="71">
        <f>ROUND(SUM(E19:E41),1)</f>
        <v>0.2</v>
      </c>
      <c r="F42" s="13"/>
      <c r="G42" s="71">
        <f>ROUND(SUM(G19:G41),1)</f>
        <v>0.2</v>
      </c>
      <c r="H42" s="399"/>
      <c r="I42" s="71">
        <f>ROUND(SUM(I19:I41),1)</f>
        <v>0.2</v>
      </c>
      <c r="J42" s="13"/>
      <c r="K42" s="71">
        <f>ROUND(SUM(K19:K41),1)</f>
        <v>0.2</v>
      </c>
      <c r="L42" s="13"/>
      <c r="M42" s="71">
        <f>ROUND(SUM(M19:M41),1)</f>
        <v>0.3</v>
      </c>
      <c r="N42" s="13"/>
      <c r="O42" s="71">
        <f>ROUND(SUM(O19:O41),1)</f>
        <v>0.2</v>
      </c>
      <c r="P42" s="13"/>
      <c r="Q42" s="71">
        <f>ROUND(SUM(Q19:Q41),1)</f>
        <v>0.3</v>
      </c>
      <c r="R42" s="13"/>
      <c r="S42" s="71">
        <f>ROUND(SUM(S19:S41),1)</f>
        <v>0.2</v>
      </c>
      <c r="T42" s="13"/>
      <c r="U42" s="71">
        <f>ROUND(SUM(U19:U41),1)</f>
        <v>0</v>
      </c>
      <c r="V42" s="13"/>
      <c r="W42" s="71">
        <f>ROUND(SUM(W19:W41),1)</f>
        <v>0</v>
      </c>
      <c r="X42" s="13"/>
      <c r="Y42" s="71">
        <f>ROUND(SUM(Y19:Y41),1)</f>
        <v>0</v>
      </c>
      <c r="Z42" s="13"/>
      <c r="AA42" s="71">
        <f>ROUND(SUM(AA19:AA41),1)</f>
        <v>0</v>
      </c>
      <c r="AB42" s="13"/>
      <c r="AC42" s="14"/>
      <c r="AD42" s="71">
        <f>ROUND(SUM(AD19:AD41),1)</f>
        <v>1.8</v>
      </c>
      <c r="AE42" s="1253"/>
      <c r="AF42" s="13"/>
      <c r="AG42" s="71">
        <f>ROUND(SUM(AG19:AG41),1)</f>
        <v>0.3</v>
      </c>
      <c r="AH42" s="18"/>
      <c r="AI42" s="101"/>
      <c r="AJ42" s="71">
        <f>ROUND(SUM(AJ19:AJ41),1)</f>
        <v>1.5</v>
      </c>
      <c r="AK42" s="40"/>
      <c r="AL42" s="2070">
        <f>ROUND(IF(AG42=0,1,AJ42/ABS(AG42)),3)</f>
        <v>5</v>
      </c>
      <c r="AM42" s="1759"/>
      <c r="AN42" s="1759"/>
    </row>
    <row r="43" spans="1:40" s="12" customFormat="1" ht="15.75">
      <c r="A43" s="269"/>
      <c r="B43" s="1091"/>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51"/>
      <c r="AF43" s="529"/>
      <c r="AG43" s="294"/>
      <c r="AH43" s="292"/>
      <c r="AI43" s="101"/>
      <c r="AL43" s="100"/>
      <c r="AM43" s="1669"/>
      <c r="AN43" s="1669"/>
    </row>
    <row r="44" spans="1:40" ht="15.75">
      <c r="A44" s="296"/>
      <c r="B44" s="296" t="s">
        <v>510</v>
      </c>
      <c r="C44" s="296"/>
      <c r="D44" s="296"/>
      <c r="E44" s="269">
        <v>118.8</v>
      </c>
      <c r="F44" s="269"/>
      <c r="G44" s="269">
        <v>203.59999999999997</v>
      </c>
      <c r="H44" s="269"/>
      <c r="I44" s="269">
        <v>244.20000000000005</v>
      </c>
      <c r="J44" s="269"/>
      <c r="K44" s="269">
        <v>170.7999999999999</v>
      </c>
      <c r="L44" s="269"/>
      <c r="M44" s="269">
        <v>201.80000000000007</v>
      </c>
      <c r="N44" s="269"/>
      <c r="O44" s="269">
        <v>277.5</v>
      </c>
      <c r="P44" s="269"/>
      <c r="Q44" s="269">
        <v>293.00000000000011</v>
      </c>
      <c r="R44" s="269"/>
      <c r="S44" s="294">
        <f>$AD44-O44-Q44-M44-K44-I44-G44-E44</f>
        <v>211.5999999999998</v>
      </c>
      <c r="T44" s="294"/>
      <c r="U44" s="294"/>
      <c r="V44" s="269"/>
      <c r="W44" s="294"/>
      <c r="X44" s="269"/>
      <c r="Y44" s="294"/>
      <c r="Z44" s="269"/>
      <c r="AA44" s="294"/>
      <c r="AB44" s="269"/>
      <c r="AC44" s="529"/>
      <c r="AD44" s="537">
        <v>1721.3</v>
      </c>
      <c r="AE44" s="269"/>
      <c r="AF44" s="530" t="s">
        <v>103</v>
      </c>
      <c r="AG44" s="537">
        <v>1922.6</v>
      </c>
      <c r="AH44" s="292"/>
      <c r="AI44" s="102"/>
      <c r="AJ44" s="1080">
        <f>ROUND(AD44-AG44,1)</f>
        <v>-201.3</v>
      </c>
      <c r="AK44" s="41"/>
      <c r="AL44" s="1804">
        <f>ROUND(IF(AG44=0,0,AJ44/ABS(AG44)),3)</f>
        <v>-0.105</v>
      </c>
      <c r="AM44" s="1669"/>
      <c r="AN44" s="1669"/>
    </row>
    <row r="45" spans="1:40" ht="15.75">
      <c r="A45" s="296"/>
      <c r="B45" s="296"/>
      <c r="C45" s="296"/>
      <c r="D45" s="296"/>
      <c r="E45" s="622"/>
      <c r="F45" s="269"/>
      <c r="G45" s="622"/>
      <c r="H45" s="269"/>
      <c r="I45" s="622"/>
      <c r="J45" s="269"/>
      <c r="K45" s="622"/>
      <c r="L45" s="269"/>
      <c r="M45" s="622"/>
      <c r="N45" s="269"/>
      <c r="O45" s="622"/>
      <c r="P45" s="269"/>
      <c r="Q45" s="622"/>
      <c r="R45" s="269"/>
      <c r="S45" s="622"/>
      <c r="T45" s="269"/>
      <c r="U45" s="622"/>
      <c r="V45" s="269"/>
      <c r="W45" s="622"/>
      <c r="X45" s="269"/>
      <c r="Y45" s="622"/>
      <c r="Z45" s="269"/>
      <c r="AA45" s="622"/>
      <c r="AB45" s="269"/>
      <c r="AC45" s="529"/>
      <c r="AD45" s="622"/>
      <c r="AE45" s="1251"/>
      <c r="AF45" s="529"/>
      <c r="AG45" s="622"/>
      <c r="AH45" s="269"/>
      <c r="AI45" s="102"/>
      <c r="AJ45" s="12"/>
      <c r="AL45" s="100"/>
      <c r="AM45" s="1669"/>
      <c r="AN45" s="1669"/>
    </row>
    <row r="46" spans="1:40" ht="15.75">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293.3</v>
      </c>
      <c r="R46" s="13"/>
      <c r="S46" s="13">
        <f>ROUND(SUM(S42+S44),1)</f>
        <v>211.8</v>
      </c>
      <c r="T46" s="13"/>
      <c r="U46" s="13">
        <f>ROUND(SUM(U42+U44),1)</f>
        <v>0</v>
      </c>
      <c r="V46" s="13"/>
      <c r="W46" s="13">
        <f>ROUND(SUM(W42+W44),1)</f>
        <v>0</v>
      </c>
      <c r="X46" s="13"/>
      <c r="Y46" s="13">
        <f>ROUND(SUM(Y42+Y44),1)</f>
        <v>0</v>
      </c>
      <c r="Z46" s="13"/>
      <c r="AA46" s="13">
        <f>ROUND(SUM(AA42+AA44),1)</f>
        <v>0</v>
      </c>
      <c r="AB46" s="13"/>
      <c r="AC46" s="14"/>
      <c r="AD46" s="13">
        <f>ROUND(SUM(AD42+AD44),1)</f>
        <v>1723.1</v>
      </c>
      <c r="AE46" s="1253"/>
      <c r="AF46" s="14"/>
      <c r="AG46" s="13">
        <f>ROUND(SUM(AG42+AG44),1)</f>
        <v>1922.9</v>
      </c>
      <c r="AH46" s="18"/>
      <c r="AI46" s="102"/>
      <c r="AJ46" s="362">
        <f>ROUND(SUM(AJ42+AJ44),1)</f>
        <v>-199.8</v>
      </c>
      <c r="AK46" s="40"/>
      <c r="AL46" s="618">
        <f>ROUND(SUM(AD46-AG46)/ABS(AG46),3)</f>
        <v>-0.104</v>
      </c>
      <c r="AM46" s="1759"/>
      <c r="AN46" s="1669"/>
    </row>
    <row r="47" spans="1:40" ht="15.75">
      <c r="A47" s="296"/>
      <c r="B47" s="296"/>
      <c r="C47" s="296"/>
      <c r="D47" s="296"/>
      <c r="E47" s="622"/>
      <c r="F47" s="269"/>
      <c r="G47" s="622"/>
      <c r="H47" s="269"/>
      <c r="I47" s="622"/>
      <c r="J47" s="269"/>
      <c r="K47" s="622"/>
      <c r="L47" s="269"/>
      <c r="M47" s="622"/>
      <c r="N47" s="269"/>
      <c r="O47" s="622"/>
      <c r="P47" s="269"/>
      <c r="Q47" s="622"/>
      <c r="R47" s="269"/>
      <c r="S47" s="622"/>
      <c r="T47" s="269"/>
      <c r="U47" s="622"/>
      <c r="V47" s="269"/>
      <c r="W47" s="622"/>
      <c r="X47" s="269"/>
      <c r="Y47" s="622"/>
      <c r="Z47" s="269"/>
      <c r="AA47" s="622"/>
      <c r="AB47" s="269"/>
      <c r="AC47" s="529"/>
      <c r="AD47" s="622"/>
      <c r="AE47" s="1251"/>
      <c r="AF47" s="529"/>
      <c r="AG47" s="622"/>
      <c r="AH47" s="269"/>
      <c r="AI47" s="102"/>
      <c r="AJ47" s="12"/>
      <c r="AL47" s="100"/>
      <c r="AM47" s="1669"/>
      <c r="AN47" s="1669"/>
    </row>
    <row r="48" spans="1:40" ht="15.75">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51"/>
      <c r="AF48" s="529"/>
      <c r="AG48" s="269"/>
      <c r="AH48" s="269"/>
      <c r="AI48" s="102"/>
      <c r="AJ48" s="12"/>
      <c r="AL48" s="100"/>
      <c r="AM48" s="1669"/>
      <c r="AN48" s="1669"/>
    </row>
    <row r="49" spans="1:40" ht="15.75">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51"/>
      <c r="AF49" s="529"/>
      <c r="AG49" s="269"/>
      <c r="AH49" s="269"/>
      <c r="AI49" s="102"/>
      <c r="AJ49" s="12"/>
      <c r="AK49" s="41"/>
      <c r="AL49" s="100"/>
      <c r="AM49" s="1669"/>
      <c r="AN49" s="1669"/>
    </row>
    <row r="50" spans="1:40" ht="15.75">
      <c r="A50" s="296"/>
      <c r="B50" s="296" t="s">
        <v>124</v>
      </c>
      <c r="C50" s="296"/>
      <c r="D50" s="296"/>
      <c r="E50" s="269">
        <v>0</v>
      </c>
      <c r="F50" s="269"/>
      <c r="G50" s="269">
        <v>0</v>
      </c>
      <c r="H50" s="269"/>
      <c r="I50" s="269">
        <v>0</v>
      </c>
      <c r="J50" s="269"/>
      <c r="K50" s="269">
        <v>0</v>
      </c>
      <c r="L50" s="269"/>
      <c r="M50" s="269">
        <v>0</v>
      </c>
      <c r="N50" s="269"/>
      <c r="O50" s="269">
        <v>0</v>
      </c>
      <c r="P50" s="269"/>
      <c r="Q50" s="269">
        <v>0</v>
      </c>
      <c r="R50" s="269"/>
      <c r="S50" s="294">
        <f>$AD50-O50-Q50-M50-K50-I50-G50-E50</f>
        <v>0</v>
      </c>
      <c r="T50" s="294"/>
      <c r="U50" s="294"/>
      <c r="V50" s="269"/>
      <c r="W50" s="294"/>
      <c r="X50" s="294"/>
      <c r="Y50" s="294"/>
      <c r="Z50" s="269"/>
      <c r="AA50" s="294"/>
      <c r="AB50" s="269"/>
      <c r="AC50" s="529"/>
      <c r="AD50" s="537">
        <v>0</v>
      </c>
      <c r="AE50" s="269"/>
      <c r="AF50" s="530" t="s">
        <v>103</v>
      </c>
      <c r="AG50" s="537">
        <v>0</v>
      </c>
      <c r="AH50" s="292"/>
      <c r="AI50" s="101"/>
      <c r="AJ50" s="429">
        <f>ROUND(AD50-AG50,1)</f>
        <v>0</v>
      </c>
      <c r="AK50" s="41"/>
      <c r="AL50" s="379">
        <f>ROUND(IF(AG50=0,0,AJ50/ABS(AG50)),3)</f>
        <v>0</v>
      </c>
      <c r="AM50" s="1669"/>
      <c r="AN50" s="1669"/>
    </row>
    <row r="51" spans="1:40" ht="15.75">
      <c r="A51" s="296"/>
      <c r="B51" s="296" t="s">
        <v>125</v>
      </c>
      <c r="C51" s="296"/>
      <c r="D51" s="296"/>
      <c r="E51" s="269">
        <v>0</v>
      </c>
      <c r="F51" s="269"/>
      <c r="G51" s="269">
        <v>0</v>
      </c>
      <c r="H51" s="269"/>
      <c r="I51" s="269">
        <v>0</v>
      </c>
      <c r="J51" s="269"/>
      <c r="K51" s="269">
        <v>0.1</v>
      </c>
      <c r="L51" s="269"/>
      <c r="M51" s="269">
        <v>0</v>
      </c>
      <c r="N51" s="269"/>
      <c r="O51" s="269">
        <v>0</v>
      </c>
      <c r="P51" s="269"/>
      <c r="Q51" s="269">
        <v>0</v>
      </c>
      <c r="R51" s="269"/>
      <c r="S51" s="294">
        <f t="shared" ref="S51:S59" si="4">$AD51-O51-Q51-M51-K51-I51-G51-E51</f>
        <v>0</v>
      </c>
      <c r="T51" s="294"/>
      <c r="U51" s="294"/>
      <c r="V51" s="269"/>
      <c r="W51" s="294"/>
      <c r="X51" s="294"/>
      <c r="Y51" s="294"/>
      <c r="Z51" s="269"/>
      <c r="AA51" s="294"/>
      <c r="AB51" s="269"/>
      <c r="AC51" s="529"/>
      <c r="AD51" s="537">
        <v>0.1</v>
      </c>
      <c r="AE51" s="269"/>
      <c r="AF51" s="530" t="s">
        <v>103</v>
      </c>
      <c r="AG51" s="537">
        <v>306.2</v>
      </c>
      <c r="AH51" s="292"/>
      <c r="AI51" s="101"/>
      <c r="AJ51" s="429">
        <f>ROUND(AD51-AG51,1)</f>
        <v>-306.10000000000002</v>
      </c>
      <c r="AK51" s="41"/>
      <c r="AL51" s="548">
        <f>ROUND(IF(AG51=0,0,AJ51/ABS(AG51)),3)</f>
        <v>-1</v>
      </c>
      <c r="AM51" s="1669"/>
      <c r="AN51" s="1669"/>
    </row>
    <row r="52" spans="1:40" ht="15.75">
      <c r="A52" s="296"/>
      <c r="B52" s="296" t="s">
        <v>126</v>
      </c>
      <c r="C52" s="296"/>
      <c r="D52" s="296"/>
      <c r="E52" s="269">
        <v>0</v>
      </c>
      <c r="F52" s="269"/>
      <c r="G52" s="269">
        <v>0</v>
      </c>
      <c r="H52" s="269"/>
      <c r="I52" s="269">
        <v>0</v>
      </c>
      <c r="J52" s="269"/>
      <c r="K52" s="269">
        <v>0</v>
      </c>
      <c r="L52" s="269"/>
      <c r="M52" s="269">
        <v>0</v>
      </c>
      <c r="N52" s="269"/>
      <c r="O52" s="269">
        <v>0</v>
      </c>
      <c r="P52" s="269"/>
      <c r="Q52" s="269">
        <v>0</v>
      </c>
      <c r="R52" s="269"/>
      <c r="S52" s="294">
        <f t="shared" si="4"/>
        <v>0</v>
      </c>
      <c r="T52" s="294"/>
      <c r="U52" s="294"/>
      <c r="V52" s="269"/>
      <c r="W52" s="294"/>
      <c r="X52" s="294"/>
      <c r="Y52" s="294"/>
      <c r="Z52" s="269"/>
      <c r="AA52" s="294"/>
      <c r="AB52" s="269"/>
      <c r="AC52" s="529"/>
      <c r="AD52" s="537">
        <v>0</v>
      </c>
      <c r="AE52" s="269"/>
      <c r="AF52" s="530" t="s">
        <v>103</v>
      </c>
      <c r="AG52" s="537">
        <v>0</v>
      </c>
      <c r="AH52" s="292"/>
      <c r="AI52" s="101"/>
      <c r="AJ52" s="429">
        <f>ROUND(AD52-AG52,1)</f>
        <v>0</v>
      </c>
      <c r="AL52" s="379">
        <f>ROUND(IF(AG52=0,0,AJ52/ABS(AG52)),3)</f>
        <v>0</v>
      </c>
      <c r="AM52" s="1669"/>
      <c r="AN52" s="1669"/>
    </row>
    <row r="53" spans="1:40" ht="15.75">
      <c r="A53" s="296"/>
      <c r="B53" s="296" t="s">
        <v>127</v>
      </c>
      <c r="C53" s="296"/>
      <c r="D53" s="296"/>
      <c r="E53" s="269" t="s">
        <v>103</v>
      </c>
      <c r="F53" s="269"/>
      <c r="G53" s="269"/>
      <c r="H53" s="269"/>
      <c r="I53" s="269"/>
      <c r="J53" s="269"/>
      <c r="K53" s="269"/>
      <c r="L53" s="269"/>
      <c r="M53" s="269"/>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9" t="s">
        <v>103</v>
      </c>
      <c r="AM53" s="1669"/>
      <c r="AN53" s="1669"/>
    </row>
    <row r="54" spans="1:40" ht="15.75">
      <c r="A54" s="296"/>
      <c r="B54" s="296" t="s">
        <v>128</v>
      </c>
      <c r="C54" s="3"/>
      <c r="D54" s="296"/>
      <c r="E54" s="269">
        <v>0</v>
      </c>
      <c r="F54" s="269"/>
      <c r="G54" s="269">
        <v>0</v>
      </c>
      <c r="H54" s="269"/>
      <c r="I54" s="269">
        <v>0</v>
      </c>
      <c r="J54" s="269"/>
      <c r="K54" s="269">
        <v>0</v>
      </c>
      <c r="L54" s="269"/>
      <c r="M54" s="269">
        <v>0</v>
      </c>
      <c r="N54" s="269"/>
      <c r="O54" s="269">
        <v>0</v>
      </c>
      <c r="P54" s="269"/>
      <c r="Q54" s="269">
        <v>0</v>
      </c>
      <c r="R54" s="269"/>
      <c r="S54" s="294">
        <f t="shared" si="4"/>
        <v>0</v>
      </c>
      <c r="T54" s="294"/>
      <c r="U54" s="294"/>
      <c r="V54" s="269"/>
      <c r="W54" s="294"/>
      <c r="X54" s="294"/>
      <c r="Y54" s="294"/>
      <c r="Z54" s="269"/>
      <c r="AA54" s="294"/>
      <c r="AB54" s="269"/>
      <c r="AC54" s="529"/>
      <c r="AD54" s="537">
        <v>0</v>
      </c>
      <c r="AE54" s="269"/>
      <c r="AF54" s="530" t="s">
        <v>103</v>
      </c>
      <c r="AG54" s="537">
        <v>0</v>
      </c>
      <c r="AH54" s="269"/>
      <c r="AI54" s="102"/>
      <c r="AJ54" s="429">
        <f t="shared" ref="AJ54:AJ59" si="5">ROUND(AD54-AG54,1)</f>
        <v>0</v>
      </c>
      <c r="AL54" s="379">
        <f>ROUND(IF(AG54=0,0,AJ54/ABS(AG54)),3)</f>
        <v>0</v>
      </c>
      <c r="AM54" s="1669"/>
      <c r="AN54" s="1669"/>
    </row>
    <row r="55" spans="1:40" ht="15.75">
      <c r="A55" s="296"/>
      <c r="B55" s="296" t="s">
        <v>129</v>
      </c>
      <c r="C55" s="296"/>
      <c r="D55" s="296"/>
      <c r="E55" s="269">
        <v>2</v>
      </c>
      <c r="F55" s="269"/>
      <c r="G55" s="269">
        <v>0</v>
      </c>
      <c r="H55" s="269"/>
      <c r="I55" s="269">
        <v>0</v>
      </c>
      <c r="J55" s="269"/>
      <c r="K55" s="269">
        <v>0</v>
      </c>
      <c r="L55" s="269"/>
      <c r="M55" s="269">
        <v>0</v>
      </c>
      <c r="N55" s="269"/>
      <c r="O55" s="269">
        <v>76.900000000000006</v>
      </c>
      <c r="P55" s="269"/>
      <c r="Q55" s="269">
        <v>0</v>
      </c>
      <c r="R55" s="269"/>
      <c r="S55" s="294">
        <f t="shared" si="4"/>
        <v>16.5</v>
      </c>
      <c r="T55" s="294"/>
      <c r="U55" s="294"/>
      <c r="V55" s="269"/>
      <c r="W55" s="294"/>
      <c r="X55" s="294"/>
      <c r="Y55" s="294"/>
      <c r="Z55" s="269"/>
      <c r="AA55" s="294"/>
      <c r="AB55" s="269"/>
      <c r="AC55" s="529"/>
      <c r="AD55" s="537">
        <v>95.4</v>
      </c>
      <c r="AE55" s="269"/>
      <c r="AF55" s="530" t="s">
        <v>103</v>
      </c>
      <c r="AG55" s="537">
        <v>19.399999999999999</v>
      </c>
      <c r="AH55" s="292"/>
      <c r="AI55" s="101"/>
      <c r="AJ55" s="429">
        <f t="shared" si="5"/>
        <v>76</v>
      </c>
      <c r="AK55" s="41"/>
      <c r="AL55" s="548">
        <f>ROUND(IF(AG55=0,1,AJ55/ABS(AG55)),3)</f>
        <v>3.9180000000000001</v>
      </c>
      <c r="AM55" s="1669"/>
      <c r="AN55" s="1669"/>
    </row>
    <row r="56" spans="1:40" ht="15.75">
      <c r="A56" s="296"/>
      <c r="B56" s="296" t="s">
        <v>130</v>
      </c>
      <c r="C56" s="296"/>
      <c r="D56" s="296"/>
      <c r="E56" s="269">
        <v>0</v>
      </c>
      <c r="F56" s="269"/>
      <c r="G56" s="269">
        <v>0</v>
      </c>
      <c r="H56" s="269"/>
      <c r="I56" s="269">
        <v>0</v>
      </c>
      <c r="J56" s="269"/>
      <c r="K56" s="269">
        <v>0</v>
      </c>
      <c r="L56" s="269"/>
      <c r="M56" s="269">
        <v>0</v>
      </c>
      <c r="N56" s="269"/>
      <c r="O56" s="269">
        <v>0</v>
      </c>
      <c r="P56" s="269"/>
      <c r="Q56" s="269">
        <v>0</v>
      </c>
      <c r="R56" s="269"/>
      <c r="S56" s="294">
        <f t="shared" si="4"/>
        <v>0</v>
      </c>
      <c r="T56" s="294"/>
      <c r="U56" s="294"/>
      <c r="V56" s="269"/>
      <c r="W56" s="294"/>
      <c r="X56" s="294"/>
      <c r="Y56" s="294"/>
      <c r="Z56" s="269"/>
      <c r="AA56" s="294"/>
      <c r="AB56" s="269"/>
      <c r="AC56" s="529"/>
      <c r="AD56" s="537">
        <v>0</v>
      </c>
      <c r="AE56" s="269"/>
      <c r="AF56" s="530" t="s">
        <v>103</v>
      </c>
      <c r="AG56" s="537">
        <v>0</v>
      </c>
      <c r="AH56" s="292"/>
      <c r="AI56" s="101"/>
      <c r="AJ56" s="429">
        <f t="shared" si="5"/>
        <v>0</v>
      </c>
      <c r="AL56" s="548">
        <f>ROUND(IF(AG56=0,0,AJ56/ABS(AG56)),3)</f>
        <v>0</v>
      </c>
      <c r="AM56" s="1669"/>
      <c r="AN56" s="1669"/>
    </row>
    <row r="57" spans="1:40" ht="15.75">
      <c r="A57" s="296"/>
      <c r="B57" s="296" t="s">
        <v>131</v>
      </c>
      <c r="C57" s="296"/>
      <c r="D57" s="296"/>
      <c r="E57" s="269">
        <v>0</v>
      </c>
      <c r="F57" s="269"/>
      <c r="G57" s="269">
        <v>0</v>
      </c>
      <c r="H57" s="269"/>
      <c r="I57" s="269">
        <v>0</v>
      </c>
      <c r="J57" s="269"/>
      <c r="K57" s="269">
        <v>0</v>
      </c>
      <c r="L57" s="269"/>
      <c r="M57" s="269">
        <v>0</v>
      </c>
      <c r="N57" s="269"/>
      <c r="O57" s="269">
        <v>0</v>
      </c>
      <c r="P57" s="269"/>
      <c r="Q57" s="269">
        <v>0</v>
      </c>
      <c r="R57" s="269"/>
      <c r="S57" s="294">
        <f t="shared" si="4"/>
        <v>0</v>
      </c>
      <c r="T57" s="294"/>
      <c r="U57" s="294"/>
      <c r="V57" s="269"/>
      <c r="W57" s="294"/>
      <c r="X57" s="294"/>
      <c r="Y57" s="294"/>
      <c r="Z57" s="269"/>
      <c r="AA57" s="294"/>
      <c r="AB57" s="269"/>
      <c r="AC57" s="529"/>
      <c r="AD57" s="537">
        <v>0</v>
      </c>
      <c r="AE57" s="269"/>
      <c r="AF57" s="530" t="s">
        <v>103</v>
      </c>
      <c r="AG57" s="537">
        <v>0</v>
      </c>
      <c r="AH57" s="269"/>
      <c r="AI57" s="102"/>
      <c r="AJ57" s="429">
        <f t="shared" si="5"/>
        <v>0</v>
      </c>
      <c r="AK57" s="41"/>
      <c r="AL57" s="379">
        <f>ROUND(IF(AG57=0,0,AJ57/ABS(AG57)),3)</f>
        <v>0</v>
      </c>
      <c r="AM57" s="1669"/>
      <c r="AN57" s="1669"/>
    </row>
    <row r="58" spans="1:40" ht="15.75">
      <c r="A58" s="296"/>
      <c r="B58" s="296" t="s">
        <v>132</v>
      </c>
      <c r="C58" s="3"/>
      <c r="D58" s="296"/>
      <c r="E58" s="269">
        <v>0.4</v>
      </c>
      <c r="F58" s="269"/>
      <c r="G58" s="269">
        <v>2.7</v>
      </c>
      <c r="H58" s="269"/>
      <c r="I58" s="269">
        <v>0.39999999999999991</v>
      </c>
      <c r="J58" s="269"/>
      <c r="K58" s="269">
        <v>0.20000000000000007</v>
      </c>
      <c r="L58" s="269"/>
      <c r="M58" s="269">
        <v>0.79999999999999927</v>
      </c>
      <c r="N58" s="269"/>
      <c r="O58" s="269">
        <v>1.4000000000000017</v>
      </c>
      <c r="P58" s="269"/>
      <c r="Q58" s="269">
        <v>0.499999999999999</v>
      </c>
      <c r="R58" s="269"/>
      <c r="S58" s="294">
        <f t="shared" si="4"/>
        <v>4.9000000000000012</v>
      </c>
      <c r="T58" s="294"/>
      <c r="U58" s="294"/>
      <c r="V58" s="269"/>
      <c r="W58" s="294"/>
      <c r="X58" s="294"/>
      <c r="Y58" s="294"/>
      <c r="Z58" s="269"/>
      <c r="AA58" s="294"/>
      <c r="AB58" s="269"/>
      <c r="AC58" s="529"/>
      <c r="AD58" s="537">
        <v>11.3</v>
      </c>
      <c r="AE58" s="269"/>
      <c r="AF58" s="530" t="s">
        <v>103</v>
      </c>
      <c r="AG58" s="537">
        <v>4</v>
      </c>
      <c r="AH58" s="269"/>
      <c r="AI58" s="102"/>
      <c r="AJ58" s="429">
        <f t="shared" si="5"/>
        <v>7.3</v>
      </c>
      <c r="AL58" s="379">
        <f>ROUND(IF(AG58=0,1,AJ58/ABS(AG58)),3)</f>
        <v>1.825</v>
      </c>
      <c r="AM58" s="1669"/>
      <c r="AN58" s="1669"/>
    </row>
    <row r="59" spans="1:40" ht="15.75">
      <c r="A59" s="296"/>
      <c r="B59" s="296" t="s">
        <v>133</v>
      </c>
      <c r="C59" s="296"/>
      <c r="D59" s="296"/>
      <c r="E59" s="269">
        <v>35.799999999999997</v>
      </c>
      <c r="F59" s="269"/>
      <c r="G59" s="269">
        <v>14.300000000000004</v>
      </c>
      <c r="H59" s="269"/>
      <c r="I59" s="269">
        <v>8.6999999999999957</v>
      </c>
      <c r="J59" s="269"/>
      <c r="K59" s="269">
        <v>19.200000000000003</v>
      </c>
      <c r="L59" s="269"/>
      <c r="M59" s="269">
        <v>36.799999999999997</v>
      </c>
      <c r="N59" s="269"/>
      <c r="O59" s="269">
        <v>20.20000000000001</v>
      </c>
      <c r="P59" s="269"/>
      <c r="Q59" s="269">
        <v>36.799999999999969</v>
      </c>
      <c r="R59" s="269"/>
      <c r="S59" s="294">
        <f t="shared" si="4"/>
        <v>30.300000000000026</v>
      </c>
      <c r="T59" s="294"/>
      <c r="U59" s="294"/>
      <c r="V59" s="269"/>
      <c r="W59" s="294"/>
      <c r="X59" s="294"/>
      <c r="Y59" s="294"/>
      <c r="Z59" s="269"/>
      <c r="AA59" s="294"/>
      <c r="AB59" s="269"/>
      <c r="AC59" s="529"/>
      <c r="AD59" s="537">
        <v>202.1</v>
      </c>
      <c r="AE59" s="269"/>
      <c r="AF59" s="530" t="s">
        <v>103</v>
      </c>
      <c r="AG59" s="537">
        <v>221.9</v>
      </c>
      <c r="AH59" s="269"/>
      <c r="AI59" s="102"/>
      <c r="AJ59" s="429">
        <f t="shared" si="5"/>
        <v>-19.8</v>
      </c>
      <c r="AL59" s="1805">
        <f>ROUND((AD59-AG59)/ABS(AG59),3)</f>
        <v>-8.8999999999999996E-2</v>
      </c>
      <c r="AM59" s="1669"/>
      <c r="AN59" s="1669"/>
    </row>
    <row r="60" spans="1:40" ht="15.75">
      <c r="A60" s="296"/>
      <c r="B60" s="3" t="s">
        <v>567</v>
      </c>
      <c r="C60" s="296"/>
      <c r="D60" s="296"/>
      <c r="E60" s="623">
        <f>ROUND(SUM(E50:E59),1)</f>
        <v>38.200000000000003</v>
      </c>
      <c r="F60" s="13"/>
      <c r="G60" s="623">
        <f>ROUND(SUM(G50:G59),1)</f>
        <v>17</v>
      </c>
      <c r="H60" s="13"/>
      <c r="I60" s="623">
        <f>ROUND(SUM(I50:I59),1)</f>
        <v>9.1</v>
      </c>
      <c r="J60" s="13"/>
      <c r="K60" s="623">
        <f>ROUND(SUM(K50:K59),1)</f>
        <v>19.5</v>
      </c>
      <c r="L60" s="13"/>
      <c r="M60" s="623">
        <f>ROUND(SUM(M50:M59),1)</f>
        <v>37.6</v>
      </c>
      <c r="N60" s="13"/>
      <c r="O60" s="623">
        <f>ROUND(SUM(O50:O59),1)</f>
        <v>98.5</v>
      </c>
      <c r="P60" s="13"/>
      <c r="Q60" s="623">
        <f>ROUND(SUM(Q50:Q59),1)</f>
        <v>37.299999999999997</v>
      </c>
      <c r="R60" s="13"/>
      <c r="S60" s="623">
        <f>ROUND(SUM(S50:S59),1)</f>
        <v>51.7</v>
      </c>
      <c r="T60" s="13"/>
      <c r="U60" s="623">
        <f>ROUND(SUM(U50:U59),1)</f>
        <v>0</v>
      </c>
      <c r="V60" s="13"/>
      <c r="W60" s="623">
        <f>ROUND(SUM(W50:W59),1)</f>
        <v>0</v>
      </c>
      <c r="X60" s="13"/>
      <c r="Y60" s="623">
        <f>ROUND(SUM(Y50:Y59),1)</f>
        <v>0</v>
      </c>
      <c r="Z60" s="13"/>
      <c r="AA60" s="623">
        <f>ROUND(SUM(AA50:AA59),1)</f>
        <v>0</v>
      </c>
      <c r="AB60" s="13"/>
      <c r="AC60" s="14"/>
      <c r="AD60" s="623">
        <f>ROUND(SUM(AD50:AD59),1)</f>
        <v>308.89999999999998</v>
      </c>
      <c r="AE60" s="1253"/>
      <c r="AF60" s="14"/>
      <c r="AG60" s="623">
        <f>ROUND(SUM(AG50:AG59),1)</f>
        <v>551.5</v>
      </c>
      <c r="AH60" s="13"/>
      <c r="AI60" s="102"/>
      <c r="AJ60" s="623">
        <f>ROUND(SUM(AJ50:AJ59),1)</f>
        <v>-242.6</v>
      </c>
      <c r="AK60" s="3"/>
      <c r="AL60" s="937">
        <f>ROUND(SUM(AD60-AG60)/ABS(AG60),3)</f>
        <v>-0.44</v>
      </c>
      <c r="AM60" s="1759"/>
      <c r="AN60" s="1669"/>
    </row>
    <row r="61" spans="1:40" ht="15.75">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51"/>
      <c r="AF61" s="529"/>
      <c r="AG61" s="269"/>
      <c r="AH61" s="269"/>
      <c r="AI61" s="102"/>
      <c r="AJ61" s="12"/>
      <c r="AL61" s="100"/>
      <c r="AM61" s="1669"/>
      <c r="AN61" s="1669"/>
    </row>
    <row r="62" spans="1:40" ht="15.75">
      <c r="A62" s="296"/>
      <c r="B62" s="296" t="s">
        <v>569</v>
      </c>
      <c r="C62" s="296"/>
      <c r="D62" s="296"/>
      <c r="E62" s="269">
        <v>0</v>
      </c>
      <c r="F62" s="269"/>
      <c r="G62" s="269">
        <v>0</v>
      </c>
      <c r="H62" s="269"/>
      <c r="I62" s="269">
        <v>0</v>
      </c>
      <c r="J62" s="269"/>
      <c r="K62" s="269">
        <v>0</v>
      </c>
      <c r="L62" s="269"/>
      <c r="M62" s="269">
        <v>0</v>
      </c>
      <c r="N62" s="269"/>
      <c r="O62" s="269">
        <v>0</v>
      </c>
      <c r="P62" s="269"/>
      <c r="Q62" s="269">
        <v>0</v>
      </c>
      <c r="R62" s="269"/>
      <c r="S62" s="294">
        <f>$AD62-O62-Q62-M62-K62-I62-G62-E62</f>
        <v>0</v>
      </c>
      <c r="T62" s="294"/>
      <c r="U62" s="294"/>
      <c r="V62" s="269"/>
      <c r="W62" s="294"/>
      <c r="X62" s="269"/>
      <c r="Y62" s="294"/>
      <c r="Z62" s="269"/>
      <c r="AA62" s="294"/>
      <c r="AB62" s="269"/>
      <c r="AC62" s="529"/>
      <c r="AD62" s="269">
        <v>0</v>
      </c>
      <c r="AE62" s="1251"/>
      <c r="AF62" s="269"/>
      <c r="AG62" s="269">
        <v>0</v>
      </c>
      <c r="AH62" s="372"/>
      <c r="AI62" s="104"/>
      <c r="AJ62" s="429">
        <f>ROUND(AD62-AG62,1)</f>
        <v>0</v>
      </c>
      <c r="AL62" s="379">
        <f>ROUND(IF(AG62=0,0,AJ62/ABS(AG62)),3)</f>
        <v>0</v>
      </c>
      <c r="AM62" s="1669"/>
      <c r="AN62" s="1669"/>
    </row>
    <row r="63" spans="1:40" ht="15.75">
      <c r="A63" s="296"/>
      <c r="B63" s="296" t="s">
        <v>570</v>
      </c>
      <c r="C63" s="296"/>
      <c r="D63" s="296"/>
      <c r="E63" s="269">
        <v>0</v>
      </c>
      <c r="F63" s="269"/>
      <c r="G63" s="269">
        <v>0</v>
      </c>
      <c r="H63" s="269"/>
      <c r="I63" s="269">
        <v>0</v>
      </c>
      <c r="J63" s="269"/>
      <c r="K63" s="269">
        <v>0</v>
      </c>
      <c r="L63" s="269"/>
      <c r="M63" s="269">
        <v>0</v>
      </c>
      <c r="N63" s="269"/>
      <c r="O63" s="269">
        <v>0</v>
      </c>
      <c r="P63" s="269"/>
      <c r="Q63" s="269">
        <v>0</v>
      </c>
      <c r="R63" s="269"/>
      <c r="S63" s="294">
        <f t="shared" ref="S63:S65" si="6">$AD63-O63-Q63-M63-K63-I63-G63-E63</f>
        <v>0</v>
      </c>
      <c r="T63" s="294"/>
      <c r="U63" s="294"/>
      <c r="V63" s="269"/>
      <c r="W63" s="294"/>
      <c r="X63" s="269"/>
      <c r="Y63" s="294"/>
      <c r="Z63" s="269"/>
      <c r="AA63" s="294"/>
      <c r="AB63" s="269"/>
      <c r="AC63" s="529"/>
      <c r="AD63" s="269">
        <v>0</v>
      </c>
      <c r="AE63" s="1251"/>
      <c r="AF63" s="269"/>
      <c r="AG63" s="269">
        <v>0</v>
      </c>
      <c r="AH63" s="372"/>
      <c r="AI63" s="104"/>
      <c r="AJ63" s="429">
        <f>ROUND(AD63-AG63,1)</f>
        <v>0</v>
      </c>
      <c r="AL63" s="379">
        <f>ROUND(IF(AG63=0,0,AJ63/ABS(AG63)),3)</f>
        <v>0</v>
      </c>
      <c r="AM63" s="1669"/>
      <c r="AN63" s="1669"/>
    </row>
    <row r="64" spans="1:40" ht="15.75">
      <c r="A64" s="296"/>
      <c r="B64" s="296" t="s">
        <v>571</v>
      </c>
      <c r="C64" s="296"/>
      <c r="D64" s="296"/>
      <c r="E64" s="269">
        <v>0</v>
      </c>
      <c r="F64" s="269"/>
      <c r="G64" s="269">
        <v>0</v>
      </c>
      <c r="H64" s="269"/>
      <c r="I64" s="269">
        <v>0</v>
      </c>
      <c r="J64" s="269"/>
      <c r="K64" s="269">
        <v>0</v>
      </c>
      <c r="L64" s="269"/>
      <c r="M64" s="269">
        <v>0</v>
      </c>
      <c r="N64" s="269"/>
      <c r="O64" s="269">
        <v>0</v>
      </c>
      <c r="P64" s="269"/>
      <c r="Q64" s="269">
        <v>0</v>
      </c>
      <c r="R64" s="269"/>
      <c r="S64" s="294">
        <f t="shared" si="6"/>
        <v>0</v>
      </c>
      <c r="T64" s="294"/>
      <c r="U64" s="294"/>
      <c r="V64" s="269"/>
      <c r="W64" s="294"/>
      <c r="X64" s="269"/>
      <c r="Y64" s="294"/>
      <c r="Z64" s="269"/>
      <c r="AA64" s="294"/>
      <c r="AB64" s="269"/>
      <c r="AC64" s="529"/>
      <c r="AD64" s="269">
        <v>0</v>
      </c>
      <c r="AE64" s="1251"/>
      <c r="AF64" s="269"/>
      <c r="AG64" s="269">
        <v>0</v>
      </c>
      <c r="AH64" s="372"/>
      <c r="AI64" s="104"/>
      <c r="AJ64" s="429">
        <f>ROUND(AD64-AG64,1)</f>
        <v>0</v>
      </c>
      <c r="AL64" s="379">
        <f>ROUND(IF(AG64=0,0,AJ64/ABS(AG64)),3)</f>
        <v>0</v>
      </c>
      <c r="AM64" s="1669"/>
      <c r="AN64" s="1669"/>
    </row>
    <row r="65" spans="1:40" ht="15.75">
      <c r="A65" s="296"/>
      <c r="B65" s="418" t="s">
        <v>588</v>
      </c>
      <c r="C65" s="296"/>
      <c r="D65" s="296"/>
      <c r="E65" s="269">
        <v>120.5</v>
      </c>
      <c r="F65" s="269"/>
      <c r="G65" s="269">
        <v>187.10000000000002</v>
      </c>
      <c r="H65" s="269"/>
      <c r="I65" s="269">
        <v>166.79999999999995</v>
      </c>
      <c r="J65" s="269"/>
      <c r="K65" s="269">
        <v>186.5</v>
      </c>
      <c r="L65" s="269"/>
      <c r="M65" s="269">
        <v>167.89999999999998</v>
      </c>
      <c r="N65" s="269"/>
      <c r="O65" s="269">
        <v>193.10000000000002</v>
      </c>
      <c r="P65" s="269"/>
      <c r="Q65" s="269">
        <v>205.90000000000009</v>
      </c>
      <c r="R65" s="269"/>
      <c r="S65" s="294">
        <f t="shared" si="6"/>
        <v>147.49999999999977</v>
      </c>
      <c r="T65" s="294"/>
      <c r="U65" s="294"/>
      <c r="V65" s="269"/>
      <c r="W65" s="294"/>
      <c r="X65" s="269"/>
      <c r="Y65" s="294"/>
      <c r="Z65" s="269"/>
      <c r="AA65" s="294"/>
      <c r="AB65" s="269"/>
      <c r="AC65" s="529"/>
      <c r="AD65" s="1001">
        <v>1375.3</v>
      </c>
      <c r="AE65" s="269"/>
      <c r="AF65" s="530" t="s">
        <v>103</v>
      </c>
      <c r="AG65" s="1001">
        <v>1301.9000000000001</v>
      </c>
      <c r="AH65" s="292"/>
      <c r="AI65" s="101"/>
      <c r="AJ65" s="1092">
        <f>ROUND(AD65-AG65,1)</f>
        <v>73.400000000000006</v>
      </c>
      <c r="AL65" s="877">
        <f>ROUND(IF(AG65=0,0,AJ65/ABS(AG65)),3)</f>
        <v>5.6000000000000001E-2</v>
      </c>
      <c r="AM65" s="1669"/>
      <c r="AN65" s="1669"/>
    </row>
    <row r="66" spans="1:40" ht="15.75">
      <c r="A66" s="296"/>
      <c r="B66" s="296"/>
      <c r="C66" s="296"/>
      <c r="D66" s="296"/>
      <c r="E66" s="622"/>
      <c r="F66" s="269"/>
      <c r="G66" s="622"/>
      <c r="H66" s="269"/>
      <c r="I66" s="622"/>
      <c r="J66" s="269"/>
      <c r="K66" s="622"/>
      <c r="L66" s="269"/>
      <c r="M66" s="622"/>
      <c r="N66" s="269"/>
      <c r="O66" s="622"/>
      <c r="P66" s="269"/>
      <c r="Q66" s="622"/>
      <c r="R66" s="269"/>
      <c r="S66" s="622"/>
      <c r="T66" s="269"/>
      <c r="U66" s="622"/>
      <c r="V66" s="269"/>
      <c r="W66" s="622"/>
      <c r="X66" s="269"/>
      <c r="Y66" s="622"/>
      <c r="Z66" s="269"/>
      <c r="AA66" s="622"/>
      <c r="AB66" s="269"/>
      <c r="AC66" s="529"/>
      <c r="AD66" s="12"/>
      <c r="AE66" s="1251"/>
      <c r="AF66" s="529"/>
      <c r="AG66" s="12"/>
      <c r="AH66" s="12"/>
      <c r="AI66" s="102"/>
      <c r="AJ66" s="12"/>
      <c r="AL66" s="100"/>
      <c r="AM66" s="1669"/>
      <c r="AN66" s="1669"/>
    </row>
    <row r="67" spans="1:40" ht="15.75">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243.2</v>
      </c>
      <c r="R67" s="13"/>
      <c r="S67" s="13">
        <f>ROUND(SUM(S60:S65),1)</f>
        <v>199.2</v>
      </c>
      <c r="T67" s="13"/>
      <c r="U67" s="13">
        <f>ROUND(SUM(U60:U65),1)</f>
        <v>0</v>
      </c>
      <c r="V67" s="13"/>
      <c r="W67" s="13">
        <f>ROUND(SUM(W60:W65),1)</f>
        <v>0</v>
      </c>
      <c r="X67" s="13"/>
      <c r="Y67" s="13">
        <f>ROUND(SUM(Y60:Y65),1)</f>
        <v>0</v>
      </c>
      <c r="Z67" s="13"/>
      <c r="AA67" s="13">
        <f>ROUND(SUM(AA60:AA65),1)</f>
        <v>0</v>
      </c>
      <c r="AB67" s="13"/>
      <c r="AC67" s="14"/>
      <c r="AD67" s="13">
        <f>ROUND(SUM(AD60:AD65),1)</f>
        <v>1684.2</v>
      </c>
      <c r="AE67" s="1253"/>
      <c r="AF67" s="14"/>
      <c r="AG67" s="13">
        <f>ROUND(SUM(AG60:AG65),1)</f>
        <v>1853.4</v>
      </c>
      <c r="AH67" s="13"/>
      <c r="AI67" s="102"/>
      <c r="AJ67" s="362">
        <f>ROUND(AD67-AG67,1)</f>
        <v>-169.2</v>
      </c>
      <c r="AK67" s="3"/>
      <c r="AL67" s="618">
        <f>ROUND(SUM(AD67-AG67)/ABS(AG67),3)</f>
        <v>-9.0999999999999998E-2</v>
      </c>
      <c r="AM67" s="1669"/>
      <c r="AN67" s="1669"/>
    </row>
    <row r="68" spans="1:40" ht="15.75">
      <c r="A68" s="296"/>
      <c r="B68" s="296"/>
      <c r="C68" s="296"/>
      <c r="D68" s="296"/>
      <c r="E68" s="622"/>
      <c r="F68" s="269"/>
      <c r="G68" s="622"/>
      <c r="H68" s="269"/>
      <c r="I68" s="622"/>
      <c r="J68" s="269"/>
      <c r="K68" s="622"/>
      <c r="L68" s="269"/>
      <c r="M68" s="622"/>
      <c r="N68" s="269"/>
      <c r="O68" s="622"/>
      <c r="P68" s="269"/>
      <c r="Q68" s="622"/>
      <c r="R68" s="269"/>
      <c r="S68" s="622"/>
      <c r="T68" s="269"/>
      <c r="U68" s="622"/>
      <c r="V68" s="269"/>
      <c r="W68" s="622"/>
      <c r="X68" s="269"/>
      <c r="Y68" s="622"/>
      <c r="Z68" s="269"/>
      <c r="AA68" s="622"/>
      <c r="AB68" s="269"/>
      <c r="AC68" s="529"/>
      <c r="AD68" s="622"/>
      <c r="AE68" s="1251"/>
      <c r="AF68" s="529"/>
      <c r="AG68" s="622"/>
      <c r="AH68" s="269"/>
      <c r="AI68" s="102"/>
      <c r="AJ68" s="12"/>
      <c r="AL68" s="100"/>
      <c r="AM68" s="1669"/>
      <c r="AN68" s="1669"/>
    </row>
    <row r="69" spans="1:40" ht="15.75">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51"/>
      <c r="AF69" s="269"/>
      <c r="AG69" s="12"/>
      <c r="AH69" s="12"/>
      <c r="AI69" s="102"/>
      <c r="AJ69" s="12"/>
      <c r="AL69" s="100"/>
      <c r="AM69" s="1669"/>
      <c r="AN69" s="1669"/>
    </row>
    <row r="70" spans="1:40" ht="15.75">
      <c r="A70" s="296"/>
      <c r="B70" s="3" t="s">
        <v>574</v>
      </c>
      <c r="C70" s="296"/>
      <c r="D70" s="296"/>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50.1</v>
      </c>
      <c r="R70" s="13"/>
      <c r="S70" s="13">
        <f>ROUND(S46-S67,1)</f>
        <v>12.6</v>
      </c>
      <c r="T70" s="13"/>
      <c r="U70" s="13">
        <f>ROUND(U46-U67,1)</f>
        <v>0</v>
      </c>
      <c r="V70" s="13"/>
      <c r="W70" s="13">
        <f>ROUND(W46-W67,1)</f>
        <v>0</v>
      </c>
      <c r="X70" s="13"/>
      <c r="Y70" s="13">
        <f>ROUND(Y46-Y67,1)</f>
        <v>0</v>
      </c>
      <c r="Z70" s="13"/>
      <c r="AA70" s="13">
        <f>ROUND(AA46-AA67,1)</f>
        <v>0</v>
      </c>
      <c r="AB70" s="13"/>
      <c r="AC70" s="14"/>
      <c r="AD70" s="13">
        <f>ROUND(AD46-AD67,1)</f>
        <v>38.9</v>
      </c>
      <c r="AE70" s="1253"/>
      <c r="AF70" s="14"/>
      <c r="AG70" s="13">
        <f>ROUND(AG46-AG67,1)</f>
        <v>69.5</v>
      </c>
      <c r="AH70" s="13"/>
      <c r="AI70" s="102"/>
      <c r="AJ70" s="362">
        <f>ROUND(AD70-AG70,1)</f>
        <v>-30.6</v>
      </c>
      <c r="AK70" s="3"/>
      <c r="AL70" s="545">
        <f>ROUND(SUM(AD70-AG70)/ABS(AG70),3)</f>
        <v>-0.44</v>
      </c>
      <c r="AM70" s="1669"/>
      <c r="AN70" s="1669"/>
    </row>
    <row r="71" spans="1:40" ht="15.75">
      <c r="A71" s="296"/>
      <c r="B71" s="296"/>
      <c r="C71" s="296"/>
      <c r="D71" s="296"/>
      <c r="E71" s="622"/>
      <c r="F71" s="269"/>
      <c r="G71" s="622"/>
      <c r="H71" s="269"/>
      <c r="I71" s="622"/>
      <c r="J71" s="269"/>
      <c r="K71" s="622"/>
      <c r="L71" s="269"/>
      <c r="M71" s="622"/>
      <c r="N71" s="269"/>
      <c r="O71" s="622"/>
      <c r="P71" s="269"/>
      <c r="Q71" s="622"/>
      <c r="R71" s="269"/>
      <c r="S71" s="622"/>
      <c r="T71" s="269"/>
      <c r="U71" s="622"/>
      <c r="V71" s="269"/>
      <c r="W71" s="622"/>
      <c r="X71" s="269"/>
      <c r="Y71" s="622"/>
      <c r="Z71" s="269"/>
      <c r="AA71" s="622"/>
      <c r="AB71" s="269"/>
      <c r="AC71" s="529"/>
      <c r="AD71" s="622"/>
      <c r="AE71" s="1251"/>
      <c r="AF71" s="529"/>
      <c r="AG71" s="622"/>
      <c r="AH71" s="269"/>
      <c r="AI71" s="102"/>
      <c r="AJ71" s="12"/>
      <c r="AL71" s="100"/>
      <c r="AM71" s="1669"/>
      <c r="AN71" s="1669"/>
    </row>
    <row r="72" spans="1:40" ht="15.75">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51"/>
      <c r="AF72" s="529"/>
      <c r="AG72" s="372"/>
      <c r="AH72" s="372"/>
      <c r="AI72" s="104"/>
      <c r="AJ72" s="12"/>
      <c r="AL72" s="100"/>
      <c r="AM72" s="1669"/>
      <c r="AN72" s="1669"/>
    </row>
    <row r="73" spans="1:40" ht="15.75">
      <c r="A73" s="296"/>
      <c r="B73" s="418" t="s">
        <v>589</v>
      </c>
      <c r="C73" s="296"/>
      <c r="D73" s="296"/>
      <c r="E73" s="269">
        <v>0</v>
      </c>
      <c r="F73" s="269"/>
      <c r="G73" s="269">
        <v>0</v>
      </c>
      <c r="H73" s="269"/>
      <c r="I73" s="269">
        <v>0</v>
      </c>
      <c r="J73" s="269"/>
      <c r="K73" s="269">
        <v>0</v>
      </c>
      <c r="L73" s="269"/>
      <c r="M73" s="269">
        <v>0</v>
      </c>
      <c r="N73" s="269"/>
      <c r="O73" s="269">
        <v>0</v>
      </c>
      <c r="P73" s="269"/>
      <c r="Q73" s="269">
        <v>0</v>
      </c>
      <c r="R73" s="269"/>
      <c r="S73" s="294">
        <f>$AD73-O73-Q73-M73-K73-I73-G73-E73</f>
        <v>0</v>
      </c>
      <c r="T73" s="294"/>
      <c r="U73" s="294"/>
      <c r="V73" s="269"/>
      <c r="W73" s="294"/>
      <c r="X73" s="269"/>
      <c r="Y73" s="294"/>
      <c r="Z73" s="269"/>
      <c r="AA73" s="294"/>
      <c r="AB73" s="269"/>
      <c r="AC73" s="529"/>
      <c r="AD73" s="537">
        <v>0</v>
      </c>
      <c r="AE73" s="292"/>
      <c r="AF73" s="1806"/>
      <c r="AG73" s="537">
        <v>24.8</v>
      </c>
      <c r="AH73" s="292"/>
      <c r="AI73" s="101"/>
      <c r="AJ73" s="1093">
        <f>ROUND(AD73-AG73,1)</f>
        <v>-24.8</v>
      </c>
      <c r="AL73" s="379">
        <f>ROUND(IF(AG73=0,0,AJ73/ABS(AG73)),3)</f>
        <v>-1</v>
      </c>
      <c r="AM73" s="1669"/>
      <c r="AN73" s="1669"/>
    </row>
    <row r="74" spans="1:40" ht="15.75">
      <c r="A74" s="296"/>
      <c r="B74" s="418" t="s">
        <v>590</v>
      </c>
      <c r="C74" s="296"/>
      <c r="D74" s="296"/>
      <c r="E74" s="269">
        <v>0</v>
      </c>
      <c r="F74" s="269"/>
      <c r="G74" s="269">
        <v>0</v>
      </c>
      <c r="H74" s="269"/>
      <c r="I74" s="269">
        <v>0</v>
      </c>
      <c r="J74" s="269"/>
      <c r="K74" s="269">
        <v>-0.2</v>
      </c>
      <c r="L74" s="269"/>
      <c r="M74" s="269">
        <v>0</v>
      </c>
      <c r="N74" s="269"/>
      <c r="O74" s="269">
        <v>-0.10000000000000003</v>
      </c>
      <c r="P74" s="269"/>
      <c r="Q74" s="269">
        <v>-9.9999999999999978E-2</v>
      </c>
      <c r="R74" s="269"/>
      <c r="S74" s="294">
        <f>$AD74-O74-Q74-M74-K74-I74-G74-E74</f>
        <v>0</v>
      </c>
      <c r="T74" s="294"/>
      <c r="U74" s="294"/>
      <c r="V74" s="269"/>
      <c r="W74" s="294"/>
      <c r="X74" s="269"/>
      <c r="Y74" s="294"/>
      <c r="Z74" s="294"/>
      <c r="AA74" s="294"/>
      <c r="AB74" s="269"/>
      <c r="AC74" s="529"/>
      <c r="AD74" s="1001">
        <v>-0.4</v>
      </c>
      <c r="AE74" s="292"/>
      <c r="AF74" s="1806"/>
      <c r="AG74" s="1001">
        <v>-0.4</v>
      </c>
      <c r="AH74" s="269"/>
      <c r="AI74" s="102"/>
      <c r="AJ74" s="1092">
        <f>-ROUND(AD74-AG74,1)</f>
        <v>0</v>
      </c>
      <c r="AL74" s="379">
        <f>ROUND(IF(AG74=0,0,AJ74/ABS(AG74)),3)</f>
        <v>0</v>
      </c>
      <c r="AM74" s="1669"/>
      <c r="AN74" s="1669"/>
    </row>
    <row r="75" spans="1:40" ht="15.75">
      <c r="A75" s="296"/>
      <c r="B75" s="296"/>
      <c r="C75" s="296"/>
      <c r="D75" s="296"/>
      <c r="E75" s="622"/>
      <c r="F75" s="269"/>
      <c r="G75" s="622"/>
      <c r="H75" s="269"/>
      <c r="I75" s="622"/>
      <c r="J75" s="269"/>
      <c r="K75" s="622"/>
      <c r="L75" s="269"/>
      <c r="M75" s="622"/>
      <c r="N75" s="269"/>
      <c r="O75" s="622"/>
      <c r="P75" s="269"/>
      <c r="Q75" s="622"/>
      <c r="R75" s="269"/>
      <c r="S75" s="622"/>
      <c r="T75" s="269"/>
      <c r="U75" s="622"/>
      <c r="V75" s="269"/>
      <c r="W75" s="624"/>
      <c r="X75" s="269"/>
      <c r="Y75" s="622"/>
      <c r="Z75" s="269"/>
      <c r="AA75" s="622"/>
      <c r="AB75" s="269"/>
      <c r="AC75" s="529"/>
      <c r="AD75" s="12"/>
      <c r="AE75" s="1251"/>
      <c r="AF75" s="529"/>
      <c r="AG75" s="12"/>
      <c r="AH75" s="12"/>
      <c r="AI75" s="102"/>
      <c r="AJ75" s="1807"/>
      <c r="AK75" s="1808"/>
      <c r="AL75" s="1809"/>
      <c r="AM75" s="1669"/>
      <c r="AN75" s="1669"/>
    </row>
    <row r="76" spans="1:40" ht="15.75">
      <c r="A76" s="296"/>
      <c r="B76" s="3" t="s">
        <v>591</v>
      </c>
      <c r="C76" s="296"/>
      <c r="D76" s="296"/>
      <c r="E76" s="16">
        <f>ROUND(SUM(E73:E75),1)</f>
        <v>0</v>
      </c>
      <c r="F76" s="269"/>
      <c r="G76" s="16">
        <v>0</v>
      </c>
      <c r="H76" s="269"/>
      <c r="I76" s="16">
        <f>ROUND(SUM(I73:I75),1)</f>
        <v>0</v>
      </c>
      <c r="J76" s="269"/>
      <c r="K76" s="16">
        <f>ROUND(SUM(K73:K75),1)</f>
        <v>-0.2</v>
      </c>
      <c r="L76" s="269"/>
      <c r="M76" s="16">
        <f>ROUND(SUM(M73:M75),1)</f>
        <v>0</v>
      </c>
      <c r="N76" s="269"/>
      <c r="O76" s="16">
        <f>ROUND(SUM(O73:O75),1)</f>
        <v>-0.1</v>
      </c>
      <c r="P76" s="269"/>
      <c r="Q76" s="16">
        <f>ROUND(SUM(Q73:Q75),1)</f>
        <v>-0.1</v>
      </c>
      <c r="R76" s="372"/>
      <c r="S76" s="16">
        <f>ROUND(SUM(S73:S75),1)</f>
        <v>0</v>
      </c>
      <c r="T76" s="269"/>
      <c r="U76" s="16">
        <f>ROUND(SUM(U73:U75),1)</f>
        <v>0</v>
      </c>
      <c r="V76" s="269"/>
      <c r="W76" s="16">
        <f>ROUND(SUM(W73:W75),1)</f>
        <v>0</v>
      </c>
      <c r="X76" s="269"/>
      <c r="Y76" s="16">
        <f>ROUND(SUM(Y73:Y75),1)</f>
        <v>0</v>
      </c>
      <c r="Z76" s="292"/>
      <c r="AA76" s="16">
        <f>ROUND(SUM(AA73:AA75),1)</f>
        <v>0</v>
      </c>
      <c r="AB76" s="269"/>
      <c r="AC76" s="529"/>
      <c r="AD76" s="16">
        <f>ROUND(SUM(AD73:AD75),1)</f>
        <v>-0.4</v>
      </c>
      <c r="AE76" s="1251"/>
      <c r="AF76" s="529"/>
      <c r="AG76" s="16">
        <f>ROUND(SUM(AG73:AG75),1)</f>
        <v>24.4</v>
      </c>
      <c r="AH76" s="269"/>
      <c r="AI76" s="102"/>
      <c r="AJ76" s="16">
        <f>ROUND(SUM(AD76-AG76),1)</f>
        <v>-24.8</v>
      </c>
      <c r="AK76" s="1808"/>
      <c r="AL76" s="545">
        <f>ROUND(IF(AG76=0,0,AJ76/ABS(AG76)),3)</f>
        <v>-1.016</v>
      </c>
      <c r="AM76" s="1669"/>
      <c r="AN76" s="1669"/>
    </row>
    <row r="77" spans="1:40" ht="15.75">
      <c r="A77" s="296"/>
      <c r="B77" s="296"/>
      <c r="C77" s="296"/>
      <c r="D77" s="296"/>
      <c r="E77" s="622"/>
      <c r="F77" s="269"/>
      <c r="G77" s="622"/>
      <c r="H77" s="269"/>
      <c r="I77" s="622"/>
      <c r="J77" s="269"/>
      <c r="K77" s="622"/>
      <c r="L77" s="269"/>
      <c r="M77" s="622"/>
      <c r="N77" s="269"/>
      <c r="O77" s="622"/>
      <c r="P77" s="269"/>
      <c r="Q77" s="622"/>
      <c r="R77" s="269"/>
      <c r="S77" s="622"/>
      <c r="T77" s="269"/>
      <c r="U77" s="622"/>
      <c r="V77" s="269"/>
      <c r="W77" s="622"/>
      <c r="X77" s="269"/>
      <c r="Y77" s="622"/>
      <c r="Z77" s="269"/>
      <c r="AA77" s="622"/>
      <c r="AB77" s="269"/>
      <c r="AC77" s="529"/>
      <c r="AD77" s="622"/>
      <c r="AE77" s="1251"/>
      <c r="AF77" s="529"/>
      <c r="AG77" s="622"/>
      <c r="AH77" s="269"/>
      <c r="AI77" s="102"/>
      <c r="AJ77" s="622"/>
      <c r="AL77" s="1045"/>
      <c r="AM77" s="1669"/>
      <c r="AN77" s="1669"/>
    </row>
    <row r="78" spans="1:40" ht="15.75">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51"/>
      <c r="AF78" s="529"/>
      <c r="AG78" s="269"/>
      <c r="AH78" s="269"/>
      <c r="AI78" s="102"/>
      <c r="AJ78" s="12"/>
      <c r="AL78" s="100"/>
      <c r="AM78" s="1669"/>
      <c r="AN78" s="1669"/>
    </row>
    <row r="79" spans="1:40" ht="15.75">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51"/>
      <c r="AF79" s="529"/>
      <c r="AG79" s="269"/>
      <c r="AH79" s="269"/>
      <c r="AI79" s="102"/>
      <c r="AJ79" s="12"/>
      <c r="AL79" s="100"/>
      <c r="AM79" s="1669"/>
      <c r="AN79" s="1669"/>
    </row>
    <row r="80" spans="1:40" ht="15.75">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-3.4</v>
      </c>
      <c r="N80" s="269"/>
      <c r="O80" s="362">
        <f>ROUND(O70+O76,1)</f>
        <v>-14</v>
      </c>
      <c r="P80" s="269"/>
      <c r="Q80" s="362">
        <f>ROUND(Q70+Q76,1)</f>
        <v>50</v>
      </c>
      <c r="R80" s="269"/>
      <c r="S80" s="362">
        <f>ROUND(S70+S76,1)</f>
        <v>12.6</v>
      </c>
      <c r="T80" s="269"/>
      <c r="U80" s="362">
        <f>ROUND(U70+U76,1)</f>
        <v>0</v>
      </c>
      <c r="V80" s="269"/>
      <c r="W80" s="362">
        <f>ROUND(W70+W76,1)</f>
        <v>0</v>
      </c>
      <c r="X80" s="269"/>
      <c r="Y80" s="362">
        <f>ROUND(Y70+Y76,1)</f>
        <v>0</v>
      </c>
      <c r="Z80" s="269"/>
      <c r="AA80" s="362">
        <f>ROUND(AA70+AA76,1)</f>
        <v>0</v>
      </c>
      <c r="AB80" s="269"/>
      <c r="AC80" s="530"/>
      <c r="AD80" s="362">
        <f>ROUND(AD70+AD76,1)</f>
        <v>38.5</v>
      </c>
      <c r="AE80" s="1810"/>
      <c r="AF80" s="869"/>
      <c r="AG80" s="362">
        <f>ROUND(AG70+AG76,1)</f>
        <v>93.9</v>
      </c>
      <c r="AH80" s="617"/>
      <c r="AI80" s="1811"/>
      <c r="AJ80" s="362">
        <f>ROUND(AD80-AG80,1)</f>
        <v>-55.4</v>
      </c>
      <c r="AK80" s="13"/>
      <c r="AL80" s="545">
        <f>ROUND(SUM(AD80-AG80)/ABS(AG80),3)</f>
        <v>-0.59</v>
      </c>
      <c r="AM80" s="1669"/>
      <c r="AN80" s="1669"/>
    </row>
    <row r="81" spans="1:40" ht="15.75">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12"/>
      <c r="AF81" s="1813"/>
      <c r="AG81" s="20"/>
      <c r="AH81" s="1812"/>
      <c r="AI81" s="1814"/>
      <c r="AJ81" s="20"/>
      <c r="AK81" s="3"/>
      <c r="AL81" s="549"/>
      <c r="AM81" s="1669"/>
      <c r="AN81" s="1669"/>
    </row>
    <row r="82" spans="1:40" ht="16.5"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-388.8</v>
      </c>
      <c r="N82" s="269"/>
      <c r="O82" s="73">
        <f>ROUND(SUM(O13+O80),1)</f>
        <v>-402.8</v>
      </c>
      <c r="P82" s="269"/>
      <c r="Q82" s="73">
        <f>ROUND(SUM(Q13+Q80),1)</f>
        <v>-352.8</v>
      </c>
      <c r="R82" s="269"/>
      <c r="S82" s="73">
        <f>ROUND(SUM(S13+S80),1)</f>
        <v>-340.2</v>
      </c>
      <c r="T82" s="269"/>
      <c r="U82" s="73">
        <f>ROUND(SUM(U13+U80),1)</f>
        <v>0</v>
      </c>
      <c r="V82" s="269"/>
      <c r="W82" s="73">
        <f>ROUND(SUM(W13+W80),1)</f>
        <v>0</v>
      </c>
      <c r="X82" s="269"/>
      <c r="Y82" s="73">
        <f>ROUND(SUM(Y13+Y80),1)</f>
        <v>0</v>
      </c>
      <c r="Z82" s="269"/>
      <c r="AA82" s="73">
        <f>ROUND(SUM(AA13+AA80),1)</f>
        <v>0</v>
      </c>
      <c r="AB82" s="269"/>
      <c r="AC82" s="530"/>
      <c r="AD82" s="73">
        <f>ROUND(SUM(AD13+AD80),1)</f>
        <v>-340.2</v>
      </c>
      <c r="AE82" s="1812"/>
      <c r="AF82" s="1813"/>
      <c r="AG82" s="73">
        <f>ROUND(SUM(AG13+AG80),1)</f>
        <v>-478.9</v>
      </c>
      <c r="AH82" s="1812"/>
      <c r="AI82" s="1814"/>
      <c r="AJ82" s="73">
        <f>ROUND(SUM(AJ13+AJ80),1)</f>
        <v>138.69999999999999</v>
      </c>
      <c r="AK82" s="3"/>
      <c r="AL82" s="990">
        <f>ROUND(SUM(AD82-AG82)/ABS(AG82),3)</f>
        <v>0.28999999999999998</v>
      </c>
      <c r="AM82" s="1669"/>
      <c r="AN82" s="1669"/>
    </row>
    <row r="83" spans="1:40" ht="16.5"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15"/>
    </row>
    <row r="84" spans="1:40">
      <c r="A84" s="296"/>
      <c r="B84" s="939"/>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900"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formula="1"/>
    <ignoredError sqref="AL28" formula="1" unlockedFormula="1"/>
    <ignoredError sqref="G42 I42 K42 M42 O42 Q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zoomScaleNormal="90" workbookViewId="0"/>
  </sheetViews>
  <sheetFormatPr defaultColWidth="8.88671875" defaultRowHeight="15"/>
  <cols>
    <col min="1" max="1" width="40.109375" style="61" customWidth="1"/>
    <col min="2" max="2" width="1.88671875" style="61" customWidth="1"/>
    <col min="3" max="3" width="11.88671875" style="61" customWidth="1"/>
    <col min="4" max="4" width="1.88671875" style="61" customWidth="1"/>
    <col min="5" max="5" width="11.88671875" style="61" customWidth="1"/>
    <col min="6" max="6" width="1.88671875" style="61" customWidth="1"/>
    <col min="7" max="7" width="11.88671875" style="61" customWidth="1"/>
    <col min="8" max="8" width="1.88671875" style="61" customWidth="1"/>
    <col min="9" max="9" width="11.88671875" style="61" customWidth="1"/>
    <col min="10" max="10" width="1.5546875" style="61" customWidth="1"/>
    <col min="11" max="11" width="11.88671875" style="61" customWidth="1"/>
    <col min="12" max="12" width="1.5546875" style="61" customWidth="1"/>
    <col min="13" max="13" width="12.88671875" style="61" customWidth="1"/>
    <col min="14" max="14" width="1.88671875" style="61" customWidth="1"/>
    <col min="15" max="15" width="11.88671875" style="61" customWidth="1"/>
    <col min="16" max="16" width="1.88671875" style="61" customWidth="1"/>
    <col min="17" max="17" width="11.88671875" style="61" customWidth="1"/>
    <col min="18" max="18" width="1.88671875" style="61" customWidth="1"/>
    <col min="19" max="19" width="11.88671875" style="61" customWidth="1"/>
    <col min="20" max="20" width="1.88671875" style="61" customWidth="1"/>
    <col min="21" max="21" width="11.88671875" style="61" customWidth="1"/>
    <col min="22" max="22" width="1.88671875" style="61" customWidth="1"/>
    <col min="23" max="23" width="11.88671875" style="61" customWidth="1"/>
    <col min="24" max="24" width="1.88671875" style="61" customWidth="1"/>
    <col min="25" max="25" width="11.88671875" style="61" customWidth="1"/>
    <col min="26" max="27" width="1.109375" style="61" customWidth="1"/>
    <col min="28" max="28" width="11.88671875" style="61" customWidth="1"/>
    <col min="29" max="30" width="1.109375" style="61" customWidth="1"/>
    <col min="31" max="31" width="11.88671875" style="61" customWidth="1"/>
    <col min="32" max="32" width="1.109375" style="111" customWidth="1"/>
    <col min="33" max="33" width="1.109375" style="296" customWidth="1"/>
    <col min="34" max="34" width="11.88671875" style="296" customWidth="1"/>
    <col min="35" max="35" width="1.88671875" style="296" customWidth="1"/>
    <col min="36" max="36" width="11.88671875" style="296" customWidth="1"/>
    <col min="37" max="38" width="9.109375" style="61" bestFit="1" customWidth="1"/>
    <col min="39" max="16384" width="8.8867187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ht="15.75">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592</v>
      </c>
    </row>
    <row r="4" spans="1:38" ht="15.75">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ht="15.75">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4"/>
      <c r="AK5" s="191"/>
    </row>
    <row r="6" spans="1:38" ht="15.75">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ht="15.75">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ht="15.75">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49"/>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ht="15.75">
      <c r="A10" s="65"/>
      <c r="B10" s="65"/>
      <c r="C10" s="1149"/>
      <c r="D10" s="65"/>
      <c r="E10" s="65"/>
      <c r="F10" s="65"/>
      <c r="G10" s="65"/>
      <c r="H10" s="65"/>
      <c r="I10" s="65"/>
      <c r="J10" s="65"/>
      <c r="K10" s="65"/>
      <c r="L10" s="65"/>
      <c r="M10" s="65"/>
      <c r="N10" s="65"/>
      <c r="O10" s="65"/>
      <c r="P10" s="65"/>
      <c r="Q10" s="65"/>
      <c r="R10" s="65"/>
      <c r="S10" s="65"/>
      <c r="T10" s="65"/>
      <c r="U10" s="65"/>
      <c r="V10" s="65"/>
      <c r="W10" s="65"/>
      <c r="X10" s="65"/>
      <c r="Y10" s="65"/>
      <c r="Z10" s="65"/>
      <c r="AA10" s="2100" t="str">
        <f>'Cashflow Governmental'!$AB$12</f>
        <v>8 Months Ended November 30</v>
      </c>
      <c r="AB10" s="2100"/>
      <c r="AC10" s="2100"/>
      <c r="AD10" s="2100"/>
      <c r="AE10" s="2100"/>
      <c r="AF10" s="2100"/>
      <c r="AG10" s="2100"/>
      <c r="AH10" s="2100"/>
      <c r="AI10" s="2100"/>
      <c r="AJ10" s="2100"/>
    </row>
    <row r="11" spans="1:38" ht="15.75">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94"/>
      <c r="AG11" s="1595"/>
      <c r="AH11" s="325" t="s">
        <v>110</v>
      </c>
      <c r="AI11" s="325"/>
      <c r="AJ11" s="323" t="s">
        <v>111</v>
      </c>
    </row>
    <row r="12" spans="1:38" ht="15.75">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2025</v>
      </c>
      <c r="AC12" s="191" t="s">
        <v>103</v>
      </c>
      <c r="AD12" s="191"/>
      <c r="AE12" s="564" t="str">
        <f>'Cashflow Governmental'!AE14</f>
        <v>2024</v>
      </c>
      <c r="AF12" s="296"/>
      <c r="AG12" s="1596"/>
      <c r="AH12" s="421" t="s">
        <v>112</v>
      </c>
      <c r="AI12" s="325"/>
      <c r="AJ12" s="421" t="s">
        <v>113</v>
      </c>
    </row>
    <row r="13" spans="1:38" ht="8.85" customHeight="1">
      <c r="A13" s="65"/>
      <c r="B13" s="65"/>
      <c r="C13" s="1027"/>
      <c r="D13" s="65"/>
      <c r="E13" s="1027"/>
      <c r="F13" s="65"/>
      <c r="G13" s="1027"/>
      <c r="H13" s="65"/>
      <c r="I13" s="1027"/>
      <c r="J13" s="65"/>
      <c r="K13" s="1027"/>
      <c r="L13" s="65"/>
      <c r="M13" s="1027"/>
      <c r="N13" s="65"/>
      <c r="O13" s="1027"/>
      <c r="P13" s="65"/>
      <c r="Q13" s="1027"/>
      <c r="R13" s="65"/>
      <c r="S13" s="1027"/>
      <c r="T13" s="65"/>
      <c r="U13" s="1027"/>
      <c r="V13" s="65"/>
      <c r="W13" s="1027"/>
      <c r="X13" s="65"/>
      <c r="Y13" s="1027"/>
      <c r="Z13" s="65"/>
      <c r="AA13" s="65"/>
      <c r="AB13" s="1027"/>
      <c r="AC13" s="65"/>
      <c r="AD13" s="65"/>
      <c r="AE13" s="1027"/>
      <c r="AF13" s="296"/>
      <c r="AG13" s="1596"/>
    </row>
    <row r="14" spans="1:38" ht="15.75">
      <c r="A14" s="192" t="s">
        <v>344</v>
      </c>
      <c r="B14" s="65"/>
      <c r="C14" s="86">
        <v>970.3</v>
      </c>
      <c r="D14" s="194"/>
      <c r="E14" s="194">
        <f>C49</f>
        <v>864.8</v>
      </c>
      <c r="F14" s="194"/>
      <c r="G14" s="194">
        <f>E49</f>
        <v>832.7</v>
      </c>
      <c r="H14" s="1597"/>
      <c r="I14" s="194">
        <f>G49</f>
        <v>859.8</v>
      </c>
      <c r="J14" s="194"/>
      <c r="K14" s="194">
        <f>I49</f>
        <v>834.7</v>
      </c>
      <c r="L14" s="1597"/>
      <c r="M14" s="194">
        <f>K49</f>
        <v>1002.1</v>
      </c>
      <c r="N14" s="1597"/>
      <c r="O14" s="194">
        <f>M49</f>
        <v>1016.5</v>
      </c>
      <c r="P14" s="1597"/>
      <c r="Q14" s="194">
        <f>O49</f>
        <v>1066.3</v>
      </c>
      <c r="R14" s="194"/>
      <c r="S14" s="194"/>
      <c r="T14" s="194"/>
      <c r="U14" s="194"/>
      <c r="V14" s="194"/>
      <c r="W14" s="194"/>
      <c r="X14" s="194"/>
      <c r="Y14" s="194"/>
      <c r="Z14" s="194"/>
      <c r="AA14" s="871"/>
      <c r="AB14" s="194">
        <f>C14</f>
        <v>970.3</v>
      </c>
      <c r="AC14" s="194"/>
      <c r="AD14" s="871"/>
      <c r="AE14" s="2002">
        <v>648</v>
      </c>
      <c r="AF14" s="293"/>
      <c r="AG14" s="1771"/>
      <c r="AH14" s="20">
        <f>ROUND(SUM(AB14-AE14),1)</f>
        <v>322.3</v>
      </c>
      <c r="AJ14" s="1798">
        <f>ROUND(IF(AH14=0,0,AH14/(AE14)),3)</f>
        <v>0.497</v>
      </c>
      <c r="AK14" s="1568"/>
      <c r="AL14" s="1568"/>
    </row>
    <row r="15" spans="1:38" ht="15.75">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2"/>
      <c r="AB15" s="65" t="s">
        <v>103</v>
      </c>
      <c r="AC15" s="65"/>
      <c r="AD15" s="872"/>
      <c r="AE15" s="65" t="s">
        <v>103</v>
      </c>
      <c r="AF15" s="26"/>
      <c r="AG15" s="1771"/>
      <c r="AJ15" s="1799"/>
      <c r="AK15" s="1568"/>
      <c r="AL15" s="1568"/>
    </row>
    <row r="16" spans="1:38" ht="15.75">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2"/>
      <c r="AB16" s="65"/>
      <c r="AC16" s="65"/>
      <c r="AD16" s="872"/>
      <c r="AE16" s="65"/>
      <c r="AF16" s="269"/>
      <c r="AG16" s="1771"/>
      <c r="AJ16" s="1799"/>
      <c r="AK16" s="1568"/>
      <c r="AL16" s="1568"/>
    </row>
    <row r="17" spans="1:38">
      <c r="A17" s="65" t="s">
        <v>594</v>
      </c>
      <c r="B17" s="65"/>
      <c r="C17" s="198">
        <v>151.9</v>
      </c>
      <c r="D17" s="198"/>
      <c r="E17" s="198">
        <v>312.5</v>
      </c>
      <c r="F17" s="198"/>
      <c r="G17" s="198">
        <v>241.5</v>
      </c>
      <c r="H17" s="109"/>
      <c r="I17" s="198">
        <v>300.70000000000005</v>
      </c>
      <c r="J17" s="109"/>
      <c r="K17" s="198">
        <v>661.99999999999989</v>
      </c>
      <c r="L17" s="109"/>
      <c r="M17" s="198">
        <v>361.50000000000011</v>
      </c>
      <c r="N17" s="109"/>
      <c r="O17" s="198">
        <v>340.20000000000016</v>
      </c>
      <c r="P17" s="109"/>
      <c r="Q17" s="198">
        <f>$AB17-M17-O17-K17-I17-G17-E17-C17</f>
        <v>333.99999999999989</v>
      </c>
      <c r="R17" s="198"/>
      <c r="S17" s="198"/>
      <c r="T17" s="198"/>
      <c r="U17" s="198"/>
      <c r="V17" s="198"/>
      <c r="W17" s="198"/>
      <c r="X17" s="198"/>
      <c r="Y17" s="198"/>
      <c r="Z17" s="198"/>
      <c r="AA17" s="875"/>
      <c r="AB17" s="537">
        <v>2704.3</v>
      </c>
      <c r="AC17" s="269"/>
      <c r="AD17" s="530" t="s">
        <v>103</v>
      </c>
      <c r="AE17" s="537">
        <v>2241.8000000000002</v>
      </c>
      <c r="AF17" s="269"/>
      <c r="AG17" s="1771"/>
      <c r="AH17" s="429">
        <f>ROUND(AB17-AE17,1)</f>
        <v>462.5</v>
      </c>
      <c r="AI17" s="273"/>
      <c r="AJ17" s="548">
        <f>ROUND(IF(AE17=0,0,AH17/ABS(AE17)),3)</f>
        <v>0.20599999999999999</v>
      </c>
      <c r="AK17" s="1568"/>
      <c r="AL17" s="1568"/>
    </row>
    <row r="18" spans="1:38" ht="15.75">
      <c r="A18" s="192" t="s">
        <v>1477</v>
      </c>
      <c r="B18" s="65"/>
      <c r="C18" s="198">
        <v>1</v>
      </c>
      <c r="D18" s="198"/>
      <c r="E18" s="198">
        <v>1</v>
      </c>
      <c r="F18" s="109"/>
      <c r="G18" s="198">
        <v>1</v>
      </c>
      <c r="H18" s="109"/>
      <c r="I18" s="198">
        <v>1.2999999999999998</v>
      </c>
      <c r="J18" s="109"/>
      <c r="K18" s="198">
        <v>1</v>
      </c>
      <c r="L18" s="109"/>
      <c r="M18" s="198">
        <v>1.2999999999999998</v>
      </c>
      <c r="N18" s="109"/>
      <c r="O18" s="198">
        <v>2.3000000000000007</v>
      </c>
      <c r="P18" s="109"/>
      <c r="Q18" s="198">
        <f t="shared" ref="Q18:Q19" si="0">$AB18-M18-O18-K18-I18-G18-E18-C18</f>
        <v>4.7</v>
      </c>
      <c r="R18" s="109"/>
      <c r="S18" s="198"/>
      <c r="T18" s="109"/>
      <c r="U18" s="198"/>
      <c r="V18" s="109"/>
      <c r="W18" s="198"/>
      <c r="X18" s="109"/>
      <c r="Y18" s="198"/>
      <c r="Z18" s="198"/>
      <c r="AA18" s="875"/>
      <c r="AB18" s="537">
        <v>13.6</v>
      </c>
      <c r="AC18" s="269"/>
      <c r="AD18" s="530" t="s">
        <v>103</v>
      </c>
      <c r="AE18" s="537">
        <v>10.199999999999999</v>
      </c>
      <c r="AF18" s="269"/>
      <c r="AG18" s="1771"/>
      <c r="AH18" s="429">
        <f>ROUND(AB18-AE18,1)</f>
        <v>3.4</v>
      </c>
      <c r="AI18" s="273"/>
      <c r="AJ18" s="548">
        <f>ROUND(IF(AE18=0,0,AH18/ABS(AE18)),3)</f>
        <v>0.33300000000000002</v>
      </c>
      <c r="AK18" s="1568"/>
      <c r="AL18" s="1568"/>
    </row>
    <row r="19" spans="1:38">
      <c r="A19" s="1033" t="s">
        <v>595</v>
      </c>
      <c r="B19" s="65"/>
      <c r="C19" s="198">
        <v>238.9</v>
      </c>
      <c r="D19" s="198"/>
      <c r="E19" s="198">
        <v>206.49999999999997</v>
      </c>
      <c r="F19" s="109"/>
      <c r="G19" s="198">
        <v>234.9</v>
      </c>
      <c r="H19" s="109"/>
      <c r="I19" s="198">
        <v>256.30000000000007</v>
      </c>
      <c r="J19" s="109"/>
      <c r="K19" s="198">
        <v>238.1999999999999</v>
      </c>
      <c r="L19" s="109"/>
      <c r="M19" s="198">
        <v>253.40000000000018</v>
      </c>
      <c r="N19" s="109"/>
      <c r="O19" s="198">
        <v>262.30000000000007</v>
      </c>
      <c r="P19" s="109"/>
      <c r="Q19" s="198">
        <f t="shared" si="0"/>
        <v>292.70000000000016</v>
      </c>
      <c r="R19" s="109"/>
      <c r="S19" s="198"/>
      <c r="T19" s="109"/>
      <c r="U19" s="198"/>
      <c r="V19" s="109"/>
      <c r="W19" s="198"/>
      <c r="X19" s="109"/>
      <c r="Y19" s="198"/>
      <c r="Z19" s="198"/>
      <c r="AA19" s="875"/>
      <c r="AB19" s="537">
        <v>1983.2</v>
      </c>
      <c r="AC19" s="269"/>
      <c r="AD19" s="530" t="s">
        <v>103</v>
      </c>
      <c r="AE19" s="537">
        <v>1841.6</v>
      </c>
      <c r="AF19" s="280"/>
      <c r="AG19" s="408"/>
      <c r="AH19" s="1092">
        <f>ROUND(AB19-AE19,1)</f>
        <v>141.6</v>
      </c>
      <c r="AI19" s="273"/>
      <c r="AJ19" s="1041">
        <f>ROUND(IF(AE19=0,0,AH19/ABS(AE19)),3)</f>
        <v>7.6999999999999999E-2</v>
      </c>
      <c r="AK19" s="1568"/>
      <c r="AL19" s="1568"/>
    </row>
    <row r="20" spans="1:38">
      <c r="A20" s="65"/>
      <c r="B20" s="65"/>
      <c r="C20" s="1037"/>
      <c r="D20" s="198"/>
      <c r="E20" s="1599"/>
      <c r="F20" s="109"/>
      <c r="G20" s="1599"/>
      <c r="H20" s="109"/>
      <c r="I20" s="1599"/>
      <c r="J20" s="109"/>
      <c r="K20" s="1599"/>
      <c r="L20" s="109"/>
      <c r="M20" s="1599"/>
      <c r="N20" s="109"/>
      <c r="O20" s="1599"/>
      <c r="P20" s="109"/>
      <c r="Q20" s="1599"/>
      <c r="R20" s="109"/>
      <c r="S20" s="1599"/>
      <c r="T20" s="109"/>
      <c r="U20" s="1599"/>
      <c r="V20" s="109"/>
      <c r="W20" s="1600"/>
      <c r="X20" s="109"/>
      <c r="Y20" s="1599"/>
      <c r="Z20" s="198"/>
      <c r="AA20" s="875"/>
      <c r="AB20" s="1037"/>
      <c r="AC20" s="198"/>
      <c r="AD20" s="875"/>
      <c r="AE20" s="1037"/>
      <c r="AF20" s="294"/>
      <c r="AG20" s="408"/>
      <c r="AH20" s="269"/>
      <c r="AJ20" s="1799"/>
      <c r="AK20" s="1568"/>
      <c r="AL20" s="1568"/>
    </row>
    <row r="21" spans="1:38" ht="15.75">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604.79999999999995</v>
      </c>
      <c r="P21" s="208"/>
      <c r="Q21" s="208">
        <f>ROUND(SUM(Q17:Q20),1)</f>
        <v>631.4</v>
      </c>
      <c r="R21" s="208"/>
      <c r="S21" s="208">
        <f>ROUND(SUM(S17:S20),1)</f>
        <v>0</v>
      </c>
      <c r="T21" s="208"/>
      <c r="U21" s="208">
        <f>ROUND(SUM(U17:U20),1)</f>
        <v>0</v>
      </c>
      <c r="V21" s="208"/>
      <c r="W21" s="208">
        <f>ROUND(SUM(W17:W20),1)</f>
        <v>0</v>
      </c>
      <c r="X21" s="208"/>
      <c r="Y21" s="208">
        <f>ROUND(SUM(Y17:Y20),1)</f>
        <v>0</v>
      </c>
      <c r="Z21" s="201"/>
      <c r="AA21" s="878"/>
      <c r="AB21" s="208">
        <f>ROUND(SUM(AB17:AB20),1)</f>
        <v>4701.1000000000004</v>
      </c>
      <c r="AC21" s="1800"/>
      <c r="AD21" s="201"/>
      <c r="AE21" s="208">
        <f>ROUND(SUM(AE17:AE20),1)</f>
        <v>4093.6</v>
      </c>
      <c r="AF21" s="280"/>
      <c r="AG21" s="408"/>
      <c r="AH21" s="362">
        <f>ROUND(SUM(AH17:AH19),1)</f>
        <v>607.5</v>
      </c>
      <c r="AI21" s="40"/>
      <c r="AJ21" s="1776">
        <f>ROUND(IF(AH21=0,0,AH21/ABS(AE21)),3)</f>
        <v>0.14799999999999999</v>
      </c>
      <c r="AK21" s="1568"/>
      <c r="AL21" s="1568"/>
    </row>
    <row r="22" spans="1:38">
      <c r="A22" s="65"/>
      <c r="B22" s="65"/>
      <c r="C22" s="1037"/>
      <c r="D22" s="198"/>
      <c r="E22" s="1599"/>
      <c r="F22" s="109"/>
      <c r="G22" s="1599"/>
      <c r="H22" s="109"/>
      <c r="I22" s="1599"/>
      <c r="J22" s="109"/>
      <c r="K22" s="1599"/>
      <c r="L22" s="109"/>
      <c r="M22" s="1599"/>
      <c r="N22" s="109"/>
      <c r="O22" s="1599"/>
      <c r="P22" s="109"/>
      <c r="Q22" s="1599"/>
      <c r="R22" s="109"/>
      <c r="S22" s="1599"/>
      <c r="T22" s="109"/>
      <c r="U22" s="1599"/>
      <c r="V22" s="109"/>
      <c r="W22" s="1599"/>
      <c r="X22" s="109"/>
      <c r="Y22" s="1599"/>
      <c r="Z22" s="198"/>
      <c r="AA22" s="875"/>
      <c r="AB22" s="1037"/>
      <c r="AC22" s="198"/>
      <c r="AD22" s="875"/>
      <c r="AE22" s="1037"/>
      <c r="AF22" s="294"/>
      <c r="AG22" s="408"/>
      <c r="AH22" s="269"/>
      <c r="AJ22" s="1799"/>
      <c r="AK22" s="1568"/>
      <c r="AL22" s="1568"/>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5"/>
      <c r="AB23" s="198"/>
      <c r="AC23" s="198"/>
      <c r="AD23" s="875"/>
      <c r="AE23" s="198"/>
      <c r="AF23" s="269"/>
      <c r="AG23" s="1771"/>
      <c r="AH23" s="269"/>
      <c r="AJ23" s="1603"/>
      <c r="AK23" s="1568"/>
      <c r="AL23" s="1568"/>
    </row>
    <row r="24" spans="1:38" ht="15.75">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5"/>
      <c r="AB24" s="198"/>
      <c r="AC24" s="198"/>
      <c r="AD24" s="875"/>
      <c r="AE24" s="198"/>
      <c r="AF24" s="269"/>
      <c r="AG24" s="1771"/>
      <c r="AH24" s="269"/>
      <c r="AI24" s="1601"/>
      <c r="AJ24" s="1603"/>
      <c r="AK24" s="1568"/>
      <c r="AL24" s="1568"/>
    </row>
    <row r="25" spans="1:38" ht="15.75">
      <c r="A25" s="65" t="s">
        <v>456</v>
      </c>
      <c r="B25" s="65"/>
      <c r="C25" s="198"/>
      <c r="D25" s="198"/>
      <c r="E25" s="198"/>
      <c r="F25" s="109"/>
      <c r="G25" s="109"/>
      <c r="H25" s="109"/>
      <c r="I25" s="109"/>
      <c r="J25" s="109"/>
      <c r="K25" s="109"/>
      <c r="L25" s="109"/>
      <c r="M25" s="109"/>
      <c r="N25" s="109"/>
      <c r="O25" s="109"/>
      <c r="P25" s="109"/>
      <c r="Q25" s="109"/>
      <c r="R25" s="109"/>
      <c r="S25" s="1602"/>
      <c r="T25" s="109"/>
      <c r="U25" s="109"/>
      <c r="V25" s="109"/>
      <c r="W25" s="109"/>
      <c r="X25" s="109"/>
      <c r="Y25" s="109"/>
      <c r="Z25" s="198"/>
      <c r="AA25" s="875"/>
      <c r="AB25" s="198"/>
      <c r="AC25" s="198"/>
      <c r="AD25" s="875"/>
      <c r="AE25" s="198"/>
      <c r="AF25" s="26"/>
      <c r="AG25" s="408"/>
      <c r="AH25" s="269"/>
      <c r="AJ25" s="1603"/>
      <c r="AK25" s="1568"/>
      <c r="AL25" s="1568"/>
    </row>
    <row r="26" spans="1:38">
      <c r="A26" s="65" t="s">
        <v>596</v>
      </c>
      <c r="B26" s="65"/>
      <c r="C26" s="198">
        <v>144.80000000000001</v>
      </c>
      <c r="D26" s="198"/>
      <c r="E26" s="198">
        <v>235.99999999999994</v>
      </c>
      <c r="F26" s="109"/>
      <c r="G26" s="198">
        <v>134.30000000000007</v>
      </c>
      <c r="H26" s="109"/>
      <c r="I26" s="198">
        <v>154.79999999999995</v>
      </c>
      <c r="J26" s="109"/>
      <c r="K26" s="198">
        <v>285.89999999999998</v>
      </c>
      <c r="L26" s="109"/>
      <c r="M26" s="198">
        <v>154.59999999999991</v>
      </c>
      <c r="N26" s="109"/>
      <c r="O26" s="198">
        <v>239.3000000000003</v>
      </c>
      <c r="P26" s="109"/>
      <c r="Q26" s="198">
        <f>$AB26-M26-O26-K26-I26-G26-E26-C26</f>
        <v>160.59999999999968</v>
      </c>
      <c r="R26" s="109"/>
      <c r="S26" s="198"/>
      <c r="T26" s="109"/>
      <c r="U26" s="198"/>
      <c r="V26" s="109"/>
      <c r="W26" s="198"/>
      <c r="X26" s="109"/>
      <c r="Y26" s="198"/>
      <c r="Z26" s="198"/>
      <c r="AA26" s="875"/>
      <c r="AB26" s="537">
        <v>1510.3</v>
      </c>
      <c r="AC26" s="269"/>
      <c r="AD26" s="530" t="s">
        <v>103</v>
      </c>
      <c r="AE26" s="537">
        <v>1254.4000000000001</v>
      </c>
      <c r="AF26" s="269"/>
      <c r="AG26" s="1780"/>
      <c r="AH26" s="269">
        <f>ROUND(SUM(AB26-AE26),1)</f>
        <v>255.9</v>
      </c>
      <c r="AJ26" s="1627">
        <f>ROUND(IF(AH26=0,0,AH26/ABS(AE26)),3)</f>
        <v>0.20399999999999999</v>
      </c>
      <c r="AK26" s="1568"/>
      <c r="AL26" s="1568"/>
    </row>
    <row r="27" spans="1:38">
      <c r="A27" s="65" t="s">
        <v>538</v>
      </c>
      <c r="B27" s="65"/>
      <c r="C27" s="198">
        <v>41.2</v>
      </c>
      <c r="D27" s="198"/>
      <c r="E27" s="198">
        <v>41.2</v>
      </c>
      <c r="F27" s="109"/>
      <c r="G27" s="198">
        <v>45.699999999999989</v>
      </c>
      <c r="H27" s="109"/>
      <c r="I27" s="198">
        <v>45.8</v>
      </c>
      <c r="J27" s="109"/>
      <c r="K27" s="198">
        <v>128.80000000000001</v>
      </c>
      <c r="L27" s="109"/>
      <c r="M27" s="198">
        <v>177.8</v>
      </c>
      <c r="N27" s="109"/>
      <c r="O27" s="198">
        <v>49.899999999999949</v>
      </c>
      <c r="P27" s="109"/>
      <c r="Q27" s="198">
        <f t="shared" ref="Q27:Q29" si="1">$AB27-M27-O27-K27-I27-G27-E27-C27</f>
        <v>37.300000000000097</v>
      </c>
      <c r="R27" s="109"/>
      <c r="S27" s="198"/>
      <c r="T27" s="109"/>
      <c r="U27" s="198"/>
      <c r="V27" s="109"/>
      <c r="W27" s="198"/>
      <c r="X27" s="109"/>
      <c r="Y27" s="198"/>
      <c r="Z27" s="198"/>
      <c r="AA27" s="875"/>
      <c r="AB27" s="537">
        <v>567.70000000000005</v>
      </c>
      <c r="AC27" s="269"/>
      <c r="AD27" s="530" t="s">
        <v>103</v>
      </c>
      <c r="AE27" s="537">
        <v>559.70000000000005</v>
      </c>
      <c r="AF27" s="269"/>
      <c r="AG27" s="1780"/>
      <c r="AH27" s="269">
        <f>ROUND(SUM(AB27-AE27),1)</f>
        <v>8</v>
      </c>
      <c r="AJ27" s="1627">
        <f t="shared" ref="AJ27:AJ28" si="2">ROUND(IF(AH27=0,0,AH27/ABS(AE27)),3)</f>
        <v>1.4E-2</v>
      </c>
      <c r="AK27" s="1568"/>
      <c r="AL27" s="1568"/>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v>90.899999999999991</v>
      </c>
      <c r="N28" s="109"/>
      <c r="O28" s="198">
        <v>45.400000000000063</v>
      </c>
      <c r="P28" s="109"/>
      <c r="Q28" s="198">
        <f t="shared" si="1"/>
        <v>80.199999999999889</v>
      </c>
      <c r="R28" s="109"/>
      <c r="S28" s="198"/>
      <c r="T28" s="109"/>
      <c r="U28" s="198"/>
      <c r="V28" s="109"/>
      <c r="W28" s="198"/>
      <c r="X28" s="109"/>
      <c r="Y28" s="198"/>
      <c r="Z28" s="198"/>
      <c r="AA28" s="875"/>
      <c r="AB28" s="537">
        <v>594.9</v>
      </c>
      <c r="AC28" s="269"/>
      <c r="AD28" s="530" t="s">
        <v>103</v>
      </c>
      <c r="AE28" s="537">
        <v>513.4</v>
      </c>
      <c r="AF28" s="280"/>
      <c r="AG28" s="1785"/>
      <c r="AH28" s="269">
        <f>ROUND(SUM(AB28-AE28),1)</f>
        <v>81.5</v>
      </c>
      <c r="AJ28" s="1627">
        <f t="shared" si="2"/>
        <v>0.159</v>
      </c>
      <c r="AK28" s="1568"/>
      <c r="AL28" s="1568"/>
    </row>
    <row r="29" spans="1:38">
      <c r="A29" s="1033" t="s">
        <v>597</v>
      </c>
      <c r="B29" s="65"/>
      <c r="C29" s="198">
        <v>240</v>
      </c>
      <c r="D29" s="198"/>
      <c r="E29" s="198">
        <v>207.39999999999998</v>
      </c>
      <c r="F29" s="109"/>
      <c r="G29" s="198">
        <v>6235.9000000000005</v>
      </c>
      <c r="H29" s="109"/>
      <c r="I29" s="198">
        <v>257.59999999999945</v>
      </c>
      <c r="J29" s="109"/>
      <c r="K29" s="198">
        <v>239.10000000000002</v>
      </c>
      <c r="L29" s="109"/>
      <c r="M29" s="198">
        <v>254.99999999999966</v>
      </c>
      <c r="N29" s="109"/>
      <c r="O29" s="198">
        <v>220.3999999999993</v>
      </c>
      <c r="P29" s="109"/>
      <c r="Q29" s="198">
        <f t="shared" si="1"/>
        <v>297.4000000000002</v>
      </c>
      <c r="R29" s="109"/>
      <c r="S29" s="198"/>
      <c r="T29" s="109"/>
      <c r="U29" s="198"/>
      <c r="V29" s="109"/>
      <c r="W29" s="198"/>
      <c r="X29" s="109"/>
      <c r="Y29" s="198"/>
      <c r="Z29" s="198"/>
      <c r="AA29" s="875"/>
      <c r="AB29" s="537">
        <v>7952.8</v>
      </c>
      <c r="AC29" s="269"/>
      <c r="AD29" s="530" t="s">
        <v>103</v>
      </c>
      <c r="AE29" s="537">
        <v>1851.8</v>
      </c>
      <c r="AF29" s="280"/>
      <c r="AG29" s="1780"/>
      <c r="AH29" s="388">
        <f>ROUND(SUM(AB29-AE29),1)</f>
        <v>6101</v>
      </c>
      <c r="AJ29" s="1861">
        <f>ROUND(IF(AH29=0,0,AH29/ABS(AE29)),3)</f>
        <v>3.2949999999999999</v>
      </c>
      <c r="AK29" s="1568"/>
      <c r="AL29" s="1568"/>
    </row>
    <row r="30" spans="1:38" ht="15.75">
      <c r="A30" s="65"/>
      <c r="B30" s="65"/>
      <c r="C30" s="1037"/>
      <c r="D30" s="198"/>
      <c r="E30" s="1599"/>
      <c r="F30" s="109"/>
      <c r="G30" s="1599"/>
      <c r="H30" s="109"/>
      <c r="I30" s="1599"/>
      <c r="J30" s="109"/>
      <c r="K30" s="1599"/>
      <c r="L30" s="109"/>
      <c r="M30" s="1599"/>
      <c r="N30" s="109"/>
      <c r="O30" s="1599"/>
      <c r="P30" s="109"/>
      <c r="Q30" s="1599"/>
      <c r="R30" s="109"/>
      <c r="S30" s="1599"/>
      <c r="T30" s="109"/>
      <c r="U30" s="1599"/>
      <c r="V30" s="109"/>
      <c r="W30" s="1600"/>
      <c r="X30" s="109"/>
      <c r="Y30" s="1599"/>
      <c r="Z30" s="198"/>
      <c r="AA30" s="875"/>
      <c r="AB30" s="1037"/>
      <c r="AC30" s="198"/>
      <c r="AD30" s="875"/>
      <c r="AE30" s="1037"/>
      <c r="AF30" s="16"/>
      <c r="AG30" s="1785"/>
      <c r="AH30" s="269"/>
      <c r="AI30" s="273"/>
      <c r="AJ30" s="1603"/>
      <c r="AK30" s="1568"/>
      <c r="AL30" s="1568"/>
    </row>
    <row r="31" spans="1:38" ht="15.75">
      <c r="A31" s="191" t="s">
        <v>460</v>
      </c>
      <c r="B31" s="65"/>
      <c r="C31" s="208">
        <f>ROUND(SUM(C26:C30),1)</f>
        <v>497.3</v>
      </c>
      <c r="D31" s="201"/>
      <c r="E31" s="208">
        <f>ROUND(SUM(E26:E30),1)</f>
        <v>552.1</v>
      </c>
      <c r="F31" s="208"/>
      <c r="G31" s="208">
        <f>ROUND(SUM(G26:G30),1)</f>
        <v>6450.3</v>
      </c>
      <c r="H31" s="208"/>
      <c r="I31" s="208">
        <f>ROUND(SUM(I26:I30),1)</f>
        <v>583.4</v>
      </c>
      <c r="J31" s="208"/>
      <c r="K31" s="768">
        <f>ROUND(SUM(K26:K30),1)</f>
        <v>733.8</v>
      </c>
      <c r="L31" s="208"/>
      <c r="M31" s="768">
        <f>ROUND(SUM(M26:M30),1)</f>
        <v>678.3</v>
      </c>
      <c r="N31" s="208"/>
      <c r="O31" s="208">
        <f>ROUND(SUM(O26:O30),1)</f>
        <v>555</v>
      </c>
      <c r="P31" s="208"/>
      <c r="Q31" s="208">
        <f>ROUND(SUM(Q26:Q30),1)</f>
        <v>575.5</v>
      </c>
      <c r="R31" s="208"/>
      <c r="S31" s="208">
        <f>ROUND(SUM(S26:S30),1)</f>
        <v>0</v>
      </c>
      <c r="T31" s="208"/>
      <c r="U31" s="208">
        <f>ROUND(SUM(U26:U30),1)</f>
        <v>0</v>
      </c>
      <c r="V31" s="208"/>
      <c r="W31" s="208">
        <f>ROUND(SUM(W26:W30),1)</f>
        <v>0</v>
      </c>
      <c r="X31" s="208"/>
      <c r="Y31" s="208">
        <f>ROUND(SUM(Y26:Y30),1)</f>
        <v>0</v>
      </c>
      <c r="Z31" s="201"/>
      <c r="AA31" s="878"/>
      <c r="AB31" s="208">
        <f>ROUND(SUM(AB26:AB30),1)</f>
        <v>10625.7</v>
      </c>
      <c r="AC31" s="1800"/>
      <c r="AD31" s="201"/>
      <c r="AE31" s="208">
        <f>ROUND(SUM(AE26:AE30),1)</f>
        <v>4179.3</v>
      </c>
      <c r="AF31" s="269"/>
      <c r="AG31" s="1771"/>
      <c r="AH31" s="362">
        <f>ROUND(SUM(AH26:AH29),1)</f>
        <v>6446.4</v>
      </c>
      <c r="AI31" s="40"/>
      <c r="AJ31" s="618">
        <f>ROUND(IF(AH31=0,0,AH31/ABS(AE31)),3)</f>
        <v>1.542</v>
      </c>
      <c r="AK31" s="1568"/>
      <c r="AL31" s="1568"/>
    </row>
    <row r="32" spans="1:38">
      <c r="A32" s="65"/>
      <c r="B32" s="65"/>
      <c r="C32" s="1037"/>
      <c r="D32" s="198"/>
      <c r="E32" s="1599"/>
      <c r="F32" s="109"/>
      <c r="G32" s="1599"/>
      <c r="H32" s="109"/>
      <c r="I32" s="1599"/>
      <c r="J32" s="109"/>
      <c r="K32" s="109"/>
      <c r="L32" s="109"/>
      <c r="M32" s="109"/>
      <c r="N32" s="109"/>
      <c r="O32" s="1599"/>
      <c r="P32" s="109"/>
      <c r="Q32" s="1599"/>
      <c r="R32" s="109"/>
      <c r="S32" s="1599"/>
      <c r="T32" s="109"/>
      <c r="U32" s="1599"/>
      <c r="V32" s="109"/>
      <c r="W32" s="1599"/>
      <c r="X32" s="109"/>
      <c r="Y32" s="1599"/>
      <c r="Z32" s="198"/>
      <c r="AA32" s="875"/>
      <c r="AB32" s="1037"/>
      <c r="AC32" s="1248"/>
      <c r="AD32" s="875"/>
      <c r="AE32" s="1037"/>
      <c r="AF32" s="269"/>
      <c r="AG32" s="1771"/>
      <c r="AH32" s="269"/>
      <c r="AJ32" s="1799"/>
      <c r="AK32" s="1568"/>
      <c r="AL32" s="1568"/>
    </row>
    <row r="33" spans="1:38" ht="15.75">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5"/>
      <c r="AB33" s="198"/>
      <c r="AC33" s="1248"/>
      <c r="AD33" s="875"/>
      <c r="AE33" s="198"/>
      <c r="AF33" s="26"/>
      <c r="AG33" s="96"/>
      <c r="AH33" s="269"/>
      <c r="AI33" s="1601"/>
      <c r="AJ33" s="1603"/>
      <c r="AK33" s="1568"/>
      <c r="AL33" s="1568"/>
    </row>
    <row r="34" spans="1:38" ht="15.75">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5"/>
      <c r="AB34" s="198"/>
      <c r="AC34" s="1248"/>
      <c r="AD34" s="875"/>
      <c r="AE34" s="198"/>
      <c r="AF34" s="20"/>
      <c r="AG34" s="409"/>
      <c r="AH34" s="269"/>
      <c r="AI34" s="1601"/>
      <c r="AJ34" s="1603"/>
      <c r="AK34" s="1568"/>
      <c r="AL34" s="1568"/>
    </row>
    <row r="35" spans="1:38" ht="15.75">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49.8</v>
      </c>
      <c r="P35" s="208"/>
      <c r="Q35" s="208">
        <f>ROUND(Q21-Q31,1)</f>
        <v>55.9</v>
      </c>
      <c r="R35" s="208"/>
      <c r="S35" s="208">
        <f>ROUND(S21-S31,1)</f>
        <v>0</v>
      </c>
      <c r="T35" s="208"/>
      <c r="U35" s="208">
        <f>ROUND(U21-U31,1)</f>
        <v>0</v>
      </c>
      <c r="V35" s="208"/>
      <c r="W35" s="208">
        <f>ROUND(W21-W31,1)</f>
        <v>0</v>
      </c>
      <c r="X35" s="208"/>
      <c r="Y35" s="208">
        <f>ROUND(Y21-Y31,1)</f>
        <v>0</v>
      </c>
      <c r="Z35" s="201"/>
      <c r="AA35" s="878"/>
      <c r="AB35" s="208">
        <f>ROUND(AB21-AB31,1)</f>
        <v>-5924.6</v>
      </c>
      <c r="AC35" s="1800"/>
      <c r="AD35" s="201"/>
      <c r="AE35" s="208">
        <f>ROUND(AE21-AE31,1)</f>
        <v>-85.7</v>
      </c>
      <c r="AF35" s="273"/>
      <c r="AG35" s="412"/>
      <c r="AH35" s="362">
        <f>ROUND(SUM(AH21-AH31),1)</f>
        <v>-5838.9</v>
      </c>
      <c r="AI35" s="40"/>
      <c r="AJ35" s="1776">
        <f>ROUND(IF(AE35=0,1,AH35/ABS(AE35)),3)</f>
        <v>-68.132000000000005</v>
      </c>
      <c r="AK35" s="1568"/>
      <c r="AL35" s="1568"/>
    </row>
    <row r="36" spans="1:38">
      <c r="A36" s="65"/>
      <c r="B36" s="65"/>
      <c r="C36" s="1037"/>
      <c r="D36" s="198"/>
      <c r="E36" s="1599"/>
      <c r="F36" s="109"/>
      <c r="G36" s="1599"/>
      <c r="H36" s="109"/>
      <c r="I36" s="1599"/>
      <c r="J36" s="109"/>
      <c r="K36" s="1599"/>
      <c r="L36" s="109"/>
      <c r="M36" s="1599"/>
      <c r="N36" s="109"/>
      <c r="O36" s="1599"/>
      <c r="P36" s="109"/>
      <c r="Q36" s="1599"/>
      <c r="R36" s="109"/>
      <c r="S36" s="1599"/>
      <c r="T36" s="109"/>
      <c r="U36" s="1599"/>
      <c r="V36" s="109"/>
      <c r="W36" s="1599"/>
      <c r="X36" s="109"/>
      <c r="Y36" s="1599"/>
      <c r="Z36" s="198"/>
      <c r="AA36" s="875"/>
      <c r="AB36" s="1037"/>
      <c r="AC36" s="1248"/>
      <c r="AD36" s="875"/>
      <c r="AE36" s="1037"/>
      <c r="AF36" s="273"/>
      <c r="AG36" s="412"/>
      <c r="AH36" s="269"/>
      <c r="AJ36" s="1799"/>
      <c r="AK36" s="1568"/>
      <c r="AL36" s="1568"/>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5"/>
      <c r="AB37" s="198"/>
      <c r="AC37" s="198"/>
      <c r="AD37" s="875"/>
      <c r="AE37" s="198"/>
      <c r="AG37" s="408"/>
      <c r="AH37" s="269"/>
      <c r="AJ37" s="1603"/>
      <c r="AK37" s="1568"/>
      <c r="AL37" s="1568"/>
    </row>
    <row r="38" spans="1:38" ht="15.75">
      <c r="A38" s="191" t="s">
        <v>145</v>
      </c>
      <c r="B38" s="65"/>
      <c r="C38" s="198"/>
      <c r="D38" s="198"/>
      <c r="E38" s="109"/>
      <c r="F38" s="109"/>
      <c r="G38" s="109"/>
      <c r="H38" s="109"/>
      <c r="I38" s="109"/>
      <c r="J38" s="109"/>
      <c r="K38" s="1296"/>
      <c r="L38" s="109"/>
      <c r="M38" s="1296"/>
      <c r="N38" s="109"/>
      <c r="O38" s="109"/>
      <c r="P38" s="109"/>
      <c r="Q38" s="109"/>
      <c r="R38" s="109"/>
      <c r="S38" s="109"/>
      <c r="T38" s="109"/>
      <c r="U38" s="109"/>
      <c r="V38" s="109"/>
      <c r="W38" s="109"/>
      <c r="X38" s="109"/>
      <c r="Y38" s="109"/>
      <c r="Z38" s="198"/>
      <c r="AA38" s="875"/>
      <c r="AB38" s="198"/>
      <c r="AC38" s="198"/>
      <c r="AD38" s="875"/>
      <c r="AE38" s="198"/>
      <c r="AF38" s="273"/>
      <c r="AG38" s="412"/>
      <c r="AH38" s="279"/>
      <c r="AI38" s="385"/>
      <c r="AJ38" s="1603"/>
      <c r="AK38" s="1568"/>
      <c r="AL38" s="1568"/>
    </row>
    <row r="39" spans="1:38">
      <c r="A39" s="65" t="s">
        <v>540</v>
      </c>
      <c r="B39" s="65"/>
      <c r="C39" s="198">
        <v>0</v>
      </c>
      <c r="D39" s="198"/>
      <c r="E39" s="198">
        <v>0</v>
      </c>
      <c r="F39" s="109"/>
      <c r="G39" s="198">
        <v>6000</v>
      </c>
      <c r="H39" s="292"/>
      <c r="I39" s="198">
        <v>0</v>
      </c>
      <c r="J39" s="109"/>
      <c r="K39" s="198">
        <v>0</v>
      </c>
      <c r="L39" s="109"/>
      <c r="M39" s="198">
        <v>76.5</v>
      </c>
      <c r="N39" s="109"/>
      <c r="O39" s="198">
        <v>0</v>
      </c>
      <c r="P39" s="109"/>
      <c r="Q39" s="198">
        <f>$AB39-M39-O39-K39-I39-G39-E39-C39</f>
        <v>0</v>
      </c>
      <c r="R39" s="109"/>
      <c r="S39" s="198"/>
      <c r="T39" s="109"/>
      <c r="U39" s="198"/>
      <c r="V39" s="109"/>
      <c r="W39" s="198"/>
      <c r="X39" s="109"/>
      <c r="Y39" s="198"/>
      <c r="Z39" s="198"/>
      <c r="AA39" s="875"/>
      <c r="AB39" s="537">
        <v>6076.5</v>
      </c>
      <c r="AC39" s="269"/>
      <c r="AD39" s="530" t="s">
        <v>103</v>
      </c>
      <c r="AE39" s="537">
        <v>0</v>
      </c>
      <c r="AF39" s="273"/>
      <c r="AG39" s="412"/>
      <c r="AH39" s="269">
        <f>ROUND(SUM(AB39-AE39),1)</f>
        <v>6076.5</v>
      </c>
      <c r="AJ39" s="1604">
        <f>ROUND(IF(AE39=0,1,AH39/ABS(AE39)),3)</f>
        <v>1</v>
      </c>
      <c r="AK39" s="1568"/>
      <c r="AL39" s="1568"/>
    </row>
    <row r="40" spans="1:38">
      <c r="A40" s="65" t="s">
        <v>541</v>
      </c>
      <c r="B40" s="65"/>
      <c r="C40" s="198">
        <v>0</v>
      </c>
      <c r="D40" s="198"/>
      <c r="E40" s="198">
        <v>0</v>
      </c>
      <c r="F40" s="109"/>
      <c r="G40" s="198">
        <v>0</v>
      </c>
      <c r="H40" s="292"/>
      <c r="I40" s="198">
        <v>0</v>
      </c>
      <c r="J40" s="109"/>
      <c r="K40" s="198">
        <v>0</v>
      </c>
      <c r="L40" s="109"/>
      <c r="M40" s="198">
        <v>0</v>
      </c>
      <c r="N40" s="109"/>
      <c r="O40" s="198">
        <v>0</v>
      </c>
      <c r="P40" s="109"/>
      <c r="Q40" s="198">
        <f>$AB40-M40-O40-K40-I40-G40-E40-C40</f>
        <v>0</v>
      </c>
      <c r="R40" s="109"/>
      <c r="S40" s="198"/>
      <c r="T40" s="109"/>
      <c r="U40" s="198"/>
      <c r="V40" s="109"/>
      <c r="W40" s="198"/>
      <c r="X40" s="109"/>
      <c r="Y40" s="198"/>
      <c r="Z40" s="198"/>
      <c r="AA40" s="875"/>
      <c r="AB40" s="537">
        <v>0</v>
      </c>
      <c r="AC40" s="269"/>
      <c r="AD40" s="530" t="s">
        <v>103</v>
      </c>
      <c r="AE40" s="537">
        <v>0</v>
      </c>
      <c r="AF40" s="273"/>
      <c r="AG40" s="412"/>
      <c r="AH40" s="388">
        <f>-ROUND(SUM(AB40-AE40),1)</f>
        <v>0</v>
      </c>
      <c r="AJ40" s="1620">
        <f>ROUND(IF(AE40=0,0,AH40/ABS(AE40)),3)</f>
        <v>0</v>
      </c>
      <c r="AK40" s="1568"/>
      <c r="AL40" s="1568"/>
    </row>
    <row r="41" spans="1:38">
      <c r="A41" s="65"/>
      <c r="B41" s="65"/>
      <c r="C41" s="1037"/>
      <c r="D41" s="198"/>
      <c r="E41" s="1037"/>
      <c r="F41" s="109"/>
      <c r="G41" s="1037"/>
      <c r="H41" s="109"/>
      <c r="I41" s="1037"/>
      <c r="J41" s="109"/>
      <c r="K41" s="1037"/>
      <c r="L41" s="109"/>
      <c r="M41" s="1037"/>
      <c r="N41" s="109"/>
      <c r="O41" s="1037"/>
      <c r="P41" s="109"/>
      <c r="Q41" s="1037"/>
      <c r="R41" s="109"/>
      <c r="S41" s="1037"/>
      <c r="T41" s="109"/>
      <c r="U41" s="1599"/>
      <c r="V41" s="109"/>
      <c r="W41" s="1599"/>
      <c r="X41" s="109"/>
      <c r="Y41" s="1599"/>
      <c r="Z41" s="198"/>
      <c r="AA41" s="875"/>
      <c r="AB41" s="1037"/>
      <c r="AC41" s="198"/>
      <c r="AD41" s="875"/>
      <c r="AE41" s="1037"/>
      <c r="AF41" s="273"/>
      <c r="AG41" s="412"/>
      <c r="AJ41" s="1799"/>
      <c r="AK41" s="1568"/>
      <c r="AL41" s="1568"/>
    </row>
    <row r="42" spans="1:38" ht="15.75">
      <c r="A42" s="191" t="s">
        <v>591</v>
      </c>
      <c r="B42" s="65"/>
      <c r="C42" s="1606">
        <f>ROUND(SUM(C39:C41),1)</f>
        <v>0</v>
      </c>
      <c r="D42" s="201"/>
      <c r="E42" s="1606">
        <f>ROUND(SUM(E39:E41),1)</f>
        <v>0</v>
      </c>
      <c r="F42" s="208"/>
      <c r="G42" s="1606">
        <f>ROUND(SUM(G39:G41),1)</f>
        <v>6000</v>
      </c>
      <c r="H42" s="208"/>
      <c r="I42" s="1606">
        <f>ROUND(SUM(I39:I41),1)</f>
        <v>0</v>
      </c>
      <c r="J42" s="208"/>
      <c r="K42" s="1606">
        <f>ROUND(SUM(K39:K41),1)</f>
        <v>0</v>
      </c>
      <c r="L42" s="208"/>
      <c r="M42" s="1606">
        <f>ROUND(SUM(M39:M41),1)</f>
        <v>76.5</v>
      </c>
      <c r="N42" s="208"/>
      <c r="O42" s="1606">
        <f>ROUND(SUM(O39:O41),1)</f>
        <v>0</v>
      </c>
      <c r="P42" s="208"/>
      <c r="Q42" s="1606">
        <f>ROUND(SUM(Q39:Q41),1)</f>
        <v>0</v>
      </c>
      <c r="R42" s="1606"/>
      <c r="S42" s="1606">
        <f>ROUND(SUM(S39:S41),1)</f>
        <v>0</v>
      </c>
      <c r="T42" s="208"/>
      <c r="U42" s="1606">
        <f>ROUND(SUM(U39:U41),1)</f>
        <v>0</v>
      </c>
      <c r="V42" s="208"/>
      <c r="W42" s="1606">
        <f>ROUND(SUM(W39:W41),1)</f>
        <v>0</v>
      </c>
      <c r="X42" s="208"/>
      <c r="Y42" s="1606">
        <f>ROUND(SUM(Y39:Y41),1)</f>
        <v>0</v>
      </c>
      <c r="Z42" s="201"/>
      <c r="AA42" s="878"/>
      <c r="AB42" s="362">
        <f>ROUND(SUM(AB39+AB40),1)</f>
        <v>6076.5</v>
      </c>
      <c r="AC42" s="1800"/>
      <c r="AD42" s="201"/>
      <c r="AE42" s="362">
        <f>ROUND(SUM(AE39+AE40),1)</f>
        <v>0</v>
      </c>
      <c r="AF42" s="296"/>
      <c r="AG42" s="408"/>
      <c r="AH42" s="362">
        <f>ROUND(SUM(AH39:AH40),1)</f>
        <v>6076.5</v>
      </c>
      <c r="AI42" s="54"/>
      <c r="AJ42" s="1607">
        <f>ROUND(IF(AE42=0,1,AH42/ABS(AE42)),3)</f>
        <v>1</v>
      </c>
      <c r="AK42" s="1568"/>
      <c r="AL42" s="1568"/>
    </row>
    <row r="43" spans="1:38">
      <c r="A43" s="65"/>
      <c r="B43" s="65"/>
      <c r="C43" s="1037"/>
      <c r="D43" s="198"/>
      <c r="E43" s="1599"/>
      <c r="F43" s="109"/>
      <c r="G43" s="1599"/>
      <c r="H43" s="109"/>
      <c r="I43" s="1599"/>
      <c r="J43" s="109"/>
      <c r="K43" s="1599"/>
      <c r="L43" s="109"/>
      <c r="M43" s="1599"/>
      <c r="N43" s="109"/>
      <c r="O43" s="1599"/>
      <c r="P43" s="109"/>
      <c r="Q43" s="1599"/>
      <c r="R43" s="109"/>
      <c r="S43" s="1599"/>
      <c r="T43" s="109"/>
      <c r="U43" s="1599"/>
      <c r="V43" s="109"/>
      <c r="W43" s="1599"/>
      <c r="X43" s="109"/>
      <c r="Y43" s="1599"/>
      <c r="Z43" s="198"/>
      <c r="AA43" s="875"/>
      <c r="AB43" s="1037"/>
      <c r="AC43" s="198"/>
      <c r="AD43" s="875"/>
      <c r="AE43" s="1037"/>
      <c r="AG43" s="408"/>
      <c r="AJ43" s="1799"/>
      <c r="AK43" s="1568"/>
      <c r="AL43" s="1568"/>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5"/>
      <c r="AB44" s="198"/>
      <c r="AC44" s="198"/>
      <c r="AD44" s="875"/>
      <c r="AE44" s="198"/>
      <c r="AG44" s="408"/>
      <c r="AJ44" s="1799"/>
      <c r="AK44" s="1568"/>
      <c r="AL44" s="1568"/>
    </row>
    <row r="45" spans="1:38" ht="15.75">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5"/>
      <c r="AB45" s="198"/>
      <c r="AC45" s="198"/>
      <c r="AD45" s="875"/>
      <c r="AE45" s="198"/>
      <c r="AG45" s="408"/>
      <c r="AJ45" s="1799"/>
      <c r="AK45" s="1568"/>
      <c r="AL45" s="1568"/>
    </row>
    <row r="46" spans="1:38" ht="15.75">
      <c r="A46" s="191" t="s">
        <v>598</v>
      </c>
      <c r="B46" s="65"/>
      <c r="C46" s="198"/>
      <c r="D46" s="198"/>
      <c r="E46" s="109"/>
      <c r="F46" s="109"/>
      <c r="G46" s="109"/>
      <c r="H46" s="109"/>
      <c r="I46" s="109"/>
      <c r="J46" s="109"/>
      <c r="K46" s="1296"/>
      <c r="L46" s="109"/>
      <c r="M46" s="109"/>
      <c r="N46" s="109"/>
      <c r="O46" s="109"/>
      <c r="P46" s="109"/>
      <c r="Q46" s="109"/>
      <c r="R46" s="109"/>
      <c r="S46" s="109"/>
      <c r="T46" s="109"/>
      <c r="U46" s="109"/>
      <c r="V46" s="109"/>
      <c r="W46" s="109"/>
      <c r="X46" s="109"/>
      <c r="Y46" s="109"/>
      <c r="Z46" s="198"/>
      <c r="AA46" s="875"/>
      <c r="AB46" s="198"/>
      <c r="AC46" s="198"/>
      <c r="AD46" s="875"/>
      <c r="AE46" s="198"/>
      <c r="AG46" s="408"/>
      <c r="AJ46" s="1799"/>
      <c r="AK46" s="1568"/>
      <c r="AL46" s="1568"/>
    </row>
    <row r="47" spans="1:38" ht="15.75">
      <c r="A47" s="191" t="s">
        <v>474</v>
      </c>
      <c r="B47" s="65"/>
      <c r="C47" s="208">
        <f>ROUND(C35+C42,1)</f>
        <v>-105.5</v>
      </c>
      <c r="D47" s="201"/>
      <c r="E47" s="208">
        <f>ROUND(E35+E42,1)</f>
        <v>-32.1</v>
      </c>
      <c r="F47" s="208"/>
      <c r="G47" s="208">
        <f>ROUND(G35+G42,1)</f>
        <v>27.1</v>
      </c>
      <c r="H47" s="208"/>
      <c r="I47" s="208">
        <f>ROUND(I35+I42,1)</f>
        <v>-25.1</v>
      </c>
      <c r="J47" s="208"/>
      <c r="K47" s="768">
        <f>ROUND(K35+K42,1)</f>
        <v>167.4</v>
      </c>
      <c r="L47" s="208"/>
      <c r="M47" s="208">
        <f>ROUND(M35+M42,1)</f>
        <v>14.4</v>
      </c>
      <c r="N47" s="208"/>
      <c r="O47" s="208">
        <f>ROUND(O35+O42,1)</f>
        <v>49.8</v>
      </c>
      <c r="P47" s="208"/>
      <c r="Q47" s="208">
        <f>ROUND(Q35+Q42,1)</f>
        <v>55.9</v>
      </c>
      <c r="R47" s="208"/>
      <c r="S47" s="208">
        <f>ROUND(S35+S42,1)</f>
        <v>0</v>
      </c>
      <c r="T47" s="208"/>
      <c r="U47" s="208">
        <f>ROUND(U35+U42,1)</f>
        <v>0</v>
      </c>
      <c r="V47" s="208"/>
      <c r="W47" s="208">
        <f>ROUND(W35+W42,1)</f>
        <v>0</v>
      </c>
      <c r="X47" s="208"/>
      <c r="Y47" s="208">
        <f>ROUND(Y35+Y42,1)</f>
        <v>0</v>
      </c>
      <c r="Z47" s="201"/>
      <c r="AA47" s="878"/>
      <c r="AB47" s="208">
        <f>ROUND(AB35+AB42,1)</f>
        <v>151.9</v>
      </c>
      <c r="AC47" s="1800"/>
      <c r="AD47" s="201"/>
      <c r="AE47" s="208">
        <f>ROUND(AE35+AE42,1)</f>
        <v>-85.7</v>
      </c>
      <c r="AG47" s="408"/>
      <c r="AH47" s="362">
        <f>ROUND(SUM(AH35+AH42),1)</f>
        <v>237.6</v>
      </c>
      <c r="AI47" s="3"/>
      <c r="AJ47" s="1776">
        <f>ROUND(IF(AE47=0,1,AH47/ABS(AE47)),3)</f>
        <v>2.7719999999999998</v>
      </c>
      <c r="AK47" s="1568"/>
      <c r="AL47" s="1568"/>
    </row>
    <row r="48" spans="1:38" ht="15.75">
      <c r="A48" s="65"/>
      <c r="B48" s="65"/>
      <c r="C48" s="1608"/>
      <c r="D48" s="191"/>
      <c r="E48" s="1609"/>
      <c r="F48" s="1610"/>
      <c r="G48" s="1609"/>
      <c r="H48" s="1610"/>
      <c r="I48" s="1609"/>
      <c r="J48" s="1610"/>
      <c r="K48" s="1611"/>
      <c r="L48" s="1610"/>
      <c r="M48" s="1609"/>
      <c r="N48" s="1610"/>
      <c r="O48" s="1609"/>
      <c r="P48" s="1610"/>
      <c r="Q48" s="1609"/>
      <c r="R48" s="1610"/>
      <c r="S48" s="1609"/>
      <c r="T48" s="1610"/>
      <c r="U48" s="1609"/>
      <c r="V48" s="1610"/>
      <c r="W48" s="1609"/>
      <c r="X48" s="1610"/>
      <c r="Y48" s="1609"/>
      <c r="Z48" s="191"/>
      <c r="AA48" s="1612"/>
      <c r="AB48" s="1608"/>
      <c r="AC48" s="191"/>
      <c r="AD48" s="1612"/>
      <c r="AE48" s="1608"/>
      <c r="AG48" s="408"/>
      <c r="AJ48" s="1799"/>
      <c r="AK48" s="1568"/>
      <c r="AL48" s="1568"/>
    </row>
    <row r="49" spans="1:38" ht="16.5" thickBot="1">
      <c r="A49" s="191" t="s">
        <v>436</v>
      </c>
      <c r="B49" s="65"/>
      <c r="C49" s="194">
        <f>ROUND(C14+C47,1)</f>
        <v>864.8</v>
      </c>
      <c r="D49" s="194"/>
      <c r="E49" s="194">
        <f>ROUND(E14+E47,1)</f>
        <v>832.7</v>
      </c>
      <c r="F49" s="1597"/>
      <c r="G49" s="194">
        <f>ROUND(G14+G47,1)</f>
        <v>859.8</v>
      </c>
      <c r="H49" s="1597"/>
      <c r="I49" s="1613">
        <f>ROUND(I14+I47,1)</f>
        <v>834.7</v>
      </c>
      <c r="J49" s="1597"/>
      <c r="K49" s="194">
        <f>ROUND(K14+K47,1)</f>
        <v>1002.1</v>
      </c>
      <c r="L49" s="1597"/>
      <c r="M49" s="194">
        <f>ROUND(M14+M47,1)</f>
        <v>1016.5</v>
      </c>
      <c r="N49" s="1597"/>
      <c r="O49" s="194">
        <f>ROUND(O14+O47,1)</f>
        <v>1066.3</v>
      </c>
      <c r="P49" s="1597"/>
      <c r="Q49" s="194">
        <f>ROUND(Q14+Q47,1)</f>
        <v>1122.2</v>
      </c>
      <c r="R49" s="1597"/>
      <c r="S49" s="194">
        <f>ROUND(S14+S47,1)</f>
        <v>0</v>
      </c>
      <c r="T49" s="1597"/>
      <c r="U49" s="194">
        <f>ROUND(U14+U47,1)</f>
        <v>0</v>
      </c>
      <c r="V49" s="1597"/>
      <c r="W49" s="194">
        <f>ROUND(W14+W47,1)</f>
        <v>0</v>
      </c>
      <c r="X49" s="1597"/>
      <c r="Y49" s="194">
        <f>ROUND(Y14+Y47,1)</f>
        <v>0</v>
      </c>
      <c r="Z49" s="194"/>
      <c r="AA49" s="871"/>
      <c r="AB49" s="194">
        <f>ROUND(AB14+AB47,1)</f>
        <v>1122.2</v>
      </c>
      <c r="AC49" s="194"/>
      <c r="AD49" s="871"/>
      <c r="AE49" s="194">
        <f>ROUND(AE14+AE47,1)</f>
        <v>562.29999999999995</v>
      </c>
      <c r="AG49" s="408"/>
      <c r="AH49" s="73">
        <f>ROUND(SUM(AB49-AE49),1)</f>
        <v>559.9</v>
      </c>
      <c r="AI49" s="385"/>
      <c r="AJ49" s="1801">
        <f>ROUND(IF(AH49=0,0,AH49/ABS(AE49)),3)</f>
        <v>0.996</v>
      </c>
      <c r="AK49" s="1568"/>
      <c r="AL49" s="1568"/>
    </row>
    <row r="50" spans="1:38" ht="15.75" thickTop="1">
      <c r="C50" s="1615"/>
      <c r="E50" s="1615"/>
      <c r="G50" s="1615"/>
      <c r="K50" s="1615"/>
      <c r="M50" s="1615"/>
      <c r="O50" s="1615"/>
      <c r="Q50" s="1615"/>
      <c r="S50" s="1615"/>
      <c r="U50" s="1615"/>
      <c r="W50" s="1615"/>
      <c r="Y50" s="1615"/>
      <c r="AB50" s="1615"/>
      <c r="AE50" s="1615"/>
    </row>
    <row r="51" spans="1:38">
      <c r="A51" s="1033"/>
    </row>
    <row r="52" spans="1:38">
      <c r="A52" s="1033"/>
    </row>
    <row r="53" spans="1:38">
      <c r="A53" s="1033"/>
    </row>
    <row r="54" spans="1:38">
      <c r="A54" s="1033"/>
    </row>
    <row r="55" spans="1:38">
      <c r="A55" s="1033"/>
    </row>
  </sheetData>
  <mergeCells count="1">
    <mergeCell ref="AA10:AJ10"/>
  </mergeCells>
  <printOptions horizontalCentered="1"/>
  <pageMargins left="0.25" right="0.25" top="0.5" bottom="0.25" header="0" footer="0.25"/>
  <pageSetup scale="43"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8671875" defaultRowHeight="15"/>
  <cols>
    <col min="1" max="1" width="41.109375" style="10" customWidth="1"/>
    <col min="2" max="2" width="11.88671875" style="10" customWidth="1"/>
    <col min="3" max="3" width="1.88671875" style="10" customWidth="1"/>
    <col min="4" max="4" width="11.88671875" style="10" customWidth="1"/>
    <col min="5" max="5" width="1.88671875" style="10" customWidth="1"/>
    <col min="6" max="6" width="11.88671875" style="10" customWidth="1"/>
    <col min="7" max="7" width="1.88671875" style="10" customWidth="1"/>
    <col min="8" max="8" width="11.88671875" style="10" customWidth="1"/>
    <col min="9" max="9" width="1.88671875" style="10" customWidth="1"/>
    <col min="10" max="10" width="11.88671875" style="10" customWidth="1"/>
    <col min="11" max="11" width="1.88671875" style="10" customWidth="1"/>
    <col min="12" max="12" width="12.109375" style="10" customWidth="1"/>
    <col min="13" max="13" width="1.88671875" style="10" customWidth="1"/>
    <col min="14" max="14" width="11.88671875" style="10" customWidth="1"/>
    <col min="15" max="15" width="1.88671875" style="10" customWidth="1"/>
    <col min="16" max="16" width="11.88671875" style="10" customWidth="1"/>
    <col min="17" max="17" width="1.88671875" style="10" customWidth="1"/>
    <col min="18" max="18" width="11.88671875" style="10" customWidth="1"/>
    <col min="19" max="19" width="1.88671875" style="10" customWidth="1"/>
    <col min="20" max="20" width="11.88671875" style="10" customWidth="1"/>
    <col min="21" max="21" width="1.88671875" style="10" customWidth="1"/>
    <col min="22" max="22" width="11.88671875" style="10" customWidth="1"/>
    <col min="23" max="23" width="1.88671875" style="10" customWidth="1"/>
    <col min="24" max="24" width="11.88671875" style="10" customWidth="1"/>
    <col min="25" max="26" width="0.88671875" style="10" customWidth="1"/>
    <col min="27" max="27" width="11.88671875" style="10" customWidth="1"/>
    <col min="28" max="29" width="0.88671875" style="10" customWidth="1"/>
    <col min="30" max="30" width="11.88671875" style="10" customWidth="1"/>
    <col min="31" max="31" width="0.88671875" style="111" customWidth="1"/>
    <col min="32" max="32" width="0.88671875" style="296" customWidth="1"/>
    <col min="33" max="33" width="11.88671875" style="296" customWidth="1"/>
    <col min="34" max="34" width="1.88671875" style="296" customWidth="1"/>
    <col min="35" max="35" width="11.88671875" style="296" customWidth="1"/>
    <col min="36" max="36" width="9.109375" style="10" bestFit="1" customWidth="1"/>
    <col min="37" max="37" width="8.88671875" style="10" bestFit="1" customWidth="1"/>
    <col min="38" max="16384" width="8.88671875" style="10"/>
  </cols>
  <sheetData>
    <row r="1" spans="1:37">
      <c r="A1" s="270" t="s">
        <v>97</v>
      </c>
    </row>
    <row r="2" spans="1:37">
      <c r="A2" s="359"/>
    </row>
    <row r="3" spans="1:37" ht="15.75">
      <c r="A3" s="1616" t="s">
        <v>98</v>
      </c>
      <c r="B3" s="1617"/>
      <c r="AE3" s="296"/>
      <c r="AI3" s="1234" t="s">
        <v>599</v>
      </c>
    </row>
    <row r="4" spans="1:37" ht="15.75">
      <c r="A4" s="1616" t="s">
        <v>600</v>
      </c>
      <c r="B4" s="1617"/>
      <c r="H4" s="1617" t="s">
        <v>103</v>
      </c>
      <c r="X4" s="10" t="s">
        <v>103</v>
      </c>
      <c r="AE4" s="296"/>
    </row>
    <row r="5" spans="1:37" ht="15.75">
      <c r="A5" s="1616" t="s">
        <v>601</v>
      </c>
      <c r="B5" s="1617"/>
      <c r="AB5" s="1234"/>
      <c r="AC5" s="1234"/>
      <c r="AD5" s="1234"/>
      <c r="AE5" s="1234"/>
    </row>
    <row r="6" spans="1:37" ht="15.75">
      <c r="A6" s="1618" t="str">
        <f>'Cashflow Governmental'!A6</f>
        <v>FISCAL YEAR 2025-2026</v>
      </c>
      <c r="B6" s="1617"/>
      <c r="AE6" s="296"/>
    </row>
    <row r="7" spans="1:37" ht="15.75">
      <c r="A7" s="1616" t="s">
        <v>102</v>
      </c>
      <c r="B7" s="1617"/>
      <c r="AE7" s="296"/>
    </row>
    <row r="8" spans="1:37" ht="15.75">
      <c r="A8" s="1616"/>
      <c r="B8" s="1617"/>
      <c r="AE8" s="296"/>
    </row>
    <row r="9" spans="1:37" ht="15.75">
      <c r="B9" s="1667"/>
      <c r="AA9" s="2105"/>
      <c r="AB9" s="2105"/>
      <c r="AC9" s="2105"/>
      <c r="AD9" s="2105"/>
      <c r="AE9" s="2105"/>
      <c r="AF9" s="2105"/>
      <c r="AG9" s="2105"/>
      <c r="AH9" s="2105"/>
      <c r="AI9" s="2105"/>
    </row>
    <row r="10" spans="1:37" ht="15.75">
      <c r="A10" s="1619"/>
      <c r="B10" s="1135"/>
      <c r="C10" s="15"/>
      <c r="D10" s="15"/>
      <c r="E10" s="15"/>
      <c r="F10" s="15"/>
      <c r="G10" s="15"/>
      <c r="H10" s="1617"/>
      <c r="I10" s="1617"/>
      <c r="J10" s="1617"/>
      <c r="K10" s="15"/>
      <c r="L10" s="15"/>
      <c r="M10" s="15"/>
      <c r="N10" s="15"/>
      <c r="O10" s="15"/>
      <c r="P10" s="15"/>
      <c r="Q10" s="15"/>
      <c r="R10" s="15"/>
      <c r="S10" s="15"/>
      <c r="T10" s="15"/>
      <c r="U10" s="15"/>
      <c r="V10" s="15"/>
      <c r="W10" s="15"/>
      <c r="X10" s="15"/>
      <c r="Y10" s="15"/>
      <c r="Z10" s="2082" t="str">
        <f>'Cashflow Governmental'!$AB$12</f>
        <v>8 Months Ended November 30</v>
      </c>
      <c r="AA10" s="2082"/>
      <c r="AB10" s="2082"/>
      <c r="AC10" s="2082"/>
      <c r="AD10" s="2082"/>
      <c r="AE10" s="2082"/>
      <c r="AF10" s="2082"/>
      <c r="AG10" s="2082"/>
      <c r="AH10" s="2082"/>
      <c r="AI10" s="2082"/>
    </row>
    <row r="11" spans="1:37" ht="15.75">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ht="15.75">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2025</v>
      </c>
      <c r="AB12" s="3" t="s">
        <v>103</v>
      </c>
      <c r="AC12" s="3"/>
      <c r="AD12" s="54" t="str">
        <f>'Cashflow Governmental'!AE14</f>
        <v>2024</v>
      </c>
      <c r="AE12" s="54"/>
      <c r="AF12" s="54"/>
      <c r="AG12" s="421" t="s">
        <v>112</v>
      </c>
      <c r="AH12" s="325"/>
      <c r="AI12" s="421" t="s">
        <v>113</v>
      </c>
    </row>
    <row r="13" spans="1:37" ht="8.85" customHeight="1">
      <c r="A13" s="369"/>
      <c r="B13" s="1004"/>
      <c r="C13" s="369"/>
      <c r="D13" s="1004"/>
      <c r="E13" s="369"/>
      <c r="F13" s="1004"/>
      <c r="G13" s="369"/>
      <c r="H13" s="1004"/>
      <c r="I13" s="369"/>
      <c r="J13" s="1004"/>
      <c r="K13" s="369"/>
      <c r="L13" s="1004"/>
      <c r="M13" s="369"/>
      <c r="N13" s="1004"/>
      <c r="O13" s="369"/>
      <c r="P13" s="1004"/>
      <c r="Q13" s="369"/>
      <c r="R13" s="1004"/>
      <c r="S13" s="369"/>
      <c r="T13" s="1004"/>
      <c r="U13" s="369"/>
      <c r="V13" s="1004"/>
      <c r="W13" s="369"/>
      <c r="X13" s="1004"/>
      <c r="Y13" s="369"/>
      <c r="Z13" s="369"/>
      <c r="AA13" s="1004"/>
      <c r="AB13" s="369"/>
      <c r="AC13" s="369"/>
      <c r="AD13" s="1004"/>
      <c r="AE13" s="1594"/>
      <c r="AF13" s="1595"/>
    </row>
    <row r="14" spans="1:37" ht="15.75">
      <c r="A14" s="1235" t="s">
        <v>344</v>
      </c>
      <c r="B14" s="86">
        <v>108</v>
      </c>
      <c r="C14" s="20"/>
      <c r="D14" s="20">
        <f>B46</f>
        <v>21.9</v>
      </c>
      <c r="E14" s="20"/>
      <c r="F14" s="20">
        <f>D46</f>
        <v>15.8</v>
      </c>
      <c r="G14" s="20"/>
      <c r="H14" s="20">
        <f>F46</f>
        <v>58</v>
      </c>
      <c r="I14" s="20"/>
      <c r="J14" s="20">
        <f>H46</f>
        <v>27.3</v>
      </c>
      <c r="K14" s="20"/>
      <c r="L14" s="20">
        <f>J46</f>
        <v>21.9</v>
      </c>
      <c r="M14" s="20"/>
      <c r="N14" s="20">
        <f>L46</f>
        <v>-8.8000000000000007</v>
      </c>
      <c r="O14" s="20"/>
      <c r="P14" s="20">
        <f>N46</f>
        <v>-22.6</v>
      </c>
      <c r="Q14" s="20"/>
      <c r="R14" s="20"/>
      <c r="S14" s="20"/>
      <c r="T14" s="20"/>
      <c r="U14" s="20"/>
      <c r="V14" s="20"/>
      <c r="W14" s="20"/>
      <c r="X14" s="20"/>
      <c r="Y14" s="20"/>
      <c r="Z14" s="21"/>
      <c r="AA14" s="20">
        <f>B14</f>
        <v>108</v>
      </c>
      <c r="AB14" s="1260"/>
      <c r="AC14" s="20"/>
      <c r="AD14" s="2002">
        <v>24.6</v>
      </c>
      <c r="AE14" s="296"/>
      <c r="AF14" s="1766"/>
      <c r="AG14" s="20">
        <f>ROUND(SUM(AA14-AD14),1)</f>
        <v>83.4</v>
      </c>
      <c r="AI14" s="1598">
        <f>ROUND(IF(AG14=0,0,AG14/(AD14)),3)</f>
        <v>3.39</v>
      </c>
      <c r="AJ14" s="1529"/>
      <c r="AK14" s="1529"/>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8"/>
      <c r="AA15" s="296"/>
      <c r="AB15" s="1795"/>
      <c r="AC15" s="296"/>
      <c r="AD15" s="296"/>
      <c r="AE15" s="296"/>
      <c r="AF15" s="1766"/>
      <c r="AJ15" s="1529"/>
      <c r="AK15" s="1529"/>
    </row>
    <row r="16" spans="1:37" ht="15.75">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8"/>
      <c r="AA16" s="296"/>
      <c r="AB16" s="1795"/>
      <c r="AC16" s="296"/>
      <c r="AD16" s="296"/>
      <c r="AE16" s="293"/>
      <c r="AF16" s="1771"/>
      <c r="AG16" s="269"/>
      <c r="AI16" s="936"/>
      <c r="AJ16" s="1529"/>
      <c r="AK16" s="1529"/>
    </row>
    <row r="17" spans="1:37" ht="15.75">
      <c r="A17" s="296" t="s">
        <v>594</v>
      </c>
      <c r="B17" s="269">
        <v>26</v>
      </c>
      <c r="C17" s="269"/>
      <c r="D17" s="269">
        <v>54.7</v>
      </c>
      <c r="E17" s="269"/>
      <c r="F17" s="269">
        <v>105.89999999999999</v>
      </c>
      <c r="G17" s="269"/>
      <c r="H17" s="269">
        <v>53.8</v>
      </c>
      <c r="I17" s="269"/>
      <c r="J17" s="269">
        <v>54.90000000000002</v>
      </c>
      <c r="K17" s="269"/>
      <c r="L17" s="269">
        <v>57.499999999999986</v>
      </c>
      <c r="M17" s="269"/>
      <c r="N17" s="269">
        <v>55.499999999999986</v>
      </c>
      <c r="O17" s="269"/>
      <c r="P17" s="269">
        <f>$AA17-L17-N17-J17-H17-F17-D17-B17</f>
        <v>76.999999999999986</v>
      </c>
      <c r="Q17" s="269"/>
      <c r="R17" s="269"/>
      <c r="S17" s="269"/>
      <c r="T17" s="269"/>
      <c r="U17" s="269"/>
      <c r="V17" s="269"/>
      <c r="W17" s="269"/>
      <c r="X17" s="269"/>
      <c r="Y17" s="269"/>
      <c r="Z17" s="529"/>
      <c r="AA17" s="1001">
        <v>485.3</v>
      </c>
      <c r="AB17" s="269"/>
      <c r="AC17" s="530" t="s">
        <v>103</v>
      </c>
      <c r="AD17" s="1001">
        <v>414.1</v>
      </c>
      <c r="AE17" s="26"/>
      <c r="AF17" s="1771"/>
      <c r="AG17" s="388">
        <f>ROUND(SUM(AA17-AD17),1)</f>
        <v>71.2</v>
      </c>
      <c r="AI17" s="1620">
        <f>ROUND(IF(AG17=0,0,AG17/ABS(AD17)),3)</f>
        <v>0.17199999999999999</v>
      </c>
      <c r="AJ17" s="1529"/>
      <c r="AK17" s="1529"/>
    </row>
    <row r="18" spans="1:37">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1"/>
      <c r="AC18" s="269"/>
      <c r="AD18" s="269"/>
      <c r="AE18" s="269"/>
      <c r="AF18" s="1771"/>
      <c r="AG18" s="269"/>
      <c r="AJ18" s="1529"/>
      <c r="AK18" s="1529"/>
    </row>
    <row r="19" spans="1:37" ht="15.75">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55.5</v>
      </c>
      <c r="O19" s="13"/>
      <c r="P19" s="13">
        <f>ROUND(SUM(P17),1)</f>
        <v>77</v>
      </c>
      <c r="Q19" s="13"/>
      <c r="R19" s="13">
        <f>ROUND(SUM(R17),1)</f>
        <v>0</v>
      </c>
      <c r="S19" s="13"/>
      <c r="T19" s="13">
        <f>ROUND(SUM(T17),1)</f>
        <v>0</v>
      </c>
      <c r="U19" s="13"/>
      <c r="V19" s="13">
        <f>ROUND(SUM(V17),1)</f>
        <v>0</v>
      </c>
      <c r="W19" s="13"/>
      <c r="X19" s="13">
        <f>ROUND(SUM(X17),1)</f>
        <v>0</v>
      </c>
      <c r="Y19" s="13"/>
      <c r="Z19" s="14"/>
      <c r="AA19" s="13">
        <f>ROUND(SUM(AA17),1)</f>
        <v>485.3</v>
      </c>
      <c r="AB19" s="1253"/>
      <c r="AC19" s="13"/>
      <c r="AD19" s="13">
        <f>ROUND(SUM(AD17),1)</f>
        <v>414.1</v>
      </c>
      <c r="AE19" s="269"/>
      <c r="AF19" s="1771"/>
      <c r="AG19" s="362">
        <f>ROUND(SUM(AG17),1)</f>
        <v>71.2</v>
      </c>
      <c r="AH19" s="40"/>
      <c r="AI19" s="527">
        <f>ROUND(IF(AG19=0,0,AG19/ABS(AD19)),3)</f>
        <v>0.17199999999999999</v>
      </c>
      <c r="AJ19" s="1529"/>
      <c r="AK19" s="1529"/>
    </row>
    <row r="20" spans="1:37">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1"/>
      <c r="AC20" s="269"/>
      <c r="AD20" s="622"/>
      <c r="AE20" s="269"/>
      <c r="AF20" s="1771"/>
      <c r="AG20" s="269"/>
      <c r="AJ20" s="1529"/>
      <c r="AK20" s="1529"/>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51"/>
      <c r="AC21" s="269"/>
      <c r="AD21" s="269"/>
      <c r="AE21" s="294"/>
      <c r="AF21" s="408"/>
      <c r="AG21" s="269"/>
      <c r="AI21" s="936"/>
      <c r="AJ21" s="1529"/>
      <c r="AK21" s="1529"/>
    </row>
    <row r="22" spans="1:37" ht="15.75">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51"/>
      <c r="AC22" s="269"/>
      <c r="AD22" s="269"/>
      <c r="AE22" s="280"/>
      <c r="AF22" s="408"/>
      <c r="AG22" s="269"/>
      <c r="AH22" s="1601"/>
      <c r="AI22" s="936"/>
      <c r="AJ22" s="1529"/>
      <c r="AK22" s="1529"/>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51"/>
      <c r="AC23" s="269"/>
      <c r="AD23" s="280"/>
      <c r="AE23" s="294"/>
      <c r="AF23" s="408"/>
      <c r="AG23" s="269"/>
      <c r="AI23" s="936"/>
      <c r="AJ23" s="1529"/>
      <c r="AK23" s="1529"/>
    </row>
    <row r="24" spans="1:37" ht="15.75">
      <c r="A24" s="296" t="s">
        <v>596</v>
      </c>
      <c r="B24" s="269">
        <v>13.4</v>
      </c>
      <c r="C24" s="269"/>
      <c r="D24" s="269">
        <v>12.299999999999999</v>
      </c>
      <c r="E24" s="269"/>
      <c r="F24" s="269">
        <v>11.400000000000004</v>
      </c>
      <c r="G24" s="269"/>
      <c r="H24" s="269">
        <v>17.5</v>
      </c>
      <c r="I24" s="269"/>
      <c r="J24" s="269">
        <v>12.199999999999994</v>
      </c>
      <c r="K24" s="269"/>
      <c r="L24" s="269">
        <v>12.900000000000004</v>
      </c>
      <c r="M24" s="269"/>
      <c r="N24" s="269">
        <v>13.000000000000005</v>
      </c>
      <c r="O24" s="269"/>
      <c r="P24" s="269">
        <f>$AA24-L24-N24-J24-H24-F24-D24-B24</f>
        <v>10.000000000000005</v>
      </c>
      <c r="Q24" s="269"/>
      <c r="R24" s="269"/>
      <c r="S24" s="269"/>
      <c r="T24" s="269"/>
      <c r="U24" s="269"/>
      <c r="V24" s="269"/>
      <c r="W24" s="269"/>
      <c r="X24" s="269"/>
      <c r="Y24" s="269"/>
      <c r="Z24" s="529"/>
      <c r="AA24" s="537">
        <v>102.7</v>
      </c>
      <c r="AB24" s="269"/>
      <c r="AC24" s="530" t="s">
        <v>103</v>
      </c>
      <c r="AD24" s="537">
        <v>97.2</v>
      </c>
      <c r="AE24" s="16"/>
      <c r="AF24" s="408"/>
      <c r="AG24" s="269">
        <f>ROUND(SUM(AA24-AD24),1)</f>
        <v>5.5</v>
      </c>
      <c r="AI24" s="526">
        <f>ROUND(IF(AG24=0,0,AG24/ABS(AD24)),3)</f>
        <v>5.7000000000000002E-2</v>
      </c>
      <c r="AJ24" s="1529"/>
      <c r="AK24" s="1529"/>
    </row>
    <row r="25" spans="1:37">
      <c r="A25" s="296" t="s">
        <v>538</v>
      </c>
      <c r="B25" s="269">
        <v>99.7</v>
      </c>
      <c r="C25" s="269"/>
      <c r="D25" s="269">
        <v>38.600000000000009</v>
      </c>
      <c r="E25" s="269"/>
      <c r="F25" s="269">
        <v>81.799999999999983</v>
      </c>
      <c r="G25" s="269"/>
      <c r="H25" s="269">
        <v>58.899999999999991</v>
      </c>
      <c r="I25" s="269"/>
      <c r="J25" s="269">
        <v>49.399999999999963</v>
      </c>
      <c r="K25" s="269"/>
      <c r="L25" s="269">
        <v>73.900000000000077</v>
      </c>
      <c r="M25" s="269"/>
      <c r="N25" s="269">
        <v>50.999999999999986</v>
      </c>
      <c r="O25" s="269"/>
      <c r="P25" s="269">
        <f t="shared" ref="P25:P26" si="0">$AA25-L25-N25-J25-H25-F25-D25-B25</f>
        <v>53.8</v>
      </c>
      <c r="Q25" s="269"/>
      <c r="R25" s="269"/>
      <c r="S25" s="269"/>
      <c r="T25" s="269"/>
      <c r="U25" s="269"/>
      <c r="V25" s="269"/>
      <c r="W25" s="269"/>
      <c r="X25" s="269"/>
      <c r="Y25" s="269"/>
      <c r="Z25" s="529"/>
      <c r="AA25" s="537">
        <v>507.1</v>
      </c>
      <c r="AB25" s="269"/>
      <c r="AC25" s="530" t="s">
        <v>103</v>
      </c>
      <c r="AD25" s="537">
        <v>370.3</v>
      </c>
      <c r="AE25" s="269"/>
      <c r="AF25" s="1771"/>
      <c r="AG25" s="269">
        <f>ROUND(SUM(AA25-AD25),1)</f>
        <v>136.80000000000001</v>
      </c>
      <c r="AI25" s="526">
        <f>ROUND(IF(AG25=0,0,AG25/ABS(AD25)),3)</f>
        <v>0.36899999999999999</v>
      </c>
      <c r="AJ25" s="1529"/>
      <c r="AK25" s="1529"/>
    </row>
    <row r="26" spans="1:37">
      <c r="A26" s="296" t="s">
        <v>459</v>
      </c>
      <c r="B26" s="269">
        <v>0</v>
      </c>
      <c r="C26" s="269"/>
      <c r="D26" s="269">
        <v>12.1</v>
      </c>
      <c r="E26" s="269"/>
      <c r="F26" s="269">
        <v>6.4</v>
      </c>
      <c r="G26" s="269"/>
      <c r="H26" s="269">
        <v>5.3999999999999986</v>
      </c>
      <c r="I26" s="269"/>
      <c r="J26" s="269">
        <v>5.4</v>
      </c>
      <c r="K26" s="269"/>
      <c r="L26" s="269">
        <v>5.5000000000000018</v>
      </c>
      <c r="M26" s="269"/>
      <c r="N26" s="269">
        <v>8.800000000000006</v>
      </c>
      <c r="O26" s="269"/>
      <c r="P26" s="269">
        <f t="shared" si="0"/>
        <v>4.2999999999999989</v>
      </c>
      <c r="Q26" s="269"/>
      <c r="R26" s="269"/>
      <c r="S26" s="269"/>
      <c r="T26" s="269"/>
      <c r="U26" s="269"/>
      <c r="V26" s="269"/>
      <c r="W26" s="269"/>
      <c r="X26" s="269"/>
      <c r="Y26" s="269"/>
      <c r="Z26" s="529"/>
      <c r="AA26" s="537">
        <v>47.9</v>
      </c>
      <c r="AB26" s="269"/>
      <c r="AC26" s="530" t="s">
        <v>103</v>
      </c>
      <c r="AD26" s="537">
        <v>46.5</v>
      </c>
      <c r="AE26" s="269"/>
      <c r="AF26" s="1771"/>
      <c r="AG26" s="388">
        <f>ROUND(SUM(AA26-AD26),1)</f>
        <v>1.4</v>
      </c>
      <c r="AI26" s="1605">
        <f>ROUND(IF(AG26=0,0,AG26/ABS(AD26)),3)</f>
        <v>0.03</v>
      </c>
      <c r="AJ26" s="1529"/>
      <c r="AK26" s="1529"/>
    </row>
    <row r="27" spans="1:37"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1"/>
      <c r="AC27" s="269"/>
      <c r="AD27" s="622"/>
      <c r="AE27" s="26"/>
      <c r="AF27" s="408"/>
      <c r="AG27" s="269"/>
      <c r="AH27" s="273"/>
      <c r="AI27" s="936"/>
      <c r="AJ27" s="1529"/>
      <c r="AK27" s="1529"/>
    </row>
    <row r="28" spans="1:37" ht="15.75">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72.8</v>
      </c>
      <c r="O28" s="13"/>
      <c r="P28" s="13">
        <f>ROUND(SUM(P24:P27),1)</f>
        <v>68.099999999999994</v>
      </c>
      <c r="Q28" s="13"/>
      <c r="R28" s="13">
        <f>ROUND(SUM(R24:R27),1)</f>
        <v>0</v>
      </c>
      <c r="S28" s="13"/>
      <c r="T28" s="13">
        <f>ROUND(SUM(T24:T27),1)</f>
        <v>0</v>
      </c>
      <c r="U28" s="13"/>
      <c r="V28" s="13">
        <f>ROUND(SUM(V24:V27),1)</f>
        <v>0</v>
      </c>
      <c r="W28" s="13">
        <f>SUM(W24:W27)</f>
        <v>0</v>
      </c>
      <c r="X28" s="13">
        <f>ROUND(SUM(X24:X27),1)</f>
        <v>0</v>
      </c>
      <c r="Y28" s="13"/>
      <c r="Z28" s="14"/>
      <c r="AA28" s="13">
        <f>ROUND(SUM(AA24:AA27),1)</f>
        <v>657.7</v>
      </c>
      <c r="AB28" s="1253"/>
      <c r="AC28" s="13"/>
      <c r="AD28" s="13">
        <f>ROUND(SUM(AD24:AD27),1)</f>
        <v>514</v>
      </c>
      <c r="AE28" s="269"/>
      <c r="AF28" s="1780"/>
      <c r="AG28" s="362">
        <f>ROUND(SUM(AG24:AG26),1)</f>
        <v>143.69999999999999</v>
      </c>
      <c r="AH28" s="40"/>
      <c r="AI28" s="527">
        <f>ROUND(IF(AG28=0,0,AG28/ABS(AD28)),3)</f>
        <v>0.28000000000000003</v>
      </c>
      <c r="AJ28" s="1529"/>
      <c r="AK28" s="1529"/>
    </row>
    <row r="29" spans="1:37">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1"/>
      <c r="AC29" s="269"/>
      <c r="AD29" s="622"/>
      <c r="AE29" s="269"/>
      <c r="AF29" s="1780"/>
      <c r="AG29" s="269"/>
      <c r="AJ29" s="1529"/>
      <c r="AK29" s="1529"/>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51"/>
      <c r="AC30" s="269"/>
      <c r="AD30" s="269"/>
      <c r="AE30" s="280"/>
      <c r="AF30" s="1780"/>
      <c r="AG30" s="269"/>
      <c r="AH30" s="1601"/>
      <c r="AI30" s="936"/>
      <c r="AJ30" s="1529"/>
      <c r="AK30" s="1529"/>
    </row>
    <row r="31" spans="1:37" ht="15.75">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51"/>
      <c r="AC31" s="269"/>
      <c r="AD31" s="269"/>
      <c r="AE31" s="16"/>
      <c r="AF31" s="1785"/>
      <c r="AG31" s="269"/>
      <c r="AH31" s="1601"/>
      <c r="AI31" s="936"/>
      <c r="AJ31" s="1529"/>
      <c r="AK31" s="1529"/>
    </row>
    <row r="32" spans="1:37" ht="15.75">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-17.3</v>
      </c>
      <c r="O32" s="13"/>
      <c r="P32" s="13">
        <f>ROUND(P19-P28,1)</f>
        <v>8.9</v>
      </c>
      <c r="Q32" s="13"/>
      <c r="R32" s="13">
        <f>ROUND(R19-R28,1)</f>
        <v>0</v>
      </c>
      <c r="S32" s="13"/>
      <c r="T32" s="13">
        <f>ROUND(T19-T28,1)</f>
        <v>0</v>
      </c>
      <c r="U32" s="13"/>
      <c r="V32" s="13">
        <f>ROUND(V19-V28,1)</f>
        <v>0</v>
      </c>
      <c r="W32" s="13"/>
      <c r="X32" s="13">
        <f>ROUND(X19-X28,1)</f>
        <v>0</v>
      </c>
      <c r="Y32" s="13"/>
      <c r="Z32" s="14"/>
      <c r="AA32" s="13">
        <f>ROUND(AA19-AA28,1)</f>
        <v>-172.4</v>
      </c>
      <c r="AB32" s="1253"/>
      <c r="AC32" s="13"/>
      <c r="AD32" s="13">
        <f>ROUND(AD19-AD28,1)</f>
        <v>-99.9</v>
      </c>
      <c r="AE32" s="269"/>
      <c r="AF32" s="1771"/>
      <c r="AG32" s="362">
        <f>ROUND(SUM(AG19-AG28),1)</f>
        <v>-72.5</v>
      </c>
      <c r="AH32" s="40"/>
      <c r="AI32" s="683">
        <f>ROUND(IF(AG32=0,0,AG32/ABS(AD32)),3)</f>
        <v>-0.72599999999999998</v>
      </c>
      <c r="AJ32" s="1529"/>
      <c r="AK32" s="1529"/>
    </row>
    <row r="33" spans="1:37">
      <c r="A33" s="296"/>
      <c r="B33" s="622"/>
      <c r="C33" s="269"/>
      <c r="D33" s="622"/>
      <c r="E33" s="269"/>
      <c r="F33" s="622"/>
      <c r="G33" s="269"/>
      <c r="H33" s="622"/>
      <c r="I33" s="269"/>
      <c r="J33" s="622"/>
      <c r="K33" s="269"/>
      <c r="L33" s="622"/>
      <c r="M33" s="269"/>
      <c r="N33" s="622"/>
      <c r="O33" s="269"/>
      <c r="P33" s="622"/>
      <c r="Q33" s="269"/>
      <c r="R33" s="622"/>
      <c r="S33" s="269"/>
      <c r="T33" s="622"/>
      <c r="U33" s="269"/>
      <c r="V33" s="622"/>
      <c r="W33" s="269"/>
      <c r="X33" s="622"/>
      <c r="Y33" s="269"/>
      <c r="Z33" s="529"/>
      <c r="AA33" s="622"/>
      <c r="AB33" s="1251"/>
      <c r="AC33" s="269"/>
      <c r="AD33" s="622"/>
      <c r="AE33" s="269"/>
      <c r="AF33" s="1771"/>
      <c r="AG33" s="269"/>
      <c r="AJ33" s="1529"/>
      <c r="AK33" s="1529"/>
    </row>
    <row r="34" spans="1:37" ht="15.75">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51"/>
      <c r="AC34" s="269"/>
      <c r="AD34" s="269"/>
      <c r="AE34" s="26"/>
      <c r="AF34" s="96"/>
      <c r="AG34" s="269"/>
      <c r="AI34" s="936"/>
      <c r="AJ34" s="1529"/>
      <c r="AK34" s="1529"/>
    </row>
    <row r="35" spans="1:37" ht="15.75">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51"/>
      <c r="AC35" s="269"/>
      <c r="AD35" s="269"/>
      <c r="AE35" s="20"/>
      <c r="AF35" s="409"/>
      <c r="AG35" s="279"/>
      <c r="AH35" s="385"/>
      <c r="AI35" s="936"/>
      <c r="AJ35" s="1529"/>
      <c r="AK35" s="1529"/>
    </row>
    <row r="36" spans="1:37">
      <c r="A36" s="296" t="s">
        <v>540</v>
      </c>
      <c r="B36" s="269">
        <v>1</v>
      </c>
      <c r="C36" s="269"/>
      <c r="D36" s="269">
        <v>2.2000000000000002</v>
      </c>
      <c r="E36" s="269"/>
      <c r="F36" s="269">
        <v>36</v>
      </c>
      <c r="G36" s="269"/>
      <c r="H36" s="269">
        <v>1.0999999999999943</v>
      </c>
      <c r="I36" s="269"/>
      <c r="J36" s="269">
        <v>6.7000000000000055</v>
      </c>
      <c r="K36" s="269"/>
      <c r="L36" s="269">
        <v>4.1000000000000041</v>
      </c>
      <c r="M36" s="269"/>
      <c r="N36" s="269">
        <v>3.5000000000000027</v>
      </c>
      <c r="O36" s="269"/>
      <c r="P36" s="269">
        <f>$AA36-L36-N36-J36-H36-F36-D36-B36</f>
        <v>3.1999999999999984</v>
      </c>
      <c r="Q36" s="269"/>
      <c r="R36" s="269"/>
      <c r="S36" s="269"/>
      <c r="T36" s="269"/>
      <c r="U36" s="269"/>
      <c r="V36" s="269"/>
      <c r="W36" s="269"/>
      <c r="X36" s="269"/>
      <c r="Y36" s="269"/>
      <c r="Z36" s="529"/>
      <c r="AA36" s="537">
        <v>57.8</v>
      </c>
      <c r="AB36" s="269"/>
      <c r="AC36" s="530" t="s">
        <v>103</v>
      </c>
      <c r="AD36" s="537">
        <v>81.5</v>
      </c>
      <c r="AE36" s="273"/>
      <c r="AF36" s="412"/>
      <c r="AG36" s="269">
        <f>ROUND(SUM(AA36-AD36),1)</f>
        <v>-23.7</v>
      </c>
      <c r="AH36" s="1601"/>
      <c r="AI36" s="526">
        <f>ROUND(IF(AG36=0,0,AG36/ABS(AD36)),3)</f>
        <v>-0.29099999999999998</v>
      </c>
      <c r="AJ36" s="1529"/>
      <c r="AK36" s="1529"/>
    </row>
    <row r="37" spans="1:37">
      <c r="A37" s="296" t="s">
        <v>541</v>
      </c>
      <c r="B37" s="269">
        <v>0</v>
      </c>
      <c r="C37" s="269"/>
      <c r="D37" s="269">
        <v>0</v>
      </c>
      <c r="E37" s="269"/>
      <c r="F37" s="269">
        <v>-0.1</v>
      </c>
      <c r="G37" s="269"/>
      <c r="H37" s="269">
        <v>-3.8</v>
      </c>
      <c r="I37" s="269"/>
      <c r="J37" s="269">
        <v>0</v>
      </c>
      <c r="K37" s="269"/>
      <c r="L37" s="269">
        <v>0</v>
      </c>
      <c r="M37" s="269"/>
      <c r="N37" s="269">
        <v>0</v>
      </c>
      <c r="O37" s="269"/>
      <c r="P37" s="269">
        <f>$AA37-L37-N37-J37-H37-F37-D37-B37</f>
        <v>-0.10000000000000017</v>
      </c>
      <c r="Q37" s="269"/>
      <c r="R37" s="269"/>
      <c r="S37" s="269"/>
      <c r="T37" s="269"/>
      <c r="U37" s="269"/>
      <c r="V37" s="269"/>
      <c r="W37" s="269"/>
      <c r="X37" s="269"/>
      <c r="Y37" s="269"/>
      <c r="Z37" s="529"/>
      <c r="AA37" s="537">
        <v>-4</v>
      </c>
      <c r="AB37" s="269"/>
      <c r="AC37" s="530" t="s">
        <v>103</v>
      </c>
      <c r="AD37" s="537">
        <v>-4.0999999999999996</v>
      </c>
      <c r="AE37" s="273"/>
      <c r="AF37" s="412"/>
      <c r="AG37" s="1796">
        <f>-ROUND(SUM(AA37-AD37),1)</f>
        <v>-0.1</v>
      </c>
      <c r="AH37" s="1601"/>
      <c r="AI37" s="1040">
        <f>ROUND(IF(AG37=0,0,AG37/ABS(AD37)),3)</f>
        <v>-2.4E-2</v>
      </c>
      <c r="AJ37" s="1529"/>
      <c r="AK37" s="1529"/>
    </row>
    <row r="38" spans="1:37">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7"/>
      <c r="AB38" s="1251"/>
      <c r="AC38" s="269"/>
      <c r="AD38" s="1787"/>
      <c r="AE38" s="273"/>
      <c r="AF38" s="412"/>
      <c r="AJ38" s="1529"/>
      <c r="AK38" s="1529"/>
    </row>
    <row r="39" spans="1:37" ht="15.75">
      <c r="A39" s="3" t="s">
        <v>591</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3.5</v>
      </c>
      <c r="O39" s="13"/>
      <c r="P39" s="13">
        <f>ROUND(SUM(P36:P38),1)</f>
        <v>3.1</v>
      </c>
      <c r="Q39" s="13"/>
      <c r="R39" s="13">
        <f t="shared" ref="R39" si="1">ROUND(SUM(R36:R38),1)</f>
        <v>0</v>
      </c>
      <c r="S39" s="13"/>
      <c r="T39" s="13">
        <f>ROUND(SUM(T36:T38),1)</f>
        <v>0</v>
      </c>
      <c r="U39" s="13"/>
      <c r="V39" s="13">
        <f>ROUND(SUM(V36:V38),1)</f>
        <v>0</v>
      </c>
      <c r="W39" s="13"/>
      <c r="X39" s="13">
        <f>ROUND(SUM(X36:X38),1)</f>
        <v>0</v>
      </c>
      <c r="Y39" s="13"/>
      <c r="Z39" s="14"/>
      <c r="AA39" s="13">
        <f>ROUND(SUM(AA36:AA38),1)</f>
        <v>53.8</v>
      </c>
      <c r="AB39" s="1253"/>
      <c r="AC39" s="13"/>
      <c r="AD39" s="13">
        <f>ROUND(SUM(AD36:AD38),1)</f>
        <v>77.400000000000006</v>
      </c>
      <c r="AF39" s="408"/>
      <c r="AG39" s="362">
        <f>AA39-AD39</f>
        <v>-23.600000000000009</v>
      </c>
      <c r="AH39" s="54"/>
      <c r="AI39" s="527">
        <f>ROUND(IF(AG39=0,0,AG39/ABS(AD39)),3)</f>
        <v>-0.30499999999999999</v>
      </c>
      <c r="AJ39" s="1529"/>
      <c r="AK39" s="1529"/>
    </row>
    <row r="40" spans="1:37">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1"/>
      <c r="AC40" s="269"/>
      <c r="AD40" s="622"/>
      <c r="AE40" s="273"/>
      <c r="AF40" s="412"/>
      <c r="AJ40" s="1529"/>
      <c r="AK40" s="1529"/>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1"/>
      <c r="AC41" s="269"/>
      <c r="AD41" s="269"/>
      <c r="AE41" s="273"/>
      <c r="AF41" s="412"/>
      <c r="AJ41" s="1529"/>
      <c r="AK41" s="1529"/>
    </row>
    <row r="42" spans="1:37" ht="15.75">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51"/>
      <c r="AC42" s="269"/>
      <c r="AD42" s="269"/>
      <c r="AE42" s="273"/>
      <c r="AF42" s="412"/>
      <c r="AJ42" s="1529"/>
      <c r="AK42" s="1529"/>
    </row>
    <row r="43" spans="1:37" ht="15.75">
      <c r="A43" s="3" t="s">
        <v>598</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51"/>
      <c r="AC43" s="269"/>
      <c r="AD43" s="269"/>
      <c r="AE43" s="296"/>
      <c r="AF43" s="408"/>
      <c r="AJ43" s="1529"/>
      <c r="AK43" s="1529"/>
    </row>
    <row r="44" spans="1:37" s="15" customFormat="1" ht="15.75">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-13.8</v>
      </c>
      <c r="O44" s="13"/>
      <c r="P44" s="13">
        <f>ROUND(SUM(P32,P39),1)</f>
        <v>12</v>
      </c>
      <c r="Q44" s="13"/>
      <c r="R44" s="13">
        <f>ROUND(SUM(R32,R39),1)</f>
        <v>0</v>
      </c>
      <c r="S44" s="13"/>
      <c r="T44" s="13">
        <f>ROUND(SUM(T32,T39),1)</f>
        <v>0</v>
      </c>
      <c r="U44" s="13"/>
      <c r="V44" s="13">
        <f>ROUND(SUM(V32,V39),1)</f>
        <v>0</v>
      </c>
      <c r="W44" s="13"/>
      <c r="X44" s="13">
        <f>ROUND(SUM(X32,X39),1)</f>
        <v>0</v>
      </c>
      <c r="Y44" s="13"/>
      <c r="Z44" s="14"/>
      <c r="AA44" s="18">
        <f>ROUND(AA32+AA39,1)</f>
        <v>-118.6</v>
      </c>
      <c r="AB44" s="1253"/>
      <c r="AC44" s="13"/>
      <c r="AD44" s="18">
        <f>ROUND(AD32+AD39,1)</f>
        <v>-22.5</v>
      </c>
      <c r="AE44" s="111"/>
      <c r="AF44" s="408"/>
      <c r="AG44" s="362">
        <f>ROUND(SUM(AG32+AG39),1)</f>
        <v>-96.1</v>
      </c>
      <c r="AH44" s="3"/>
      <c r="AI44" s="683">
        <f>ROUND(IF(AG44=0,0,AG44/ABS(AD44)),3)</f>
        <v>-4.2709999999999999</v>
      </c>
      <c r="AJ44" s="1529"/>
      <c r="AK44" s="1529"/>
    </row>
    <row r="45" spans="1:37">
      <c r="A45" s="296"/>
      <c r="B45" s="1003"/>
      <c r="C45" s="296"/>
      <c r="D45" s="1003"/>
      <c r="E45" s="296"/>
      <c r="F45" s="1003"/>
      <c r="G45" s="296"/>
      <c r="H45" s="1003"/>
      <c r="I45" s="296"/>
      <c r="J45" s="1003"/>
      <c r="K45" s="296"/>
      <c r="L45" s="1003"/>
      <c r="M45" s="296"/>
      <c r="N45" s="1003"/>
      <c r="O45" s="296"/>
      <c r="P45" s="1003"/>
      <c r="Q45" s="296"/>
      <c r="R45" s="1003"/>
      <c r="S45" s="296"/>
      <c r="T45" s="1003"/>
      <c r="U45" s="296"/>
      <c r="V45" s="1003"/>
      <c r="W45" s="296"/>
      <c r="X45" s="1003"/>
      <c r="Y45" s="296"/>
      <c r="Z45" s="868"/>
      <c r="AA45" s="1003"/>
      <c r="AB45" s="1795"/>
      <c r="AC45" s="296"/>
      <c r="AD45" s="1003"/>
      <c r="AF45" s="408"/>
      <c r="AJ45" s="1529"/>
      <c r="AK45" s="1529"/>
    </row>
    <row r="46" spans="1:37" ht="16.5" thickBot="1">
      <c r="A46" s="1235"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-22.6</v>
      </c>
      <c r="O46" s="20"/>
      <c r="P46" s="20">
        <f>ROUND(SUM(P14,P44),1)</f>
        <v>-10.6</v>
      </c>
      <c r="Q46" s="20"/>
      <c r="R46" s="73">
        <f>ROUND(SUM(R14,R44),1)</f>
        <v>0</v>
      </c>
      <c r="S46" s="20"/>
      <c r="T46" s="20">
        <f>ROUND(SUM(T14,T44),1)</f>
        <v>0</v>
      </c>
      <c r="U46" s="20"/>
      <c r="V46" s="20">
        <f>ROUND(SUM(V14,V44),1)</f>
        <v>0</v>
      </c>
      <c r="W46" s="20"/>
      <c r="X46" s="20">
        <f>ROUND(SUM(X14,X44),1)</f>
        <v>0</v>
      </c>
      <c r="Y46" s="20"/>
      <c r="Z46" s="21"/>
      <c r="AA46" s="20">
        <f>ROUND(SUM(AA14,AA44),1)</f>
        <v>-10.6</v>
      </c>
      <c r="AB46" s="1260"/>
      <c r="AC46" s="20"/>
      <c r="AD46" s="20">
        <f>ROUND(SUM(AD14,AD44),1)</f>
        <v>2.1</v>
      </c>
      <c r="AF46" s="408"/>
      <c r="AG46" s="73">
        <f>ROUND(SUM(AA46-AD46),1)</f>
        <v>-12.7</v>
      </c>
      <c r="AH46" s="385"/>
      <c r="AI46" s="1614">
        <f>ROUND(IF(AG46=0,0,AG46/ABS(AD46)),3)</f>
        <v>-6.048</v>
      </c>
      <c r="AJ46" s="1529"/>
      <c r="AK46" s="1529"/>
    </row>
    <row r="47" spans="1:37" ht="15.75" thickTop="1">
      <c r="A47" s="296"/>
      <c r="B47" s="1797"/>
      <c r="C47" s="296"/>
      <c r="D47" s="1797"/>
      <c r="E47" s="296"/>
      <c r="F47" s="1797"/>
      <c r="G47" s="296"/>
      <c r="H47" s="1797"/>
      <c r="I47" s="296"/>
      <c r="J47" s="1797"/>
      <c r="K47" s="296"/>
      <c r="L47" s="1797"/>
      <c r="M47" s="296"/>
      <c r="N47" s="1797"/>
      <c r="O47" s="296"/>
      <c r="P47" s="1797"/>
      <c r="Q47" s="296"/>
      <c r="R47" s="296"/>
      <c r="S47" s="296"/>
      <c r="T47" s="1797"/>
      <c r="U47" s="296"/>
      <c r="V47" s="1797"/>
      <c r="W47" s="296"/>
      <c r="X47" s="1797"/>
      <c r="Y47" s="296"/>
      <c r="Z47" s="296"/>
      <c r="AA47" s="1797"/>
      <c r="AB47" s="296"/>
      <c r="AC47" s="296"/>
      <c r="AD47" s="1797"/>
    </row>
    <row r="49" spans="1:1">
      <c r="A49" s="1621"/>
    </row>
    <row r="50" spans="1:1">
      <c r="A50" s="369"/>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90" workbookViewId="0"/>
  </sheetViews>
  <sheetFormatPr defaultColWidth="8.88671875" defaultRowHeight="15"/>
  <cols>
    <col min="1" max="1" width="41.109375" style="296" customWidth="1"/>
    <col min="2" max="2" width="11.88671875" style="296" customWidth="1"/>
    <col min="3" max="3" width="1.88671875" style="296" customWidth="1"/>
    <col min="4" max="4" width="11.88671875" style="296" customWidth="1"/>
    <col min="5" max="5" width="1.88671875" style="296" customWidth="1"/>
    <col min="6" max="6" width="11.88671875" style="296" customWidth="1"/>
    <col min="7" max="7" width="1.88671875" style="296" customWidth="1"/>
    <col min="8" max="8" width="11.88671875" style="296" customWidth="1"/>
    <col min="9" max="9" width="1.88671875" style="296" customWidth="1"/>
    <col min="10" max="10" width="11.88671875" style="296" customWidth="1"/>
    <col min="11" max="11" width="1.88671875" style="296" customWidth="1"/>
    <col min="12" max="12" width="12.88671875" style="296" customWidth="1"/>
    <col min="13" max="13" width="1.88671875" style="296" customWidth="1"/>
    <col min="14" max="14" width="11.88671875" style="296" customWidth="1"/>
    <col min="15" max="15" width="1.88671875" style="296" customWidth="1"/>
    <col min="16" max="16" width="11.88671875" style="296" customWidth="1"/>
    <col min="17" max="17" width="1.88671875" style="296" customWidth="1"/>
    <col min="18" max="18" width="11.88671875" style="296" customWidth="1"/>
    <col min="19" max="19" width="1.88671875" style="296" customWidth="1"/>
    <col min="20" max="20" width="11.88671875" style="296" customWidth="1"/>
    <col min="21" max="21" width="1.88671875" style="296" customWidth="1"/>
    <col min="22" max="22" width="11.88671875" style="296" customWidth="1"/>
    <col min="23" max="23" width="1.88671875" style="296" customWidth="1"/>
    <col min="24" max="24" width="11.88671875" style="296" customWidth="1"/>
    <col min="25" max="26" width="1.44140625" style="296" customWidth="1"/>
    <col min="27" max="27" width="12.109375" style="296" customWidth="1"/>
    <col min="28" max="29" width="1.44140625" style="296" customWidth="1"/>
    <col min="30" max="30" width="12.109375" style="296" customWidth="1"/>
    <col min="31" max="32" width="1.44140625" style="296" customWidth="1"/>
    <col min="33" max="33" width="11.88671875" style="296" customWidth="1"/>
    <col min="34" max="34" width="1.88671875" style="296" customWidth="1"/>
    <col min="35" max="35" width="11.88671875" style="296" customWidth="1"/>
    <col min="36" max="37" width="9.109375" style="296" bestFit="1" customWidth="1"/>
    <col min="38" max="16384" width="8.88671875" style="296"/>
  </cols>
  <sheetData>
    <row r="1" spans="1:37">
      <c r="A1" s="270" t="s">
        <v>97</v>
      </c>
    </row>
    <row r="2" spans="1:37">
      <c r="A2" s="359"/>
    </row>
    <row r="3" spans="1:37" ht="15.75">
      <c r="A3" s="3" t="s">
        <v>98</v>
      </c>
      <c r="K3" s="3"/>
      <c r="L3" s="3"/>
      <c r="AI3" s="1234" t="s">
        <v>602</v>
      </c>
    </row>
    <row r="4" spans="1:37" ht="15.75">
      <c r="A4" s="1235" t="s">
        <v>222</v>
      </c>
      <c r="H4" s="3" t="s">
        <v>103</v>
      </c>
      <c r="K4" s="3"/>
      <c r="L4" s="3"/>
      <c r="X4" s="296" t="s">
        <v>103</v>
      </c>
    </row>
    <row r="5" spans="1:37" ht="15.75">
      <c r="A5" s="6" t="s">
        <v>331</v>
      </c>
      <c r="K5" s="3"/>
      <c r="L5" s="3"/>
      <c r="AB5" s="1234"/>
      <c r="AC5" s="1234"/>
      <c r="AE5" s="1234"/>
    </row>
    <row r="6" spans="1:37" ht="15.75">
      <c r="A6" s="6" t="str">
        <f>'Cashflow Governmental'!A6</f>
        <v>FISCAL YEAR 2025-2026</v>
      </c>
      <c r="K6" s="3"/>
      <c r="L6" s="3"/>
    </row>
    <row r="7" spans="1:37" ht="15.75">
      <c r="A7" s="3" t="s">
        <v>102</v>
      </c>
      <c r="K7" s="3"/>
    </row>
    <row r="8" spans="1:37" ht="15.75">
      <c r="A8" s="3"/>
      <c r="K8" s="3"/>
    </row>
    <row r="9" spans="1:37" ht="15.75">
      <c r="A9" s="1235"/>
    </row>
    <row r="10" spans="1:37" ht="15.75">
      <c r="B10" s="1529"/>
      <c r="H10" s="3"/>
      <c r="I10" s="3"/>
      <c r="J10" s="3"/>
      <c r="Z10" s="2100" t="str">
        <f>'Cashflow Governmental'!$AB$12</f>
        <v>8 Months Ended November 30</v>
      </c>
      <c r="AA10" s="2100"/>
      <c r="AB10" s="2100"/>
      <c r="AC10" s="2100"/>
      <c r="AD10" s="2100"/>
      <c r="AE10" s="2100"/>
      <c r="AF10" s="2100"/>
      <c r="AG10" s="2100"/>
      <c r="AH10" s="2100"/>
      <c r="AI10" s="2100"/>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6" t="s">
        <v>332</v>
      </c>
      <c r="C12" s="3"/>
      <c r="D12" s="1236" t="s">
        <v>333</v>
      </c>
      <c r="E12" s="3"/>
      <c r="F12" s="1236" t="s">
        <v>334</v>
      </c>
      <c r="G12" s="3"/>
      <c r="H12" s="1236" t="s">
        <v>335</v>
      </c>
      <c r="I12" s="3"/>
      <c r="J12" s="1239" t="s">
        <v>603</v>
      </c>
      <c r="K12" s="3"/>
      <c r="L12" s="1239" t="s">
        <v>448</v>
      </c>
      <c r="M12" s="3"/>
      <c r="N12" s="1239" t="s">
        <v>449</v>
      </c>
      <c r="O12" s="3"/>
      <c r="P12" s="1236" t="s">
        <v>339</v>
      </c>
      <c r="Q12" s="3"/>
      <c r="R12" s="1236" t="s">
        <v>340</v>
      </c>
      <c r="S12" s="3"/>
      <c r="T12" s="1239" t="s">
        <v>341</v>
      </c>
      <c r="U12" s="3"/>
      <c r="V12" s="1236" t="s">
        <v>342</v>
      </c>
      <c r="W12" s="3"/>
      <c r="X12" s="1239" t="s">
        <v>450</v>
      </c>
      <c r="Y12" s="3"/>
      <c r="Z12" s="3"/>
      <c r="AA12" s="1236" t="str">
        <f>'Cashflow Governmental'!AB14</f>
        <v>2025</v>
      </c>
      <c r="AB12" s="54"/>
      <c r="AC12" s="54"/>
      <c r="AD12" s="1236" t="str">
        <f>'Cashflow Governmental'!AE14</f>
        <v>2024</v>
      </c>
      <c r="AE12" s="54"/>
      <c r="AF12" s="54"/>
      <c r="AG12" s="421" t="s">
        <v>112</v>
      </c>
      <c r="AH12" s="325"/>
      <c r="AI12" s="421" t="s">
        <v>113</v>
      </c>
    </row>
    <row r="13" spans="1:37" ht="7.35"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1892.3</v>
      </c>
      <c r="C14" s="20"/>
      <c r="D14" s="97">
        <f>B46</f>
        <v>1898.6</v>
      </c>
      <c r="E14" s="97"/>
      <c r="F14" s="97">
        <f>D46</f>
        <v>1889</v>
      </c>
      <c r="G14" s="44"/>
      <c r="H14" s="97">
        <f>F46</f>
        <v>1910.2</v>
      </c>
      <c r="I14" s="44"/>
      <c r="J14" s="97">
        <f>H46</f>
        <v>1916.3</v>
      </c>
      <c r="K14" s="44"/>
      <c r="L14" s="97">
        <f>J46</f>
        <v>1926.1</v>
      </c>
      <c r="M14" s="44"/>
      <c r="N14" s="97">
        <f>L46</f>
        <v>1936.8</v>
      </c>
      <c r="O14" s="44"/>
      <c r="P14" s="97">
        <f>N46</f>
        <v>1938</v>
      </c>
      <c r="Q14" s="97"/>
      <c r="R14" s="97"/>
      <c r="S14" s="97"/>
      <c r="T14" s="97"/>
      <c r="U14" s="97"/>
      <c r="V14" s="97"/>
      <c r="W14" s="97"/>
      <c r="X14" s="97"/>
      <c r="Y14" s="1761"/>
      <c r="Z14" s="1762"/>
      <c r="AA14" s="97">
        <f>B14</f>
        <v>1892.3</v>
      </c>
      <c r="AB14" s="1761"/>
      <c r="AC14" s="1760"/>
      <c r="AD14" s="2002">
        <v>1562.5</v>
      </c>
      <c r="AE14" s="1594"/>
      <c r="AF14" s="1763"/>
      <c r="AG14" s="20">
        <f>ROUND(SUM(AA14-AD14),1)</f>
        <v>329.8</v>
      </c>
      <c r="AI14" s="286">
        <f>ROUND(IF(AD14=0,1,AG14/ABS(AD14)),3)</f>
        <v>0.21099999999999999</v>
      </c>
      <c r="AJ14" s="1529"/>
      <c r="AK14" s="1529"/>
    </row>
    <row r="15" spans="1:37">
      <c r="F15" s="279"/>
      <c r="G15" s="279"/>
      <c r="H15" s="279"/>
      <c r="I15" s="430"/>
      <c r="J15" s="430"/>
      <c r="K15" s="279"/>
      <c r="L15" s="430"/>
      <c r="M15" s="430"/>
      <c r="N15" s="430"/>
      <c r="O15" s="430"/>
      <c r="P15" s="430"/>
      <c r="Q15" s="430"/>
      <c r="R15" s="430"/>
      <c r="S15" s="430"/>
      <c r="T15" s="430"/>
      <c r="U15" s="430"/>
      <c r="V15" s="430"/>
      <c r="W15" s="430"/>
      <c r="X15" s="430"/>
      <c r="Y15" s="1764"/>
      <c r="Z15" s="1765"/>
      <c r="AB15" s="1764"/>
      <c r="AC15" s="1596"/>
      <c r="AF15" s="1766"/>
      <c r="AJ15" s="1529"/>
      <c r="AK15" s="1529"/>
    </row>
    <row r="16" spans="1:37" ht="15.75">
      <c r="A16" s="3" t="s">
        <v>114</v>
      </c>
      <c r="F16" s="279"/>
      <c r="G16" s="279"/>
      <c r="H16" s="279"/>
      <c r="I16" s="430"/>
      <c r="J16" s="430"/>
      <c r="K16" s="279"/>
      <c r="L16" s="430"/>
      <c r="M16" s="430"/>
      <c r="N16" s="430"/>
      <c r="O16" s="430"/>
      <c r="P16" s="430"/>
      <c r="Q16" s="430"/>
      <c r="R16" s="430"/>
      <c r="S16" s="430"/>
      <c r="T16" s="430"/>
      <c r="U16" s="430"/>
      <c r="V16" s="430"/>
      <c r="W16" s="430"/>
      <c r="X16" s="430"/>
      <c r="Y16" s="1764"/>
      <c r="Z16" s="1765"/>
      <c r="AB16" s="1764"/>
      <c r="AC16" s="1596"/>
      <c r="AF16" s="1766"/>
      <c r="AJ16" s="1529"/>
      <c r="AK16" s="1529"/>
    </row>
    <row r="17" spans="1:37" s="10" customFormat="1" ht="15.75">
      <c r="A17" s="296" t="s">
        <v>594</v>
      </c>
      <c r="B17" s="269">
        <v>14.5</v>
      </c>
      <c r="C17" s="269"/>
      <c r="D17" s="269">
        <v>16.5</v>
      </c>
      <c r="E17" s="269"/>
      <c r="F17" s="269">
        <v>33.200000000000003</v>
      </c>
      <c r="G17" s="269"/>
      <c r="H17" s="269">
        <v>23.1</v>
      </c>
      <c r="I17" s="269"/>
      <c r="J17" s="269">
        <v>22.5</v>
      </c>
      <c r="K17" s="269"/>
      <c r="L17" s="269">
        <v>23.000000000000014</v>
      </c>
      <c r="M17" s="269"/>
      <c r="N17" s="269">
        <v>16.09999999999998</v>
      </c>
      <c r="O17" s="269"/>
      <c r="P17" s="269">
        <f>$AA17-L17-N17-J17-H17-F17-D17-B17</f>
        <v>20.600000000000037</v>
      </c>
      <c r="Q17" s="269"/>
      <c r="R17" s="269"/>
      <c r="S17" s="269"/>
      <c r="T17" s="269"/>
      <c r="U17" s="269"/>
      <c r="V17" s="269"/>
      <c r="W17" s="269"/>
      <c r="X17" s="269"/>
      <c r="Y17" s="269"/>
      <c r="Z17" s="529"/>
      <c r="AA17" s="1001">
        <v>169.5</v>
      </c>
      <c r="AB17" s="269"/>
      <c r="AC17" s="530" t="s">
        <v>103</v>
      </c>
      <c r="AD17" s="1001">
        <v>205.7</v>
      </c>
      <c r="AE17" s="26"/>
      <c r="AF17" s="1771"/>
      <c r="AG17" s="388">
        <f>ROUND(SUM(AA17-AD17),1)</f>
        <v>-36.200000000000003</v>
      </c>
      <c r="AH17" s="296"/>
      <c r="AI17" s="1620">
        <f>ROUND(IF(AG17=0,0,AG17/ABS(AD17)),3)</f>
        <v>-0.17599999999999999</v>
      </c>
      <c r="AJ17" s="1669"/>
      <c r="AK17" s="1670"/>
    </row>
    <row r="18" spans="1:37" s="10" customFormat="1">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1"/>
      <c r="AC18" s="269"/>
      <c r="AD18" s="269"/>
      <c r="AE18" s="269"/>
      <c r="AF18" s="1771"/>
      <c r="AG18" s="269"/>
      <c r="AH18" s="296"/>
      <c r="AI18" s="296"/>
      <c r="AJ18" s="1669"/>
      <c r="AK18" s="1670"/>
    </row>
    <row r="19" spans="1:37" s="10" customFormat="1" ht="15.75">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16.100000000000001</v>
      </c>
      <c r="O19" s="13"/>
      <c r="P19" s="13">
        <f>ROUND(SUM(P17),1)</f>
        <v>20.6</v>
      </c>
      <c r="Q19" s="13"/>
      <c r="R19" s="13">
        <f>ROUND(SUM(R17),1)</f>
        <v>0</v>
      </c>
      <c r="S19" s="13"/>
      <c r="T19" s="13">
        <f>ROUND(SUM(T17),1)</f>
        <v>0</v>
      </c>
      <c r="U19" s="13"/>
      <c r="V19" s="13">
        <f>ROUND(SUM(V17),1)</f>
        <v>0</v>
      </c>
      <c r="W19" s="13"/>
      <c r="X19" s="13">
        <f>ROUND(SUM(X17),1)</f>
        <v>0</v>
      </c>
      <c r="Y19" s="13"/>
      <c r="Z19" s="14"/>
      <c r="AA19" s="13">
        <f>ROUND(SUM(AA17),1)</f>
        <v>169.5</v>
      </c>
      <c r="AB19" s="1253"/>
      <c r="AC19" s="13"/>
      <c r="AD19" s="13">
        <f>ROUND(SUM(AD17),1)</f>
        <v>205.7</v>
      </c>
      <c r="AE19" s="269"/>
      <c r="AF19" s="1771"/>
      <c r="AG19" s="362">
        <f>ROUND(SUM(AG17),1)</f>
        <v>-36.200000000000003</v>
      </c>
      <c r="AH19" s="40"/>
      <c r="AI19" s="1607">
        <f>ROUND(IF(AG19=0,0,AG19/ABS(AD19)),3)</f>
        <v>-0.17599999999999999</v>
      </c>
      <c r="AJ19" s="1669"/>
      <c r="AK19" s="1670"/>
    </row>
    <row r="20" spans="1:37" s="10" customFormat="1">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1"/>
      <c r="AC20" s="269"/>
      <c r="AD20" s="622"/>
      <c r="AE20" s="269"/>
      <c r="AF20" s="1771"/>
      <c r="AG20" s="269"/>
      <c r="AH20" s="296"/>
      <c r="AI20" s="296"/>
      <c r="AJ20" s="1669"/>
      <c r="AK20" s="1670"/>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9"/>
      <c r="Z21" s="1770"/>
      <c r="AA21" s="269"/>
      <c r="AB21" s="1769"/>
      <c r="AC21" s="417"/>
      <c r="AD21" s="269"/>
      <c r="AE21" s="269"/>
      <c r="AF21" s="1771"/>
      <c r="AG21" s="269"/>
      <c r="AJ21" s="1529"/>
      <c r="AK21" s="1529"/>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9"/>
      <c r="Z22" s="1770"/>
      <c r="AA22" s="269"/>
      <c r="AB22" s="1769"/>
      <c r="AC22" s="417"/>
      <c r="AD22" s="269"/>
      <c r="AE22" s="269"/>
      <c r="AF22" s="1771"/>
      <c r="AG22" s="269"/>
      <c r="AJ22" s="1529"/>
      <c r="AK22" s="1529"/>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9"/>
      <c r="Z23" s="1770"/>
      <c r="AA23" s="280"/>
      <c r="AB23" s="1778"/>
      <c r="AC23" s="1779"/>
      <c r="AD23" s="280"/>
      <c r="AE23" s="280"/>
      <c r="AF23" s="408"/>
      <c r="AG23" s="269"/>
      <c r="AJ23" s="1529"/>
      <c r="AK23" s="1529"/>
    </row>
    <row r="24" spans="1:37">
      <c r="A24" s="296" t="s">
        <v>596</v>
      </c>
      <c r="B24" s="292">
        <v>7.6</v>
      </c>
      <c r="C24" s="269"/>
      <c r="D24" s="292">
        <v>10.699999999999998</v>
      </c>
      <c r="E24" s="269"/>
      <c r="F24" s="292">
        <v>6.6</v>
      </c>
      <c r="G24" s="269"/>
      <c r="H24" s="292">
        <v>10.199999999999999</v>
      </c>
      <c r="I24" s="417"/>
      <c r="J24" s="269">
        <v>6.8</v>
      </c>
      <c r="K24" s="269"/>
      <c r="L24" s="269">
        <v>6.8000000000000043</v>
      </c>
      <c r="M24" s="417"/>
      <c r="N24" s="269">
        <v>6.8000000000000043</v>
      </c>
      <c r="O24" s="417"/>
      <c r="P24" s="293">
        <f>$AA24-L24-N24-J24-H24-F24-D24-B24</f>
        <v>7</v>
      </c>
      <c r="Q24" s="293"/>
      <c r="R24" s="293"/>
      <c r="S24" s="293"/>
      <c r="T24" s="293"/>
      <c r="U24" s="293"/>
      <c r="V24" s="293"/>
      <c r="W24" s="293"/>
      <c r="X24" s="293"/>
      <c r="Y24" s="1769"/>
      <c r="Z24" s="1770"/>
      <c r="AA24" s="537">
        <v>62.5</v>
      </c>
      <c r="AB24" s="269"/>
      <c r="AC24" s="530" t="s">
        <v>103</v>
      </c>
      <c r="AD24" s="537">
        <v>56.5</v>
      </c>
      <c r="AE24" s="294"/>
      <c r="AF24" s="408"/>
      <c r="AG24" s="269">
        <f>ROUND(SUM(AA24-AD24),1)</f>
        <v>6</v>
      </c>
      <c r="AI24" s="1622">
        <f>ROUND(IF(AG24=0,0,AG24/ABS(AD24)),3)</f>
        <v>0.106</v>
      </c>
      <c r="AJ24" s="1529"/>
      <c r="AK24" s="1529"/>
    </row>
    <row r="25" spans="1:37">
      <c r="A25" s="418" t="s">
        <v>513</v>
      </c>
      <c r="B25" s="292">
        <v>0.6</v>
      </c>
      <c r="C25" s="269"/>
      <c r="D25" s="292">
        <v>2.4</v>
      </c>
      <c r="E25" s="269"/>
      <c r="F25" s="292">
        <v>1.5</v>
      </c>
      <c r="G25" s="269"/>
      <c r="H25" s="292">
        <v>2.7</v>
      </c>
      <c r="I25" s="417"/>
      <c r="J25" s="269">
        <v>1.9</v>
      </c>
      <c r="K25" s="269"/>
      <c r="L25" s="269">
        <v>1.4000000000000004</v>
      </c>
      <c r="M25" s="417"/>
      <c r="N25" s="269">
        <v>1.8999999999999995</v>
      </c>
      <c r="O25" s="417"/>
      <c r="P25" s="293">
        <f t="shared" ref="P25:P26" si="0">$AA25-L25-N25-J25-H25-F25-D25-B25</f>
        <v>2.7</v>
      </c>
      <c r="Q25" s="417"/>
      <c r="R25" s="293"/>
      <c r="S25" s="417"/>
      <c r="T25" s="293"/>
      <c r="U25" s="417"/>
      <c r="V25" s="293"/>
      <c r="W25" s="417"/>
      <c r="X25" s="293"/>
      <c r="Y25" s="1769"/>
      <c r="Z25" s="1770"/>
      <c r="AA25" s="537">
        <v>15.1</v>
      </c>
      <c r="AB25" s="269"/>
      <c r="AC25" s="530" t="s">
        <v>103</v>
      </c>
      <c r="AD25" s="537">
        <v>55.8</v>
      </c>
      <c r="AE25" s="280"/>
      <c r="AF25" s="408"/>
      <c r="AG25" s="269">
        <f>ROUND(SUM(AA25-AD25),1)</f>
        <v>-40.700000000000003</v>
      </c>
      <c r="AH25" s="1601"/>
      <c r="AI25" s="1622">
        <f>ROUND(IF(AG25=0,0,AG25/ABS(AD25)),3)</f>
        <v>-0.72899999999999998</v>
      </c>
      <c r="AJ25" s="1529"/>
      <c r="AK25" s="1529"/>
    </row>
    <row r="26" spans="1:37" s="10" customFormat="1">
      <c r="A26" s="296" t="s">
        <v>459</v>
      </c>
      <c r="B26" s="292">
        <v>0</v>
      </c>
      <c r="C26" s="269"/>
      <c r="D26" s="292">
        <v>13</v>
      </c>
      <c r="E26" s="269"/>
      <c r="F26" s="292">
        <v>3.8999999999999986</v>
      </c>
      <c r="G26" s="269"/>
      <c r="H26" s="292">
        <v>4.0999999999999996</v>
      </c>
      <c r="I26" s="269"/>
      <c r="J26" s="269">
        <v>4</v>
      </c>
      <c r="K26" s="269"/>
      <c r="L26" s="269">
        <v>4.1000000000000014</v>
      </c>
      <c r="M26" s="269"/>
      <c r="N26" s="269">
        <v>6.1999999999999957</v>
      </c>
      <c r="O26" s="269"/>
      <c r="P26" s="293">
        <f t="shared" si="0"/>
        <v>4.2000000000000028</v>
      </c>
      <c r="Q26" s="269"/>
      <c r="R26" s="269"/>
      <c r="S26" s="269"/>
      <c r="T26" s="269"/>
      <c r="U26" s="269"/>
      <c r="V26" s="269"/>
      <c r="W26" s="269"/>
      <c r="X26" s="269"/>
      <c r="Y26" s="269"/>
      <c r="Z26" s="529"/>
      <c r="AA26" s="537">
        <v>39.5</v>
      </c>
      <c r="AB26" s="269"/>
      <c r="AC26" s="530" t="s">
        <v>103</v>
      </c>
      <c r="AD26" s="537">
        <v>39</v>
      </c>
      <c r="AE26" s="269"/>
      <c r="AF26" s="1771"/>
      <c r="AG26" s="388">
        <f>ROUND(SUM(AA26-AD26),1)</f>
        <v>0.5</v>
      </c>
      <c r="AH26" s="296"/>
      <c r="AI26" s="1620">
        <f>ROUND(IF(AG26=0,0,AG26/ABS(AD26)),3)</f>
        <v>1.2999999999999999E-2</v>
      </c>
      <c r="AJ26" s="1529"/>
      <c r="AK26" s="1523"/>
    </row>
    <row r="27" spans="1:37" s="10" customFormat="1"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1"/>
      <c r="AC27" s="269"/>
      <c r="AD27" s="622"/>
      <c r="AE27" s="26"/>
      <c r="AF27" s="408"/>
      <c r="AG27" s="269"/>
      <c r="AH27" s="273"/>
      <c r="AI27" s="1604"/>
      <c r="AJ27" s="1529"/>
      <c r="AK27" s="1523"/>
    </row>
    <row r="28" spans="1:37" s="10" customFormat="1" ht="15.75">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14.9</v>
      </c>
      <c r="O28" s="13"/>
      <c r="P28" s="13">
        <f>ROUND(SUM(P24)+SUM(P25)+SUM(P26),1)</f>
        <v>13.9</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117.1</v>
      </c>
      <c r="AB28" s="1253"/>
      <c r="AC28" s="13"/>
      <c r="AD28" s="13">
        <f>ROUND(SUM(AD24)+SUM(AD25)+SUM(AD26),1)</f>
        <v>151.30000000000001</v>
      </c>
      <c r="AE28" s="269"/>
      <c r="AF28" s="1780"/>
      <c r="AG28" s="362">
        <f>ROUND(SUM(AG24:AG26),1)</f>
        <v>-34.200000000000003</v>
      </c>
      <c r="AH28" s="40"/>
      <c r="AI28" s="1607">
        <f>ROUND(IF(AG28=0,0,AG28/ABS(AD28)),3)</f>
        <v>-0.22600000000000001</v>
      </c>
      <c r="AJ28" s="1529"/>
      <c r="AK28" s="1523"/>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1"/>
      <c r="AC29" s="269"/>
      <c r="AD29" s="622"/>
      <c r="AE29" s="269"/>
      <c r="AF29" s="1780"/>
      <c r="AG29" s="269"/>
      <c r="AH29" s="296"/>
      <c r="AI29" s="296"/>
      <c r="AJ29" s="1529"/>
      <c r="AK29" s="1523"/>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9"/>
      <c r="Z30" s="1770"/>
      <c r="AA30" s="269"/>
      <c r="AB30" s="1769"/>
      <c r="AC30" s="417"/>
      <c r="AD30" s="269"/>
      <c r="AE30" s="269"/>
      <c r="AF30" s="1771"/>
      <c r="AG30" s="269"/>
      <c r="AJ30" s="1671"/>
      <c r="AK30" s="1671"/>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9"/>
      <c r="Z31" s="1770"/>
      <c r="AA31" s="269"/>
      <c r="AB31" s="1769"/>
      <c r="AC31" s="417"/>
      <c r="AD31" s="269"/>
      <c r="AE31" s="269"/>
      <c r="AF31" s="1771"/>
      <c r="AG31" s="269"/>
      <c r="AJ31" s="1529"/>
      <c r="AK31" s="1529"/>
    </row>
    <row r="32" spans="1:37" ht="15.75">
      <c r="A32" s="3" t="s">
        <v>144</v>
      </c>
      <c r="B32" s="1794">
        <f>ROUND(B19-B28,1)</f>
        <v>6.3</v>
      </c>
      <c r="C32" s="13"/>
      <c r="D32" s="1794">
        <f>ROUND(D19-D28,1)</f>
        <v>-9.6</v>
      </c>
      <c r="E32" s="13"/>
      <c r="F32" s="1794">
        <f>ROUND(F19-F28,1)</f>
        <v>21.2</v>
      </c>
      <c r="G32" s="13"/>
      <c r="H32" s="1794">
        <f>ROUND(H19-H28,1)</f>
        <v>6.1</v>
      </c>
      <c r="I32" s="13"/>
      <c r="J32" s="1794">
        <f>ROUND(J19-J28,1)</f>
        <v>9.8000000000000007</v>
      </c>
      <c r="K32" s="13"/>
      <c r="L32" s="1794">
        <f>ROUND(L19-L28,1)</f>
        <v>10.7</v>
      </c>
      <c r="M32" s="1773"/>
      <c r="N32" s="1794">
        <f>ROUND(N19-N28,1)</f>
        <v>1.2</v>
      </c>
      <c r="O32" s="1773"/>
      <c r="P32" s="1794">
        <f>ROUND(P19-P28,1)</f>
        <v>6.7</v>
      </c>
      <c r="Q32" s="399"/>
      <c r="R32" s="1794">
        <f>ROUND(R19-R28,1)</f>
        <v>0</v>
      </c>
      <c r="S32" s="1773"/>
      <c r="T32" s="1794">
        <f>ROUND(T19-T28,1)</f>
        <v>0</v>
      </c>
      <c r="U32" s="1773"/>
      <c r="V32" s="1794">
        <f>ROUND(V19-V28,1)</f>
        <v>0</v>
      </c>
      <c r="W32" s="1773"/>
      <c r="X32" s="1794">
        <f>ROUND(X19-X28,1)</f>
        <v>0</v>
      </c>
      <c r="Y32" s="1774"/>
      <c r="Z32" s="1775"/>
      <c r="AA32" s="1781">
        <f>ROUND(AA19-AA28,1)</f>
        <v>52.4</v>
      </c>
      <c r="AB32" s="1774"/>
      <c r="AC32" s="1773"/>
      <c r="AD32" s="1781">
        <f>ROUND(AD19-AD28,1)</f>
        <v>54.4</v>
      </c>
      <c r="AE32" s="26"/>
      <c r="AF32" s="408"/>
      <c r="AG32" s="1783">
        <f>ROUND(SUM(AA32-AD32),1)</f>
        <v>-2</v>
      </c>
      <c r="AI32" s="1789">
        <f>ROUND(IF(AD32=0,1,AG32/ABS(AD32)),3)</f>
        <v>-3.6999999999999998E-2</v>
      </c>
      <c r="AJ32" s="1529"/>
      <c r="AK32" s="1529"/>
    </row>
    <row r="33" spans="1:37" ht="15.75">
      <c r="A33" s="3"/>
      <c r="B33" s="399"/>
      <c r="C33" s="13"/>
      <c r="D33" s="399"/>
      <c r="E33" s="13"/>
      <c r="F33" s="399"/>
      <c r="G33" s="13"/>
      <c r="H33" s="399"/>
      <c r="I33" s="13"/>
      <c r="J33" s="399"/>
      <c r="K33" s="13"/>
      <c r="L33" s="399"/>
      <c r="M33" s="1773"/>
      <c r="N33" s="399"/>
      <c r="O33" s="1773"/>
      <c r="P33" s="399"/>
      <c r="Q33" s="399"/>
      <c r="R33" s="399"/>
      <c r="S33" s="1773"/>
      <c r="T33" s="399"/>
      <c r="U33" s="1773"/>
      <c r="V33" s="399"/>
      <c r="W33" s="1773"/>
      <c r="X33" s="399"/>
      <c r="Y33" s="1774"/>
      <c r="Z33" s="1775"/>
      <c r="AA33" s="26"/>
      <c r="AB33" s="1774"/>
      <c r="AC33" s="1773"/>
      <c r="AD33" s="26"/>
      <c r="AE33" s="26"/>
      <c r="AF33" s="408"/>
      <c r="AG33" s="13"/>
      <c r="AI33" s="549"/>
      <c r="AJ33" s="1529"/>
      <c r="AK33" s="1529"/>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9"/>
      <c r="Z34" s="1770"/>
      <c r="AA34" s="269"/>
      <c r="AB34" s="1769"/>
      <c r="AC34" s="417"/>
      <c r="AD34" s="269"/>
      <c r="AE34" s="269"/>
      <c r="AF34" s="1780"/>
      <c r="AG34" s="269"/>
      <c r="AJ34" s="1529"/>
      <c r="AK34" s="1529"/>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9"/>
      <c r="Z35" s="1770"/>
      <c r="AA35" s="269"/>
      <c r="AB35" s="1769"/>
      <c r="AC35" s="417"/>
      <c r="AD35" s="269"/>
      <c r="AE35" s="269"/>
      <c r="AF35" s="1780"/>
      <c r="AG35" s="269"/>
      <c r="AJ35" s="1529"/>
      <c r="AK35" s="1529"/>
    </row>
    <row r="36" spans="1:37">
      <c r="A36" s="296" t="s">
        <v>540</v>
      </c>
      <c r="B36" s="292">
        <v>0</v>
      </c>
      <c r="C36" s="269"/>
      <c r="D36" s="292">
        <v>0</v>
      </c>
      <c r="E36" s="269"/>
      <c r="F36" s="292">
        <v>0</v>
      </c>
      <c r="G36" s="269"/>
      <c r="H36" s="292">
        <v>0</v>
      </c>
      <c r="I36" s="417"/>
      <c r="J36" s="269">
        <f>$AA36-F36-H36-D36-B36</f>
        <v>0</v>
      </c>
      <c r="K36" s="269"/>
      <c r="L36" s="269">
        <v>0</v>
      </c>
      <c r="M36" s="417"/>
      <c r="N36" s="269">
        <v>0</v>
      </c>
      <c r="O36" s="417"/>
      <c r="P36" s="293">
        <f>$AA36-L36-N36-J36-H36-F36-D36-B36</f>
        <v>0</v>
      </c>
      <c r="Q36" s="417"/>
      <c r="R36" s="293"/>
      <c r="S36" s="417"/>
      <c r="T36" s="293"/>
      <c r="U36" s="417"/>
      <c r="V36" s="293"/>
      <c r="W36" s="417"/>
      <c r="X36" s="293"/>
      <c r="Y36" s="1769"/>
      <c r="Z36" s="1770"/>
      <c r="AA36" s="537">
        <v>0</v>
      </c>
      <c r="AB36" s="269"/>
      <c r="AC36" s="530" t="s">
        <v>103</v>
      </c>
      <c r="AD36" s="537">
        <v>0</v>
      </c>
      <c r="AE36" s="280"/>
      <c r="AF36" s="1785"/>
      <c r="AG36" s="269">
        <f>ROUND(SUM(AA36-AD36),1)</f>
        <v>0</v>
      </c>
      <c r="AH36" s="1601"/>
      <c r="AI36" s="1622">
        <f>ROUND(IF(AG36=0,0,AG36/ABS(AD36)),3)</f>
        <v>0</v>
      </c>
      <c r="AJ36" s="1529"/>
      <c r="AK36" s="1529"/>
    </row>
    <row r="37" spans="1:37" s="10" customFormat="1">
      <c r="A37" s="296" t="s">
        <v>541</v>
      </c>
      <c r="B37" s="292">
        <v>0</v>
      </c>
      <c r="C37" s="269"/>
      <c r="D37" s="292">
        <v>0</v>
      </c>
      <c r="E37" s="269"/>
      <c r="F37" s="292">
        <v>0</v>
      </c>
      <c r="G37" s="269"/>
      <c r="H37" s="292">
        <v>0</v>
      </c>
      <c r="I37" s="269"/>
      <c r="J37" s="269">
        <f>$AA37-F37-H37-D37-B37</f>
        <v>0</v>
      </c>
      <c r="K37" s="269"/>
      <c r="L37" s="269">
        <v>0</v>
      </c>
      <c r="M37" s="269"/>
      <c r="N37" s="269">
        <v>0</v>
      </c>
      <c r="O37" s="269"/>
      <c r="P37" s="293">
        <f>$AA37-L37-N37-J37-H37-F37-D37-B37</f>
        <v>0</v>
      </c>
      <c r="Q37" s="269"/>
      <c r="R37" s="269"/>
      <c r="S37" s="269"/>
      <c r="T37" s="269"/>
      <c r="U37" s="269"/>
      <c r="V37" s="269"/>
      <c r="W37" s="269"/>
      <c r="X37" s="269"/>
      <c r="Y37" s="269"/>
      <c r="Z37" s="529"/>
      <c r="AA37" s="537">
        <v>0</v>
      </c>
      <c r="AB37" s="269"/>
      <c r="AC37" s="530" t="s">
        <v>103</v>
      </c>
      <c r="AD37" s="537">
        <v>0</v>
      </c>
      <c r="AE37" s="273"/>
      <c r="AF37" s="412"/>
      <c r="AG37" s="1786">
        <f>ROUND(SUM(AA37-AD37),1)</f>
        <v>0</v>
      </c>
      <c r="AH37" s="1601"/>
      <c r="AI37" s="1040">
        <f>ROUND(IF(AG37=0,0,AG37/ABS(AD37)),3)</f>
        <v>0</v>
      </c>
      <c r="AJ37" s="1529"/>
      <c r="AK37" s="1523"/>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7"/>
      <c r="AB38" s="1251"/>
      <c r="AC38" s="269"/>
      <c r="AD38" s="1787"/>
      <c r="AE38" s="273"/>
      <c r="AF38" s="412"/>
      <c r="AG38" s="296"/>
      <c r="AH38" s="296"/>
      <c r="AI38" s="296"/>
      <c r="AJ38" s="1529"/>
      <c r="AK38" s="1523"/>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3"/>
      <c r="AC39" s="13"/>
      <c r="AD39" s="13">
        <f>ROUND(SUM(AD36:AD37),1)</f>
        <v>0</v>
      </c>
      <c r="AE39" s="111"/>
      <c r="AF39" s="408"/>
      <c r="AG39" s="362">
        <f>ROUND(SUM(AG36-AG37),1)</f>
        <v>0</v>
      </c>
      <c r="AH39" s="54"/>
      <c r="AI39" s="1607">
        <f>ROUND(IF(AG39=0,0,AG39/ABS(AD39)),3)</f>
        <v>0</v>
      </c>
      <c r="AJ39" s="1529"/>
      <c r="AK39" s="1523"/>
    </row>
    <row r="40" spans="1:37" s="10" customFormat="1">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1"/>
      <c r="AC40" s="269"/>
      <c r="AD40" s="622"/>
      <c r="AE40" s="273"/>
      <c r="AF40" s="412"/>
      <c r="AG40" s="296"/>
      <c r="AH40" s="296"/>
      <c r="AI40" s="296"/>
      <c r="AJ40" s="1529"/>
      <c r="AK40" s="1523"/>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1"/>
      <c r="AC41" s="269"/>
      <c r="AD41" s="269"/>
      <c r="AE41" s="273"/>
      <c r="AF41" s="412"/>
      <c r="AG41" s="296"/>
      <c r="AH41" s="296"/>
      <c r="AI41" s="296"/>
      <c r="AJ41" s="1529"/>
      <c r="AK41" s="1523"/>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9"/>
      <c r="Z42" s="1770"/>
      <c r="AA42" s="269"/>
      <c r="AB42" s="1769"/>
      <c r="AC42" s="417"/>
      <c r="AD42" s="269"/>
      <c r="AE42" s="269"/>
      <c r="AF42" s="1771"/>
      <c r="AG42" s="269"/>
      <c r="AJ42" s="1529"/>
      <c r="AK42" s="1529"/>
    </row>
    <row r="43" spans="1:37" ht="15.75">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9"/>
      <c r="Z43" s="1770"/>
      <c r="AA43" s="269"/>
      <c r="AB43" s="1769"/>
      <c r="AC43" s="417"/>
      <c r="AD43" s="18"/>
      <c r="AE43" s="18"/>
      <c r="AF43" s="412"/>
      <c r="AG43" s="269"/>
      <c r="AJ43" s="1529"/>
      <c r="AK43" s="1529"/>
    </row>
    <row r="44" spans="1:37" s="3" customFormat="1" ht="15.75">
      <c r="A44" s="3" t="s">
        <v>604</v>
      </c>
      <c r="B44" s="1781">
        <f>ROUND(+B32+B39,1)</f>
        <v>6.3</v>
      </c>
      <c r="C44" s="13"/>
      <c r="D44" s="1781">
        <f>ROUND(+D32+D39,1)</f>
        <v>-9.6</v>
      </c>
      <c r="E44" s="18"/>
      <c r="F44" s="1781">
        <f>ROUND(+F32+F39,1)</f>
        <v>21.2</v>
      </c>
      <c r="G44" s="18"/>
      <c r="H44" s="1781">
        <f>ROUND(+H32+H39,1)</f>
        <v>6.1</v>
      </c>
      <c r="I44" s="1788"/>
      <c r="J44" s="1781">
        <f>ROUND(+J32+J39,1)</f>
        <v>9.8000000000000007</v>
      </c>
      <c r="K44" s="18"/>
      <c r="L44" s="1781">
        <f>ROUND(+L32+L39,1)</f>
        <v>10.7</v>
      </c>
      <c r="M44" s="26"/>
      <c r="N44" s="1781">
        <f>ROUND(+N32+N39,1)</f>
        <v>1.2</v>
      </c>
      <c r="O44" s="26"/>
      <c r="P44" s="1781">
        <f>ROUND(+P32+P39,1)</f>
        <v>6.7</v>
      </c>
      <c r="Q44" s="26"/>
      <c r="R44" s="1781">
        <f>ROUND(+R32+R39,1)</f>
        <v>0</v>
      </c>
      <c r="S44" s="1788"/>
      <c r="T44" s="1781">
        <f>ROUND(+T32+T39,1)</f>
        <v>0</v>
      </c>
      <c r="U44" s="1788"/>
      <c r="V44" s="1781">
        <f>ROUND(+V32+V39,1)</f>
        <v>0</v>
      </c>
      <c r="W44" s="1788"/>
      <c r="X44" s="1781">
        <f>ROUND(+X32+X39,1)</f>
        <v>0</v>
      </c>
      <c r="Y44" s="1774"/>
      <c r="Z44" s="1775"/>
      <c r="AA44" s="1781">
        <f>ROUND(AA32+AA39,1)</f>
        <v>52.4</v>
      </c>
      <c r="AB44" s="13"/>
      <c r="AC44" s="676"/>
      <c r="AD44" s="1781">
        <f>ROUND(AD32+AD39,1)</f>
        <v>54.4</v>
      </c>
      <c r="AE44" s="26"/>
      <c r="AF44" s="96"/>
      <c r="AG44" s="1783">
        <f>ROUND(SUM(AA44-AD44),1)</f>
        <v>-2</v>
      </c>
      <c r="AH44" s="296"/>
      <c r="AI44" s="1789">
        <f>ROUND(IF(AD44=0,1,AG44/ABS(AD44)),3)</f>
        <v>-3.6999999999999998E-2</v>
      </c>
      <c r="AJ44" s="1529"/>
      <c r="AK44" s="1529"/>
    </row>
    <row r="45" spans="1:37" s="3" customFormat="1" ht="15.75">
      <c r="B45" s="26"/>
      <c r="C45" s="13"/>
      <c r="D45" s="26"/>
      <c r="E45" s="18"/>
      <c r="F45" s="26"/>
      <c r="G45" s="18"/>
      <c r="H45" s="26"/>
      <c r="I45" s="1788"/>
      <c r="J45" s="26"/>
      <c r="K45" s="18"/>
      <c r="L45" s="26"/>
      <c r="M45" s="26"/>
      <c r="N45" s="26"/>
      <c r="O45" s="26"/>
      <c r="P45" s="26"/>
      <c r="Q45" s="26"/>
      <c r="R45" s="26"/>
      <c r="S45" s="1788"/>
      <c r="T45" s="26"/>
      <c r="U45" s="1788"/>
      <c r="V45" s="26"/>
      <c r="W45" s="1788"/>
      <c r="X45" s="26"/>
      <c r="Y45" s="1774"/>
      <c r="Z45" s="1775"/>
      <c r="AA45" s="26"/>
      <c r="AB45" s="13"/>
      <c r="AC45" s="676"/>
      <c r="AD45" s="26"/>
      <c r="AE45" s="26"/>
      <c r="AF45" s="96"/>
      <c r="AG45" s="13"/>
      <c r="AH45" s="296"/>
      <c r="AI45" s="549"/>
      <c r="AJ45" s="1529"/>
      <c r="AK45" s="1529"/>
    </row>
    <row r="46" spans="1:37" ht="15.75">
      <c r="A46" s="3" t="s">
        <v>436</v>
      </c>
      <c r="B46" s="1790">
        <f>ROUND(B14+B44,1)</f>
        <v>1898.6</v>
      </c>
      <c r="C46" s="20"/>
      <c r="D46" s="1790">
        <f>ROUND(D14+D44,1)</f>
        <v>1889</v>
      </c>
      <c r="E46" s="20"/>
      <c r="F46" s="1790">
        <f>ROUND(F14+F44,1)</f>
        <v>1910.2</v>
      </c>
      <c r="G46" s="20"/>
      <c r="H46" s="20">
        <f>ROUND(H14+H44,1)</f>
        <v>1916.3</v>
      </c>
      <c r="I46" s="1760"/>
      <c r="J46" s="20">
        <f>ROUND(J14+J44,1)</f>
        <v>1926.1</v>
      </c>
      <c r="K46" s="20"/>
      <c r="L46" s="20">
        <f>ROUND(L14+L44,1)</f>
        <v>1936.8</v>
      </c>
      <c r="M46" s="20"/>
      <c r="N46" s="20">
        <f>ROUND(N14+N44,1)</f>
        <v>1938</v>
      </c>
      <c r="O46" s="20"/>
      <c r="P46" s="20">
        <f>ROUND(P14+P44,1)</f>
        <v>1944.7</v>
      </c>
      <c r="Q46" s="20"/>
      <c r="R46" s="20">
        <f>ROUND(R14+R44,1)</f>
        <v>0</v>
      </c>
      <c r="S46" s="1760"/>
      <c r="T46" s="20">
        <f>ROUND(T14+T44,1)</f>
        <v>0</v>
      </c>
      <c r="U46" s="1760"/>
      <c r="V46" s="20">
        <f>ROUND(V14+V44,1)</f>
        <v>0</v>
      </c>
      <c r="W46" s="1760"/>
      <c r="X46" s="20">
        <f>ROUND(X14+X44,1)</f>
        <v>0</v>
      </c>
      <c r="Y46" s="1761"/>
      <c r="Z46" s="1762"/>
      <c r="AA46" s="20">
        <f>ROUND(SUM(AA14,AA44),1)</f>
        <v>1944.7</v>
      </c>
      <c r="AB46" s="20"/>
      <c r="AC46" s="1126"/>
      <c r="AD46" s="1573">
        <f>ROUND(SUM(AD14,AD44),1)</f>
        <v>1616.9</v>
      </c>
      <c r="AE46" s="20"/>
      <c r="AF46" s="409"/>
      <c r="AG46" s="1573">
        <f>ROUND(SUM(AA46-AD46),1)</f>
        <v>327.8</v>
      </c>
      <c r="AH46" s="385"/>
      <c r="AI46" s="1791">
        <f>ROUND(IF(AD46=0,1,AG46/ABS(AD46)),3)</f>
        <v>0.20300000000000001</v>
      </c>
      <c r="AJ46" s="1529"/>
      <c r="AK46" s="1529"/>
    </row>
    <row r="47" spans="1:37">
      <c r="A47" s="296" t="s">
        <v>103</v>
      </c>
      <c r="B47" s="1792"/>
      <c r="C47" s="273"/>
      <c r="D47" s="1792"/>
      <c r="E47" s="273"/>
      <c r="F47" s="1792"/>
      <c r="G47" s="273"/>
      <c r="H47" s="1792"/>
      <c r="I47" s="273"/>
      <c r="J47" s="1792"/>
      <c r="K47" s="273"/>
      <c r="L47" s="1792"/>
      <c r="M47" s="273"/>
      <c r="N47" s="1792"/>
      <c r="O47" s="273"/>
      <c r="P47" s="1792"/>
      <c r="Q47" s="273"/>
      <c r="R47" s="1792"/>
      <c r="S47" s="273"/>
      <c r="T47" s="1792"/>
      <c r="U47" s="273"/>
      <c r="V47" s="1792"/>
      <c r="W47" s="273"/>
      <c r="X47" s="1792"/>
      <c r="Y47" s="273"/>
      <c r="Z47" s="273"/>
      <c r="AA47" s="1792"/>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zoomScaleNormal="90" workbookViewId="0"/>
  </sheetViews>
  <sheetFormatPr defaultColWidth="8.88671875" defaultRowHeight="15"/>
  <cols>
    <col min="1" max="1" width="41.109375" style="296" customWidth="1"/>
    <col min="2" max="2" width="11.88671875" style="296" customWidth="1"/>
    <col min="3" max="3" width="1.109375" style="296" customWidth="1"/>
    <col min="4" max="4" width="11.88671875" style="296" customWidth="1"/>
    <col min="5" max="5" width="1.109375" style="296" customWidth="1"/>
    <col min="6" max="6" width="11.88671875" style="296" customWidth="1"/>
    <col min="7" max="7" width="1.109375" style="296" customWidth="1"/>
    <col min="8" max="8" width="11.88671875" style="296" customWidth="1"/>
    <col min="9" max="9" width="1.109375" style="296" customWidth="1"/>
    <col min="10" max="10" width="11.88671875" style="296" customWidth="1"/>
    <col min="11" max="11" width="1.109375" style="296" customWidth="1"/>
    <col min="12" max="12" width="12.88671875" style="296" customWidth="1"/>
    <col min="13" max="13" width="1.109375" style="296" customWidth="1"/>
    <col min="14" max="14" width="11.88671875" style="296" customWidth="1"/>
    <col min="15" max="15" width="1.109375" style="296" customWidth="1"/>
    <col min="16" max="16" width="11.88671875" style="296" customWidth="1"/>
    <col min="17" max="17" width="1.109375" style="296" customWidth="1"/>
    <col min="18" max="18" width="11.88671875" style="296" customWidth="1"/>
    <col min="19" max="19" width="1.109375" style="296" customWidth="1"/>
    <col min="20" max="20" width="11.88671875" style="296" customWidth="1"/>
    <col min="21" max="21" width="1.109375" style="296" customWidth="1"/>
    <col min="22" max="22" width="11.88671875" style="296" customWidth="1"/>
    <col min="23" max="23" width="1.109375" style="296" customWidth="1"/>
    <col min="24" max="24" width="11.88671875" style="296" customWidth="1"/>
    <col min="25" max="26" width="1.109375" style="296" customWidth="1"/>
    <col min="27" max="27" width="10.88671875" style="296" customWidth="1"/>
    <col min="28" max="29" width="1.109375" style="296" customWidth="1"/>
    <col min="30" max="30" width="10.88671875" style="296" customWidth="1"/>
    <col min="31" max="32" width="1.109375" style="296" customWidth="1"/>
    <col min="33" max="33" width="10.88671875" style="296" customWidth="1"/>
    <col min="34" max="34" width="1.88671875" style="296" customWidth="1"/>
    <col min="35" max="35" width="10.88671875" style="296" customWidth="1"/>
    <col min="36" max="37" width="8.88671875" style="296"/>
    <col min="38" max="38" width="4.88671875" style="296" customWidth="1"/>
    <col min="39" max="39" width="4.5546875" style="296" bestFit="1" customWidth="1"/>
    <col min="40" max="16384" width="8.88671875" style="296"/>
  </cols>
  <sheetData>
    <row r="1" spans="1:37">
      <c r="A1" s="270" t="s">
        <v>97</v>
      </c>
    </row>
    <row r="2" spans="1:37">
      <c r="A2" s="359"/>
    </row>
    <row r="3" spans="1:37" ht="15.75">
      <c r="A3" s="3" t="s">
        <v>98</v>
      </c>
      <c r="K3" s="3"/>
      <c r="L3" s="3"/>
      <c r="AI3" s="1234" t="s">
        <v>605</v>
      </c>
    </row>
    <row r="4" spans="1:37" ht="15.75">
      <c r="A4" s="6" t="s">
        <v>606</v>
      </c>
      <c r="H4" s="3" t="s">
        <v>103</v>
      </c>
      <c r="K4" s="3"/>
      <c r="L4" s="3"/>
      <c r="X4" s="296" t="s">
        <v>103</v>
      </c>
    </row>
    <row r="5" spans="1:37" ht="15.75">
      <c r="A5" s="6" t="s">
        <v>331</v>
      </c>
      <c r="K5" s="3"/>
      <c r="L5" s="3"/>
      <c r="AB5" s="1234"/>
      <c r="AC5" s="1234"/>
      <c r="AE5" s="1234"/>
    </row>
    <row r="6" spans="1:37" ht="15.75">
      <c r="A6" s="6" t="str">
        <f>'Cashflow Governmental'!A6</f>
        <v>FISCAL YEAR 2025-2026</v>
      </c>
      <c r="K6" s="3"/>
      <c r="L6" s="3"/>
    </row>
    <row r="7" spans="1:37" ht="15.75">
      <c r="A7" s="3" t="s">
        <v>102</v>
      </c>
      <c r="K7" s="3"/>
    </row>
    <row r="8" spans="1:37" ht="15.75">
      <c r="A8" s="3"/>
      <c r="K8" s="3"/>
    </row>
    <row r="9" spans="1:37" ht="15.75">
      <c r="A9" s="1235"/>
    </row>
    <row r="10" spans="1:37" ht="15.75">
      <c r="B10" s="1529"/>
      <c r="H10" s="3"/>
      <c r="I10" s="3"/>
      <c r="J10" s="3"/>
      <c r="Z10" s="2100" t="str">
        <f>'Cashflow Governmental'!$AB$12</f>
        <v>8 Months Ended November 30</v>
      </c>
      <c r="AA10" s="2100"/>
      <c r="AB10" s="2100"/>
      <c r="AC10" s="2100"/>
      <c r="AD10" s="2100"/>
      <c r="AE10" s="2100"/>
      <c r="AF10" s="2100"/>
      <c r="AG10" s="2100"/>
      <c r="AH10" s="2100"/>
      <c r="AI10" s="2100"/>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6" t="s">
        <v>332</v>
      </c>
      <c r="C12" s="3"/>
      <c r="D12" s="1623" t="s">
        <v>333</v>
      </c>
      <c r="E12" s="3"/>
      <c r="F12" s="1623" t="s">
        <v>334</v>
      </c>
      <c r="G12" s="3"/>
      <c r="H12" s="1623" t="s">
        <v>335</v>
      </c>
      <c r="I12" s="3"/>
      <c r="J12" s="1624" t="s">
        <v>603</v>
      </c>
      <c r="K12" s="3"/>
      <c r="L12" s="1624" t="s">
        <v>448</v>
      </c>
      <c r="M12" s="3"/>
      <c r="N12" s="1624" t="s">
        <v>449</v>
      </c>
      <c r="O12" s="3"/>
      <c r="P12" s="1623" t="s">
        <v>339</v>
      </c>
      <c r="Q12" s="3"/>
      <c r="R12" s="1623" t="s">
        <v>340</v>
      </c>
      <c r="S12" s="3"/>
      <c r="T12" s="1624" t="s">
        <v>341</v>
      </c>
      <c r="U12" s="3"/>
      <c r="V12" s="1623" t="s">
        <v>342</v>
      </c>
      <c r="W12" s="3"/>
      <c r="X12" s="1624" t="s">
        <v>450</v>
      </c>
      <c r="Y12" s="3"/>
      <c r="Z12" s="3"/>
      <c r="AA12" s="1236" t="str">
        <f>'Cashflow Governmental'!AB14</f>
        <v>2025</v>
      </c>
      <c r="AB12" s="54"/>
      <c r="AC12" s="54"/>
      <c r="AD12" s="1623" t="str">
        <f>'Cashflow Governmental'!AE14</f>
        <v>2024</v>
      </c>
      <c r="AE12" s="54"/>
      <c r="AF12" s="54"/>
      <c r="AG12" s="1625" t="s">
        <v>112</v>
      </c>
      <c r="AH12" s="325"/>
      <c r="AI12" s="1625"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44.7</v>
      </c>
      <c r="C14" s="20"/>
      <c r="D14" s="1594">
        <f>B46</f>
        <v>45</v>
      </c>
      <c r="E14" s="1594"/>
      <c r="F14" s="1594">
        <f>D46</f>
        <v>45.1</v>
      </c>
      <c r="G14" s="20"/>
      <c r="H14" s="1594">
        <f>F46</f>
        <v>45.3</v>
      </c>
      <c r="I14" s="1760"/>
      <c r="J14" s="1594">
        <f>H46</f>
        <v>45.5</v>
      </c>
      <c r="K14" s="20"/>
      <c r="L14" s="1594">
        <f>J46</f>
        <v>45.8</v>
      </c>
      <c r="M14" s="1760"/>
      <c r="N14" s="1594">
        <f>L46</f>
        <v>45.9</v>
      </c>
      <c r="O14" s="1760"/>
      <c r="P14" s="1594">
        <f>N46</f>
        <v>45.9</v>
      </c>
      <c r="Q14" s="1594"/>
      <c r="R14" s="1594"/>
      <c r="S14" s="1594"/>
      <c r="T14" s="1594"/>
      <c r="U14" s="1594"/>
      <c r="V14" s="1594"/>
      <c r="W14" s="1594"/>
      <c r="X14" s="1594"/>
      <c r="Y14" s="1761"/>
      <c r="Z14" s="1762"/>
      <c r="AA14" s="1594">
        <f>+B14</f>
        <v>44.7</v>
      </c>
      <c r="AB14" s="1761"/>
      <c r="AC14" s="1760"/>
      <c r="AD14" s="2002">
        <v>60</v>
      </c>
      <c r="AE14" s="1594"/>
      <c r="AF14" s="1763"/>
      <c r="AG14" s="20">
        <f>ROUND(SUM(AA14-AD14),1)</f>
        <v>-15.3</v>
      </c>
      <c r="AI14" s="1626">
        <f>ROUND(IF(AG14=0,0,AG14/(AD14)),3)</f>
        <v>-0.255</v>
      </c>
      <c r="AJ14" s="1669"/>
      <c r="AK14" s="1669"/>
    </row>
    <row r="15" spans="1:37">
      <c r="I15" s="1596"/>
      <c r="J15" s="1596"/>
      <c r="L15" s="1596"/>
      <c r="M15" s="1596"/>
      <c r="N15" s="1596"/>
      <c r="O15" s="1596"/>
      <c r="P15" s="1596"/>
      <c r="Q15" s="1596"/>
      <c r="R15" s="1596"/>
      <c r="S15" s="1596"/>
      <c r="T15" s="1596"/>
      <c r="U15" s="1596"/>
      <c r="V15" s="1596"/>
      <c r="W15" s="1596"/>
      <c r="X15" s="1596"/>
      <c r="Y15" s="1764"/>
      <c r="Z15" s="1765"/>
      <c r="AB15" s="1764"/>
      <c r="AC15" s="1596"/>
      <c r="AF15" s="1766"/>
      <c r="AJ15" s="1669"/>
      <c r="AK15" s="1669"/>
    </row>
    <row r="16" spans="1:37" ht="15.75">
      <c r="A16" s="3" t="s">
        <v>114</v>
      </c>
      <c r="I16" s="1596"/>
      <c r="J16" s="1596"/>
      <c r="L16" s="1596"/>
      <c r="M16" s="1596"/>
      <c r="N16" s="1596"/>
      <c r="O16" s="1596"/>
      <c r="P16" s="1596"/>
      <c r="Q16" s="1596"/>
      <c r="R16" s="1596"/>
      <c r="S16" s="1596"/>
      <c r="T16" s="1596"/>
      <c r="U16" s="1596"/>
      <c r="V16" s="1596"/>
      <c r="W16" s="1596"/>
      <c r="X16" s="1596"/>
      <c r="Y16" s="1764"/>
      <c r="Z16" s="1765"/>
      <c r="AB16" s="1764"/>
      <c r="AC16" s="1596"/>
      <c r="AF16" s="1766"/>
      <c r="AJ16" s="1669"/>
      <c r="AK16" s="1669"/>
    </row>
    <row r="17" spans="1:37">
      <c r="A17" s="418" t="s">
        <v>594</v>
      </c>
      <c r="B17" s="1767">
        <v>0.4</v>
      </c>
      <c r="C17" s="269"/>
      <c r="D17" s="1767">
        <v>0.19999999999999996</v>
      </c>
      <c r="E17" s="269"/>
      <c r="F17" s="1767">
        <v>0.20000000000000007</v>
      </c>
      <c r="G17" s="293"/>
      <c r="H17" s="1767">
        <v>0.2</v>
      </c>
      <c r="I17" s="417"/>
      <c r="J17" s="1767">
        <v>0.30000000000000016</v>
      </c>
      <c r="K17" s="269"/>
      <c r="L17" s="1767">
        <v>0.2</v>
      </c>
      <c r="M17" s="417"/>
      <c r="N17" s="1767">
        <v>0.30000000000000004</v>
      </c>
      <c r="O17" s="417"/>
      <c r="P17" s="1768">
        <f>$AA17-L17-N17-J17-H17-F17-D17-B17</f>
        <v>0.19999999999999973</v>
      </c>
      <c r="Q17" s="293"/>
      <c r="R17" s="1768"/>
      <c r="S17" s="293"/>
      <c r="T17" s="1768"/>
      <c r="U17" s="293"/>
      <c r="V17" s="1768"/>
      <c r="W17" s="293"/>
      <c r="X17" s="1768"/>
      <c r="Y17" s="1769"/>
      <c r="Z17" s="1770"/>
      <c r="AA17" s="1001">
        <v>2</v>
      </c>
      <c r="AB17" s="269"/>
      <c r="AC17" s="530" t="s">
        <v>103</v>
      </c>
      <c r="AD17" s="1001">
        <v>7.6</v>
      </c>
      <c r="AE17" s="293"/>
      <c r="AF17" s="1771"/>
      <c r="AG17" s="269">
        <f>ROUND(SUM(AA17-AD17),1)</f>
        <v>-5.6</v>
      </c>
      <c r="AI17" s="1627">
        <f>ROUND(IF(AD17=0,1,AG17/ABS(AD17)),3)</f>
        <v>-0.73699999999999999</v>
      </c>
      <c r="AJ17" s="1669"/>
      <c r="AK17" s="1669"/>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69"/>
      <c r="Z18" s="1770"/>
      <c r="AA18" s="292"/>
      <c r="AB18" s="1769"/>
      <c r="AC18" s="417"/>
      <c r="AD18" s="292"/>
      <c r="AE18" s="293"/>
      <c r="AF18" s="1771"/>
      <c r="AG18" s="1052"/>
      <c r="AI18" s="1668"/>
      <c r="AJ18" s="1669"/>
      <c r="AK18" s="1669"/>
    </row>
    <row r="19" spans="1:37" ht="15.75">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73"/>
      <c r="N19" s="26">
        <f>ROUND(SUM(N17),1)</f>
        <v>0.3</v>
      </c>
      <c r="O19" s="1773"/>
      <c r="P19" s="26">
        <f>ROUND(SUM(P17),1)</f>
        <v>0.2</v>
      </c>
      <c r="Q19" s="26">
        <f t="shared" ref="Q19" si="0">ROUND(SUM(Q17),1)</f>
        <v>0</v>
      </c>
      <c r="R19" s="26">
        <f>ROUND(SUM(R17),1)</f>
        <v>0</v>
      </c>
      <c r="S19" s="1773"/>
      <c r="T19" s="26">
        <f>ROUND(SUM(T17),1)</f>
        <v>0</v>
      </c>
      <c r="U19" s="1773"/>
      <c r="V19" s="1772">
        <f>ROUND(SUM(V17),1)</f>
        <v>0</v>
      </c>
      <c r="W19" s="1773"/>
      <c r="X19" s="1772">
        <f>ROUND(SUM(X17),1)</f>
        <v>0</v>
      </c>
      <c r="Y19" s="1774"/>
      <c r="Z19" s="1775"/>
      <c r="AA19" s="26">
        <f>ROUND(SUM(AA17),1)</f>
        <v>2</v>
      </c>
      <c r="AB19" s="1774"/>
      <c r="AC19" s="1775"/>
      <c r="AD19" s="26">
        <f>ROUND(SUM(AD17),1)</f>
        <v>7.6</v>
      </c>
      <c r="AE19" s="26"/>
      <c r="AF19" s="1771"/>
      <c r="AG19" s="362">
        <f>ROUND(SUM(AG17),1)</f>
        <v>-5.6</v>
      </c>
      <c r="AH19" s="79"/>
      <c r="AI19" s="1776">
        <f>ROUND(IF(AD19=0,1,AG19/ABS(AD19)),3)</f>
        <v>-0.73699999999999999</v>
      </c>
      <c r="AJ19" s="1669"/>
      <c r="AK19" s="1669"/>
    </row>
    <row r="20" spans="1:37">
      <c r="B20" s="622"/>
      <c r="C20" s="269"/>
      <c r="D20" s="622"/>
      <c r="E20" s="269"/>
      <c r="F20" s="622"/>
      <c r="G20" s="269"/>
      <c r="H20" s="1777"/>
      <c r="I20" s="417"/>
      <c r="J20" s="1777"/>
      <c r="K20" s="269"/>
      <c r="L20" s="1777"/>
      <c r="M20" s="417"/>
      <c r="N20" s="1777"/>
      <c r="O20" s="417"/>
      <c r="P20" s="1777"/>
      <c r="Q20" s="417"/>
      <c r="R20" s="1777"/>
      <c r="S20" s="417"/>
      <c r="T20" s="1777"/>
      <c r="U20" s="417"/>
      <c r="V20" s="1777"/>
      <c r="W20" s="417"/>
      <c r="X20" s="1777"/>
      <c r="Y20" s="1769"/>
      <c r="Z20" s="1770"/>
      <c r="AA20" s="622"/>
      <c r="AB20" s="1769"/>
      <c r="AC20" s="417"/>
      <c r="AD20" s="1777"/>
      <c r="AE20" s="269"/>
      <c r="AF20" s="1771"/>
      <c r="AG20" s="269"/>
      <c r="AJ20" s="1669"/>
      <c r="AK20" s="1669"/>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69"/>
      <c r="Z21" s="1770"/>
      <c r="AA21" s="269"/>
      <c r="AB21" s="1769"/>
      <c r="AC21" s="417"/>
      <c r="AD21" s="417"/>
      <c r="AE21" s="269"/>
      <c r="AF21" s="1771"/>
      <c r="AG21" s="269"/>
      <c r="AJ21" s="1669"/>
      <c r="AK21" s="1669"/>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69"/>
      <c r="Z22" s="1770"/>
      <c r="AA22" s="269"/>
      <c r="AB22" s="1769"/>
      <c r="AC22" s="417"/>
      <c r="AD22" s="417"/>
      <c r="AE22" s="269"/>
      <c r="AF22" s="1771"/>
      <c r="AG22" s="269"/>
      <c r="AJ22" s="1669"/>
      <c r="AK22" s="1669"/>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69"/>
      <c r="Z23" s="1770"/>
      <c r="AA23" s="280"/>
      <c r="AB23" s="1778"/>
      <c r="AC23" s="1779"/>
      <c r="AD23" s="417"/>
      <c r="AE23" s="280"/>
      <c r="AF23" s="408"/>
      <c r="AG23" s="269"/>
      <c r="AJ23" s="1669"/>
      <c r="AK23" s="1669"/>
    </row>
    <row r="24" spans="1:37">
      <c r="A24" s="296" t="s">
        <v>596</v>
      </c>
      <c r="B24" s="292">
        <v>0.1</v>
      </c>
      <c r="C24" s="269"/>
      <c r="D24" s="292">
        <v>0</v>
      </c>
      <c r="E24" s="269"/>
      <c r="F24" s="292">
        <v>0</v>
      </c>
      <c r="G24" s="269"/>
      <c r="H24" s="292">
        <v>0</v>
      </c>
      <c r="I24" s="417"/>
      <c r="J24" s="292">
        <v>0</v>
      </c>
      <c r="K24" s="269"/>
      <c r="L24" s="292">
        <v>0</v>
      </c>
      <c r="M24" s="417"/>
      <c r="N24" s="292">
        <v>0.19999999999999998</v>
      </c>
      <c r="O24" s="417"/>
      <c r="P24" s="293">
        <f>$AA24-L24-N24-J24-H24-F24-D24-B24</f>
        <v>0.10000000000000003</v>
      </c>
      <c r="Q24" s="293"/>
      <c r="R24" s="293"/>
      <c r="S24" s="293"/>
      <c r="T24" s="293"/>
      <c r="U24" s="293"/>
      <c r="V24" s="293"/>
      <c r="W24" s="293"/>
      <c r="X24" s="293"/>
      <c r="Y24" s="1769"/>
      <c r="Z24" s="1770"/>
      <c r="AA24" s="537">
        <v>0.4</v>
      </c>
      <c r="AB24" s="269"/>
      <c r="AC24" s="530" t="s">
        <v>103</v>
      </c>
      <c r="AD24" s="537">
        <v>0.2</v>
      </c>
      <c r="AE24" s="294"/>
      <c r="AF24" s="408"/>
      <c r="AG24" s="269">
        <f>ROUND(SUM(AA24-AD24),1)</f>
        <v>0.2</v>
      </c>
      <c r="AI24" s="1622">
        <f>ROUND(IF(AD24=0,1,AG24/ABS(AD24)),3)</f>
        <v>1</v>
      </c>
      <c r="AJ24" s="1669"/>
      <c r="AK24" s="1669"/>
    </row>
    <row r="25" spans="1:37">
      <c r="A25" s="418" t="s">
        <v>513</v>
      </c>
      <c r="B25" s="292">
        <v>0</v>
      </c>
      <c r="C25" s="269"/>
      <c r="D25" s="292">
        <v>0</v>
      </c>
      <c r="E25" s="269"/>
      <c r="F25" s="292">
        <v>0</v>
      </c>
      <c r="G25" s="269"/>
      <c r="H25" s="292">
        <v>0</v>
      </c>
      <c r="I25" s="417"/>
      <c r="J25" s="292">
        <v>0</v>
      </c>
      <c r="K25" s="269"/>
      <c r="L25" s="292">
        <v>0.1</v>
      </c>
      <c r="M25" s="417"/>
      <c r="N25" s="292">
        <v>0</v>
      </c>
      <c r="O25" s="417"/>
      <c r="P25" s="293">
        <f t="shared" ref="P25:P26" si="1">$AA25-L25-N25-J25-H25-F25-D25-B25</f>
        <v>0</v>
      </c>
      <c r="Q25" s="417"/>
      <c r="R25" s="293"/>
      <c r="S25" s="417"/>
      <c r="T25" s="293"/>
      <c r="U25" s="417"/>
      <c r="V25" s="293"/>
      <c r="W25" s="417"/>
      <c r="X25" s="293"/>
      <c r="Y25" s="1769"/>
      <c r="Z25" s="1770"/>
      <c r="AA25" s="537">
        <v>0.1</v>
      </c>
      <c r="AB25" s="269"/>
      <c r="AC25" s="530" t="s">
        <v>103</v>
      </c>
      <c r="AD25" s="537">
        <v>0.1</v>
      </c>
      <c r="AE25" s="280"/>
      <c r="AF25" s="408"/>
      <c r="AG25" s="269">
        <f>ROUND(SUM(AA25-AD25),1)</f>
        <v>0</v>
      </c>
      <c r="AH25" s="1601"/>
      <c r="AI25" s="1622">
        <f>ROUND(IF(AD25=0,1,AG25/ABS(AD25)),3)</f>
        <v>0</v>
      </c>
      <c r="AJ25" s="1669"/>
      <c r="AK25" s="1669"/>
    </row>
    <row r="26" spans="1:37" s="10" customFormat="1">
      <c r="A26" s="296" t="s">
        <v>459</v>
      </c>
      <c r="B26" s="292">
        <v>0</v>
      </c>
      <c r="C26" s="269"/>
      <c r="D26" s="292">
        <v>0.1</v>
      </c>
      <c r="E26" s="269"/>
      <c r="F26" s="292">
        <v>0</v>
      </c>
      <c r="G26" s="269"/>
      <c r="H26" s="269">
        <v>0</v>
      </c>
      <c r="I26" s="269"/>
      <c r="J26" s="292">
        <v>0</v>
      </c>
      <c r="K26" s="269"/>
      <c r="L26" s="292">
        <v>0</v>
      </c>
      <c r="M26" s="269"/>
      <c r="N26" s="292">
        <v>0.1</v>
      </c>
      <c r="O26" s="269"/>
      <c r="P26" s="293">
        <f t="shared" si="1"/>
        <v>0</v>
      </c>
      <c r="Q26" s="269"/>
      <c r="R26" s="269"/>
      <c r="S26" s="269"/>
      <c r="T26" s="269"/>
      <c r="U26" s="269"/>
      <c r="V26" s="269"/>
      <c r="W26" s="269"/>
      <c r="X26" s="269"/>
      <c r="Y26" s="269"/>
      <c r="Z26" s="529"/>
      <c r="AA26" s="537">
        <v>0.2</v>
      </c>
      <c r="AB26" s="269"/>
      <c r="AC26" s="530" t="s">
        <v>103</v>
      </c>
      <c r="AD26" s="537">
        <v>0.2</v>
      </c>
      <c r="AE26" s="269"/>
      <c r="AF26" s="1771"/>
      <c r="AG26" s="388">
        <f>ROUND(SUM(AA26-AD26),1)</f>
        <v>0</v>
      </c>
      <c r="AH26" s="296"/>
      <c r="AI26" s="1620">
        <f>ROUND(IF(AD26=0,0,AG26/ABS(AD26)),3)</f>
        <v>0</v>
      </c>
      <c r="AJ26" s="1669"/>
      <c r="AK26" s="1670"/>
    </row>
    <row r="27" spans="1:37" s="10" customFormat="1"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1"/>
      <c r="AC27" s="269"/>
      <c r="AD27" s="622"/>
      <c r="AE27" s="26"/>
      <c r="AF27" s="408"/>
      <c r="AG27" s="269"/>
      <c r="AH27" s="273"/>
      <c r="AI27" s="1604"/>
      <c r="AJ27" s="1669"/>
      <c r="AK27" s="1670"/>
    </row>
    <row r="28" spans="1:37" s="10" customFormat="1" ht="15.75">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0.3</v>
      </c>
      <c r="O28" s="13"/>
      <c r="P28" s="13">
        <f>ROUND(SUM(P24:P26),1)</f>
        <v>0.1</v>
      </c>
      <c r="Q28" s="13"/>
      <c r="R28" s="13">
        <f>ROUND(SUM(R24:R26),1)</f>
        <v>0</v>
      </c>
      <c r="S28" s="13"/>
      <c r="T28" s="13">
        <f>ROUND(SUM(T24:T26),1)</f>
        <v>0</v>
      </c>
      <c r="U28" s="13"/>
      <c r="V28" s="13">
        <f>ROUND(SUM(V24:V26),1)</f>
        <v>0</v>
      </c>
      <c r="W28" s="13"/>
      <c r="X28" s="13">
        <f>ROUND(SUM(X24:X26),1)</f>
        <v>0</v>
      </c>
      <c r="Y28" s="13"/>
      <c r="Z28" s="14"/>
      <c r="AA28" s="13">
        <f>ROUND(SUM(AA24:AA26),1)</f>
        <v>0.7</v>
      </c>
      <c r="AB28" s="1253"/>
      <c r="AC28" s="13"/>
      <c r="AD28" s="13">
        <f>ROUND(SUM(AD24:AD26),1)</f>
        <v>0.5</v>
      </c>
      <c r="AE28" s="269"/>
      <c r="AF28" s="1780"/>
      <c r="AG28" s="362">
        <f>ROUND(SUM(AG24:AG26),1)</f>
        <v>0.2</v>
      </c>
      <c r="AH28" s="40"/>
      <c r="AI28" s="1607">
        <f>ROUND(IF(AD28=0,1,AG28/ABS(AD28)),3)</f>
        <v>0.4</v>
      </c>
      <c r="AJ28" s="1669"/>
      <c r="AK28" s="1670"/>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1"/>
      <c r="AC29" s="269"/>
      <c r="AD29" s="622"/>
      <c r="AE29" s="269"/>
      <c r="AF29" s="1780"/>
      <c r="AG29" s="269"/>
      <c r="AH29" s="296"/>
      <c r="AI29" s="296"/>
      <c r="AJ29" s="1669"/>
      <c r="AK29" s="1670"/>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69"/>
      <c r="Z30" s="1770"/>
      <c r="AA30" s="269"/>
      <c r="AB30" s="1769"/>
      <c r="AC30" s="417"/>
      <c r="AD30" s="269"/>
      <c r="AE30" s="269"/>
      <c r="AF30" s="1771"/>
      <c r="AG30" s="269"/>
      <c r="AJ30" s="1758"/>
      <c r="AK30" s="1758"/>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69"/>
      <c r="Z31" s="1770"/>
      <c r="AA31" s="269"/>
      <c r="AB31" s="1769"/>
      <c r="AC31" s="417"/>
      <c r="AD31" s="417"/>
      <c r="AE31" s="269"/>
      <c r="AF31" s="1771"/>
      <c r="AG31" s="269"/>
      <c r="AJ31" s="1669"/>
      <c r="AK31" s="1669"/>
    </row>
    <row r="32" spans="1:37" ht="15.75">
      <c r="A32" s="3" t="s">
        <v>144</v>
      </c>
      <c r="B32" s="1781">
        <f>ROUND(B19-B28,1)</f>
        <v>0.3</v>
      </c>
      <c r="C32" s="13"/>
      <c r="D32" s="1781">
        <f>ROUND(D19-D28,1)</f>
        <v>0.1</v>
      </c>
      <c r="E32" s="17"/>
      <c r="F32" s="1781">
        <f>ROUND(F19-F28,1)</f>
        <v>0.2</v>
      </c>
      <c r="G32" s="17"/>
      <c r="H32" s="1781">
        <f>ROUND(H19-H28,1)</f>
        <v>0.2</v>
      </c>
      <c r="I32" s="17"/>
      <c r="J32" s="1781">
        <f>ROUND(J19-J28,1)</f>
        <v>0.3</v>
      </c>
      <c r="K32" s="17"/>
      <c r="L32" s="1781">
        <f>ROUND(L19-L28,1)</f>
        <v>0.1</v>
      </c>
      <c r="M32" s="1782"/>
      <c r="N32" s="1781">
        <f>ROUND(N19-N28,1)</f>
        <v>0</v>
      </c>
      <c r="O32" s="1782"/>
      <c r="P32" s="1781">
        <f>ROUND(P19-P28,1)</f>
        <v>0.1</v>
      </c>
      <c r="Q32" s="26"/>
      <c r="R32" s="1781">
        <f>ROUND(R19-R28,1)</f>
        <v>0</v>
      </c>
      <c r="S32" s="1782"/>
      <c r="T32" s="1781">
        <f>ROUND(T19-T28,1)</f>
        <v>0</v>
      </c>
      <c r="U32" s="1782"/>
      <c r="V32" s="1781">
        <f>ROUND(V19-V28,1)</f>
        <v>0</v>
      </c>
      <c r="W32" s="1782"/>
      <c r="X32" s="1781">
        <f>ROUND(X19-X28,1)</f>
        <v>0</v>
      </c>
      <c r="Y32" s="1774"/>
      <c r="Z32" s="1775"/>
      <c r="AA32" s="1781">
        <f>ROUND(AA19-AA28,1)</f>
        <v>1.3</v>
      </c>
      <c r="AB32" s="1774"/>
      <c r="AC32" s="1773"/>
      <c r="AD32" s="1781">
        <f>ROUND(AD19-AD28,1)</f>
        <v>7.1</v>
      </c>
      <c r="AE32" s="26"/>
      <c r="AF32" s="408"/>
      <c r="AG32" s="1783">
        <f>ROUND(SUM(AG19-AG28),1)</f>
        <v>-5.8</v>
      </c>
      <c r="AH32" s="40"/>
      <c r="AI32" s="1784">
        <f>ROUND(IF(AD32=0,1,AG32/ABS(AD32)),3)</f>
        <v>-0.81699999999999995</v>
      </c>
      <c r="AJ32" s="1669"/>
      <c r="AK32" s="1669"/>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77"/>
      <c r="Y33" s="1769"/>
      <c r="Z33" s="1770"/>
      <c r="AA33" s="269"/>
      <c r="AB33" s="1769"/>
      <c r="AC33" s="417"/>
      <c r="AD33" s="417"/>
      <c r="AE33" s="269"/>
      <c r="AF33" s="1780"/>
      <c r="AG33" s="269"/>
      <c r="AJ33" s="1669"/>
      <c r="AK33" s="1669"/>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69"/>
      <c r="Z34" s="1770"/>
      <c r="AA34" s="269"/>
      <c r="AB34" s="1769"/>
      <c r="AC34" s="417"/>
      <c r="AD34" s="417"/>
      <c r="AE34" s="269"/>
      <c r="AF34" s="1780"/>
      <c r="AG34" s="269"/>
      <c r="AJ34" s="1669"/>
      <c r="AK34" s="1669"/>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69"/>
      <c r="Z35" s="1770"/>
      <c r="AA35" s="269"/>
      <c r="AB35" s="1769"/>
      <c r="AC35" s="417"/>
      <c r="AD35" s="417"/>
      <c r="AE35" s="269"/>
      <c r="AF35" s="1780"/>
      <c r="AG35" s="269"/>
      <c r="AJ35" s="1669"/>
      <c r="AK35" s="1669"/>
    </row>
    <row r="36" spans="1:37">
      <c r="A36" s="296" t="s">
        <v>540</v>
      </c>
      <c r="B36" s="292">
        <v>0</v>
      </c>
      <c r="C36" s="269"/>
      <c r="D36" s="292">
        <v>0</v>
      </c>
      <c r="E36" s="269"/>
      <c r="F36" s="292">
        <v>0</v>
      </c>
      <c r="G36" s="269"/>
      <c r="H36" s="292">
        <v>0</v>
      </c>
      <c r="I36" s="417"/>
      <c r="J36" s="292">
        <v>0</v>
      </c>
      <c r="K36" s="269"/>
      <c r="L36" s="292">
        <v>0</v>
      </c>
      <c r="M36" s="417"/>
      <c r="N36" s="292">
        <v>0</v>
      </c>
      <c r="O36" s="417"/>
      <c r="P36" s="293">
        <f>$AA36-L36-N36-J36-H36-F36-D36-B36</f>
        <v>0</v>
      </c>
      <c r="Q36" s="417"/>
      <c r="R36" s="293"/>
      <c r="S36" s="417"/>
      <c r="T36" s="293"/>
      <c r="U36" s="417"/>
      <c r="V36" s="293"/>
      <c r="W36" s="417"/>
      <c r="X36" s="293"/>
      <c r="Y36" s="1769"/>
      <c r="Z36" s="1770"/>
      <c r="AA36" s="537">
        <v>0</v>
      </c>
      <c r="AB36" s="269"/>
      <c r="AC36" s="530" t="s">
        <v>103</v>
      </c>
      <c r="AD36" s="537">
        <v>0</v>
      </c>
      <c r="AE36" s="280"/>
      <c r="AF36" s="1785"/>
      <c r="AG36" s="269">
        <f>ROUND(SUM(AA36-AD36),1)</f>
        <v>0</v>
      </c>
      <c r="AH36" s="1601"/>
      <c r="AI36" s="1622">
        <f>ROUND(IF(AG36=0,0,AG36/ABS(AD36)),3)</f>
        <v>0</v>
      </c>
      <c r="AJ36" s="1669"/>
      <c r="AK36" s="1669"/>
    </row>
    <row r="37" spans="1:37" s="10" customFormat="1">
      <c r="A37" s="296" t="s">
        <v>541</v>
      </c>
      <c r="B37" s="292">
        <v>0</v>
      </c>
      <c r="C37" s="269"/>
      <c r="D37" s="292">
        <v>0</v>
      </c>
      <c r="E37" s="269"/>
      <c r="F37" s="292">
        <v>0</v>
      </c>
      <c r="G37" s="269"/>
      <c r="H37" s="269">
        <v>0</v>
      </c>
      <c r="I37" s="269"/>
      <c r="J37" s="292">
        <v>0</v>
      </c>
      <c r="K37" s="269"/>
      <c r="L37" s="292">
        <v>0</v>
      </c>
      <c r="M37" s="269"/>
      <c r="N37" s="292">
        <v>0</v>
      </c>
      <c r="O37" s="269"/>
      <c r="P37" s="293">
        <f>$AA37-L37-N37-J37-H37-F37-D37-B37</f>
        <v>0</v>
      </c>
      <c r="Q37" s="269"/>
      <c r="R37" s="269"/>
      <c r="S37" s="269"/>
      <c r="T37" s="269"/>
      <c r="U37" s="269"/>
      <c r="V37" s="269"/>
      <c r="W37" s="269"/>
      <c r="X37" s="269"/>
      <c r="Y37" s="269"/>
      <c r="Z37" s="529"/>
      <c r="AA37" s="537">
        <v>0</v>
      </c>
      <c r="AB37" s="269"/>
      <c r="AC37" s="530" t="s">
        <v>103</v>
      </c>
      <c r="AD37" s="537">
        <v>0</v>
      </c>
      <c r="AE37" s="273"/>
      <c r="AF37" s="412"/>
      <c r="AG37" s="1786">
        <f>ROUND(SUM(AA37-AD37),1)</f>
        <v>0</v>
      </c>
      <c r="AH37" s="1601"/>
      <c r="AI37" s="1040">
        <f>ROUND(IF(AG37=0,0,AG37/ABS(AD37)),3)</f>
        <v>0</v>
      </c>
      <c r="AJ37" s="1669"/>
      <c r="AK37" s="1670"/>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7"/>
      <c r="AB38" s="1251"/>
      <c r="AC38" s="269"/>
      <c r="AD38" s="1787"/>
      <c r="AE38" s="273"/>
      <c r="AF38" s="412"/>
      <c r="AG38" s="296"/>
      <c r="AH38" s="296"/>
      <c r="AI38" s="296"/>
      <c r="AJ38" s="1669"/>
      <c r="AK38" s="1670"/>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3"/>
      <c r="AC39" s="13"/>
      <c r="AD39" s="13">
        <f>ROUND(SUM(AD36:AD37),1)</f>
        <v>0</v>
      </c>
      <c r="AE39" s="111"/>
      <c r="AF39" s="408"/>
      <c r="AG39" s="362">
        <f>ROUND(SUM(AG36-AG37),1)</f>
        <v>0</v>
      </c>
      <c r="AH39" s="54"/>
      <c r="AI39" s="1607">
        <f>ROUND(IF(AG39=0,0,AG39/ABS(AD39)),3)</f>
        <v>0</v>
      </c>
      <c r="AJ39" s="1669"/>
      <c r="AK39" s="1670"/>
    </row>
    <row r="40" spans="1:37" s="10" customFormat="1">
      <c r="A40" s="296"/>
      <c r="B40" s="622"/>
      <c r="C40" s="269"/>
      <c r="D40" s="622" t="s">
        <v>103</v>
      </c>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1"/>
      <c r="AC40" s="269"/>
      <c r="AD40" s="622"/>
      <c r="AE40" s="273"/>
      <c r="AF40" s="412"/>
      <c r="AG40" s="296"/>
      <c r="AH40" s="296"/>
      <c r="AI40" s="296"/>
      <c r="AJ40" s="1669"/>
      <c r="AK40" s="1670"/>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1"/>
      <c r="AC41" s="269"/>
      <c r="AD41" s="269"/>
      <c r="AE41" s="273"/>
      <c r="AF41" s="412"/>
      <c r="AG41" s="296"/>
      <c r="AH41" s="296"/>
      <c r="AI41" s="296"/>
      <c r="AJ41" s="1669"/>
      <c r="AK41" s="1670"/>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69"/>
      <c r="Z42" s="1770"/>
      <c r="AA42" s="269"/>
      <c r="AB42" s="1769"/>
      <c r="AC42" s="417"/>
      <c r="AD42" s="269"/>
      <c r="AE42" s="269"/>
      <c r="AF42" s="1771"/>
      <c r="AG42" s="269"/>
      <c r="AJ42" s="1669"/>
      <c r="AK42" s="1669"/>
    </row>
    <row r="43" spans="1:37" ht="15.75">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69"/>
      <c r="Z43" s="1770"/>
      <c r="AA43" s="269"/>
      <c r="AB43" s="1769"/>
      <c r="AC43" s="417"/>
      <c r="AD43" s="18"/>
      <c r="AE43" s="18"/>
      <c r="AF43" s="412"/>
      <c r="AG43" s="269"/>
      <c r="AJ43" s="1669"/>
      <c r="AK43" s="1669"/>
    </row>
    <row r="44" spans="1:37" s="3" customFormat="1" ht="15.75">
      <c r="A44" s="3" t="s">
        <v>474</v>
      </c>
      <c r="B44" s="1781">
        <f>ROUND(B32+B39,1)</f>
        <v>0.3</v>
      </c>
      <c r="C44" s="13"/>
      <c r="D44" s="1781">
        <f>ROUND(D32+D39,1)</f>
        <v>0.1</v>
      </c>
      <c r="E44" s="18"/>
      <c r="F44" s="1781">
        <f>ROUND(F32+F39,1)</f>
        <v>0.2</v>
      </c>
      <c r="G44" s="18"/>
      <c r="H44" s="1781">
        <f>ROUND(H32+H39,1)</f>
        <v>0.2</v>
      </c>
      <c r="I44" s="1788"/>
      <c r="J44" s="1781">
        <f>ROUND(J32+J39,1)</f>
        <v>0.3</v>
      </c>
      <c r="K44" s="18"/>
      <c r="L44" s="1781">
        <f>ROUND(L32+L39,1)</f>
        <v>0.1</v>
      </c>
      <c r="M44" s="26"/>
      <c r="N44" s="1781">
        <f>ROUND(N32+N39,1)</f>
        <v>0</v>
      </c>
      <c r="O44" s="26"/>
      <c r="P44" s="1781">
        <f>ROUND(P32+P39,1)</f>
        <v>0.1</v>
      </c>
      <c r="Q44" s="26"/>
      <c r="R44" s="1781">
        <f>ROUND(R32+R39,1)</f>
        <v>0</v>
      </c>
      <c r="S44" s="1788"/>
      <c r="T44" s="1781">
        <f>ROUND(T32+T39,1)</f>
        <v>0</v>
      </c>
      <c r="U44" s="1788"/>
      <c r="V44" s="1781">
        <f>ROUND(V32+V39,1)</f>
        <v>0</v>
      </c>
      <c r="W44" s="1788"/>
      <c r="X44" s="1781">
        <f>ROUND(X32+X39,1)</f>
        <v>0</v>
      </c>
      <c r="Y44" s="1774"/>
      <c r="Z44" s="1775"/>
      <c r="AA44" s="1781">
        <f>ROUND(AA32+AA39,1)</f>
        <v>1.3</v>
      </c>
      <c r="AB44" s="13"/>
      <c r="AC44" s="676"/>
      <c r="AD44" s="1781">
        <f>ROUND(AD32+AD39,1)</f>
        <v>7.1</v>
      </c>
      <c r="AE44" s="26"/>
      <c r="AF44" s="96"/>
      <c r="AG44" s="1783">
        <f>ROUND(SUM(AG32+AG39),1)</f>
        <v>-5.8</v>
      </c>
      <c r="AH44" s="296"/>
      <c r="AI44" s="1789">
        <f>ROUND(IF(AD44=0,1,AG44/ABS(AD44)),3)</f>
        <v>-0.81699999999999995</v>
      </c>
      <c r="AJ44" s="1759"/>
      <c r="AK44" s="1759"/>
    </row>
    <row r="45" spans="1:37" s="3" customFormat="1" ht="15.75">
      <c r="B45" s="26"/>
      <c r="C45" s="13"/>
      <c r="D45" s="26"/>
      <c r="E45" s="18"/>
      <c r="F45" s="26"/>
      <c r="G45" s="18"/>
      <c r="H45" s="26"/>
      <c r="I45" s="1788"/>
      <c r="J45" s="26"/>
      <c r="K45" s="18"/>
      <c r="L45" s="26"/>
      <c r="M45" s="26"/>
      <c r="N45" s="26"/>
      <c r="O45" s="26"/>
      <c r="P45" s="26"/>
      <c r="Q45" s="26"/>
      <c r="R45" s="26"/>
      <c r="S45" s="1788"/>
      <c r="T45" s="26"/>
      <c r="U45" s="1788"/>
      <c r="V45" s="26"/>
      <c r="W45" s="1788"/>
      <c r="X45" s="26"/>
      <c r="Y45" s="1774"/>
      <c r="Z45" s="1775"/>
      <c r="AA45" s="26"/>
      <c r="AB45" s="13"/>
      <c r="AC45" s="676"/>
      <c r="AD45" s="26"/>
      <c r="AE45" s="26"/>
      <c r="AF45" s="96"/>
      <c r="AG45" s="13"/>
      <c r="AH45" s="296"/>
      <c r="AI45" s="549"/>
      <c r="AJ45" s="1759"/>
      <c r="AK45" s="1759"/>
    </row>
    <row r="46" spans="1:37" ht="16.5" thickBot="1">
      <c r="A46" s="3" t="s">
        <v>436</v>
      </c>
      <c r="B46" s="1790">
        <f>ROUND(SUM(B14,B44),1)</f>
        <v>45</v>
      </c>
      <c r="C46" s="20"/>
      <c r="D46" s="1790">
        <f>ROUND(SUM(D14,D44),1)</f>
        <v>45.1</v>
      </c>
      <c r="E46" s="20"/>
      <c r="F46" s="1790">
        <f>ROUND(SUM(F14,F44),1)</f>
        <v>45.3</v>
      </c>
      <c r="G46" s="20"/>
      <c r="H46" s="20">
        <f>ROUND(SUM(H14,H44),1)</f>
        <v>45.5</v>
      </c>
      <c r="I46" s="1760"/>
      <c r="J46" s="20">
        <f>ROUND(SUM(J14,J44),1)</f>
        <v>45.8</v>
      </c>
      <c r="K46" s="20"/>
      <c r="L46" s="20">
        <f>ROUND(SUM(L14,L44),1)</f>
        <v>45.9</v>
      </c>
      <c r="M46" s="20"/>
      <c r="N46" s="20">
        <f>ROUND(SUM(N14,N44),1)</f>
        <v>45.9</v>
      </c>
      <c r="O46" s="20"/>
      <c r="P46" s="20">
        <f>ROUND(SUM(P14,P44),1)</f>
        <v>46</v>
      </c>
      <c r="Q46" s="20"/>
      <c r="R46" s="20">
        <f>ROUND(SUM(R14,R44),1)</f>
        <v>0</v>
      </c>
      <c r="S46" s="1760"/>
      <c r="T46" s="20">
        <f>ROUND(SUM(T14,T44),1)</f>
        <v>0</v>
      </c>
      <c r="U46" s="1760"/>
      <c r="V46" s="20">
        <f>ROUND(SUM(V14,V44),1)</f>
        <v>0</v>
      </c>
      <c r="W46" s="1760"/>
      <c r="X46" s="20">
        <f>ROUND(SUM(X14,X44),1)</f>
        <v>0</v>
      </c>
      <c r="Y46" s="1761"/>
      <c r="Z46" s="1762"/>
      <c r="AA46" s="20">
        <f>ROUND(SUM(AA14,AA44),1)</f>
        <v>46</v>
      </c>
      <c r="AB46" s="20"/>
      <c r="AC46" s="1126"/>
      <c r="AD46" s="1573">
        <f>ROUND(SUM(AD14,AD44),1)</f>
        <v>67.099999999999994</v>
      </c>
      <c r="AE46" s="20"/>
      <c r="AF46" s="409"/>
      <c r="AG46" s="1573">
        <f>ROUND(SUM(AA46-AD46),1)</f>
        <v>-21.1</v>
      </c>
      <c r="AH46" s="385"/>
      <c r="AI46" s="1791">
        <f>ROUND(IF(AG46=0,0,AG46/ABS(AD46)),3)</f>
        <v>-0.314</v>
      </c>
      <c r="AJ46" s="1669"/>
      <c r="AK46" s="1669"/>
    </row>
    <row r="47" spans="1:37" ht="15.75" thickTop="1">
      <c r="A47" s="296" t="s">
        <v>103</v>
      </c>
      <c r="B47" s="1792"/>
      <c r="C47" s="273"/>
      <c r="D47" s="1792"/>
      <c r="E47" s="273"/>
      <c r="F47" s="1792"/>
      <c r="G47" s="273"/>
      <c r="H47" s="1792"/>
      <c r="I47" s="273"/>
      <c r="J47" s="1792"/>
      <c r="K47" s="273"/>
      <c r="L47" s="1792"/>
      <c r="M47" s="273"/>
      <c r="N47" s="1792"/>
      <c r="O47" s="273"/>
      <c r="P47" s="1792"/>
      <c r="Q47" s="273"/>
      <c r="R47" s="1792"/>
      <c r="S47" s="273"/>
      <c r="T47" s="1792"/>
      <c r="U47" s="273"/>
      <c r="V47" s="1792"/>
      <c r="W47" s="273"/>
      <c r="X47" s="1792"/>
      <c r="Y47" s="273"/>
      <c r="Z47" s="273"/>
      <c r="AA47" s="1793"/>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90" zoomScaleNormal="90" workbookViewId="0"/>
  </sheetViews>
  <sheetFormatPr defaultColWidth="8.88671875" defaultRowHeight="12.75"/>
  <cols>
    <col min="1" max="1" width="38.44140625" style="1372" customWidth="1"/>
    <col min="2" max="2" width="6.88671875" style="1372" customWidth="1"/>
    <col min="3" max="3" width="4.109375" style="1372" customWidth="1"/>
    <col min="4" max="4" width="13.44140625" style="1372" customWidth="1"/>
    <col min="5" max="5" width="1.109375" style="1372" customWidth="1"/>
    <col min="6" max="6" width="13.44140625" style="1372" customWidth="1"/>
    <col min="7" max="7" width="1.109375" style="1372" customWidth="1"/>
    <col min="8" max="8" width="13.44140625" style="1461" customWidth="1"/>
    <col min="9" max="9" width="1.109375" style="1372" customWidth="1"/>
    <col min="10" max="10" width="13.44140625" style="1372" customWidth="1"/>
    <col min="11" max="11" width="1.109375" style="1372" customWidth="1"/>
    <col min="12" max="12" width="13.44140625" style="1372" customWidth="1"/>
    <col min="13" max="13" width="1.109375" style="1372" customWidth="1"/>
    <col min="14" max="14" width="13.44140625" style="1372" customWidth="1"/>
    <col min="15" max="17" width="1.109375" style="1372" customWidth="1"/>
    <col min="18" max="18" width="13.44140625" style="1372" customWidth="1"/>
    <col min="19" max="19" width="1.109375" style="1372" customWidth="1"/>
    <col min="20" max="20" width="13.44140625" style="1372" customWidth="1"/>
    <col min="21" max="21" width="1.109375" style="1372" customWidth="1"/>
    <col min="22" max="22" width="0.88671875" style="1372" customWidth="1"/>
    <col min="23" max="24" width="1.109375" style="1372" customWidth="1"/>
    <col min="25" max="25" width="13.44140625" style="1372" customWidth="1"/>
    <col min="26" max="26" width="1.109375" style="1372" customWidth="1"/>
    <col min="27" max="27" width="13.44140625" style="1372" customWidth="1"/>
    <col min="28" max="28" width="1.88671875" style="1372" customWidth="1"/>
    <col min="29" max="29" width="1.109375" style="1372" customWidth="1"/>
    <col min="30" max="30" width="13.44140625" style="1372" customWidth="1"/>
    <col min="31" max="31" width="1.109375" style="1372" customWidth="1"/>
    <col min="32" max="32" width="13.44140625" style="1372" customWidth="1"/>
    <col min="33" max="33" width="8.88671875" style="1372"/>
    <col min="34" max="34" width="8.88671875" style="1520"/>
    <col min="35" max="16384" width="8.88671875" style="1372"/>
  </cols>
  <sheetData>
    <row r="1" spans="1:33" ht="15">
      <c r="A1" s="289" t="s">
        <v>97</v>
      </c>
    </row>
    <row r="2" spans="1:33" ht="15" customHeight="1">
      <c r="A2" s="289"/>
    </row>
    <row r="3" spans="1:33" ht="21" customHeight="1">
      <c r="A3" s="2091" t="s">
        <v>98</v>
      </c>
      <c r="B3" s="2092"/>
      <c r="C3" s="2092"/>
      <c r="D3" s="2092"/>
      <c r="E3" s="2092"/>
      <c r="F3" s="2092"/>
      <c r="G3" s="2092"/>
      <c r="H3" s="2092"/>
      <c r="I3" s="2092"/>
      <c r="J3" s="2092"/>
      <c r="K3" s="2092"/>
      <c r="L3" s="2092"/>
      <c r="M3" s="2092"/>
      <c r="N3" s="2092"/>
      <c r="O3" s="2092"/>
      <c r="P3" s="2092"/>
      <c r="Q3" s="2092"/>
      <c r="R3" s="2092"/>
      <c r="S3" s="2092"/>
      <c r="T3" s="2092"/>
      <c r="U3" s="2092"/>
      <c r="V3" s="2092"/>
      <c r="W3" s="2092"/>
      <c r="X3" s="2092"/>
      <c r="Y3" s="2092"/>
      <c r="Z3" s="2092"/>
      <c r="AA3" s="2092"/>
      <c r="AB3" s="2092"/>
      <c r="AC3" s="271"/>
      <c r="AF3" s="1463" t="s">
        <v>155</v>
      </c>
    </row>
    <row r="4" spans="1:33" ht="20.25">
      <c r="A4" s="2093" t="s">
        <v>156</v>
      </c>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c r="AA4" s="2092"/>
      <c r="AB4" s="2092"/>
      <c r="AC4" s="271"/>
      <c r="AF4" s="1463" t="s">
        <v>157</v>
      </c>
    </row>
    <row r="5" spans="1:33" ht="21" customHeight="1">
      <c r="A5" s="2093" t="s">
        <v>158</v>
      </c>
      <c r="B5" s="2092"/>
      <c r="C5" s="2092"/>
      <c r="D5" s="2092"/>
      <c r="E5" s="2092"/>
      <c r="F5" s="2092"/>
      <c r="G5" s="2092"/>
      <c r="H5" s="2092"/>
      <c r="I5" s="2092"/>
      <c r="J5" s="2092"/>
      <c r="K5" s="2092"/>
      <c r="L5" s="2092"/>
      <c r="M5" s="2092"/>
      <c r="N5" s="2092"/>
      <c r="O5" s="2092"/>
      <c r="P5" s="2092"/>
      <c r="Q5" s="2092"/>
      <c r="R5" s="2092"/>
      <c r="S5" s="2092"/>
      <c r="T5" s="2092"/>
      <c r="U5" s="2092"/>
      <c r="V5" s="2092"/>
      <c r="W5" s="2092"/>
      <c r="X5" s="2092"/>
      <c r="Y5" s="2092"/>
      <c r="Z5" s="2092"/>
      <c r="AA5" s="2092"/>
      <c r="AB5" s="2092"/>
      <c r="AC5" s="271"/>
    </row>
    <row r="6" spans="1:33" ht="21" customHeight="1">
      <c r="A6" s="1464" t="s">
        <v>102</v>
      </c>
      <c r="B6" s="1462"/>
      <c r="C6" s="1462"/>
      <c r="D6" s="1462"/>
      <c r="E6" s="1462"/>
      <c r="F6" s="1462"/>
      <c r="G6" s="1462"/>
      <c r="H6" s="1462"/>
      <c r="I6" s="1462"/>
      <c r="J6" s="1462"/>
      <c r="K6" s="1462"/>
      <c r="L6" s="1462"/>
      <c r="M6" s="1462"/>
      <c r="N6" s="1462"/>
      <c r="O6" s="1462"/>
      <c r="P6" s="1462"/>
      <c r="Q6" s="1462"/>
      <c r="R6" s="1462"/>
      <c r="S6" s="1462"/>
      <c r="T6" s="1462"/>
      <c r="U6" s="1462"/>
      <c r="V6" s="1462"/>
      <c r="W6" s="1462"/>
      <c r="X6" s="1462"/>
      <c r="Y6" s="1462"/>
      <c r="Z6" s="1462"/>
      <c r="AA6" s="1462"/>
      <c r="AB6" s="1462"/>
      <c r="AC6" s="271"/>
    </row>
    <row r="7" spans="1:33" ht="15.75" customHeight="1">
      <c r="A7" s="2079"/>
      <c r="B7" s="2080"/>
      <c r="C7" s="2080"/>
      <c r="D7" s="2080"/>
      <c r="E7" s="2080"/>
      <c r="F7" s="2080"/>
      <c r="G7" s="2080"/>
      <c r="H7" s="2080"/>
      <c r="I7" s="2080"/>
      <c r="J7" s="2080"/>
      <c r="K7" s="2080"/>
      <c r="L7" s="2080"/>
      <c r="M7" s="2080"/>
      <c r="N7" s="2080"/>
      <c r="O7" s="2080"/>
      <c r="P7" s="2080"/>
      <c r="Q7" s="2080"/>
      <c r="R7" s="2080"/>
      <c r="S7" s="2080"/>
      <c r="T7" s="2080"/>
      <c r="U7" s="2080"/>
      <c r="V7" s="2080"/>
      <c r="W7" s="2080"/>
      <c r="X7" s="2080"/>
      <c r="Y7" s="2080"/>
      <c r="Z7" s="2080"/>
      <c r="AA7" s="2080"/>
      <c r="AB7" s="2080"/>
      <c r="AC7" s="271"/>
    </row>
    <row r="8" spans="1:33" ht="15.75" customHeight="1">
      <c r="A8" s="1465"/>
      <c r="B8" s="1465"/>
      <c r="C8" s="1465"/>
      <c r="D8" s="1465"/>
      <c r="E8" s="1465"/>
      <c r="F8" s="1465"/>
      <c r="G8" s="1465"/>
      <c r="H8" s="1466"/>
      <c r="I8" s="1467"/>
      <c r="J8" s="1467"/>
      <c r="K8" s="1467"/>
      <c r="L8" s="1467"/>
      <c r="M8" s="1465"/>
      <c r="N8" s="1467"/>
      <c r="O8" s="1467"/>
      <c r="P8" s="1467"/>
      <c r="Q8" s="1467"/>
      <c r="R8" s="1467"/>
      <c r="S8" s="1467"/>
      <c r="T8" s="1467"/>
      <c r="U8" s="1467"/>
      <c r="V8" s="1467"/>
      <c r="W8" s="1467"/>
      <c r="X8" s="1467"/>
      <c r="Y8" s="1468"/>
      <c r="Z8" s="1468"/>
      <c r="AA8" s="1463"/>
      <c r="AB8" s="1468"/>
      <c r="AC8" s="1469"/>
    </row>
    <row r="9" spans="1:33" ht="15.75" customHeight="1">
      <c r="A9" s="1465"/>
      <c r="B9" s="1465"/>
      <c r="C9" s="1465"/>
      <c r="D9" s="1465"/>
      <c r="E9" s="1465"/>
      <c r="F9" s="1465"/>
      <c r="G9" s="1465"/>
      <c r="H9" s="1466"/>
      <c r="I9" s="1467"/>
      <c r="J9" s="1467"/>
      <c r="K9" s="1467"/>
      <c r="L9" s="1467"/>
      <c r="M9" s="1465"/>
      <c r="N9" s="1467"/>
      <c r="O9" s="1467"/>
      <c r="P9" s="1467"/>
      <c r="Q9" s="1467"/>
      <c r="R9" s="1467"/>
      <c r="X9" s="1467"/>
      <c r="Y9" s="1468"/>
      <c r="Z9" s="1468"/>
      <c r="AA9" s="1463"/>
      <c r="AB9" s="1468"/>
      <c r="AC9" s="1469"/>
    </row>
    <row r="10" spans="1:33" ht="16.350000000000001" customHeight="1">
      <c r="A10" s="1465"/>
      <c r="B10" s="1465"/>
      <c r="C10" s="1465"/>
      <c r="D10" s="2088"/>
      <c r="E10" s="2089"/>
      <c r="F10" s="2089"/>
      <c r="G10" s="2089"/>
      <c r="H10" s="2089"/>
      <c r="I10" s="2089"/>
      <c r="J10" s="2089"/>
      <c r="K10" s="2089"/>
      <c r="L10" s="2089"/>
      <c r="M10" s="2089"/>
      <c r="N10" s="2089"/>
      <c r="O10" s="1467"/>
      <c r="P10" s="1471"/>
      <c r="Q10" s="1467"/>
      <c r="R10" s="2088"/>
      <c r="S10" s="2088"/>
      <c r="T10" s="2088"/>
      <c r="U10" s="2088"/>
      <c r="V10" s="2088"/>
      <c r="W10" s="2088"/>
      <c r="X10" s="2088"/>
      <c r="Y10" s="2088"/>
      <c r="Z10" s="2088"/>
      <c r="AA10" s="2088"/>
      <c r="AB10" s="2088"/>
      <c r="AC10" s="1472"/>
    </row>
    <row r="11" spans="1:33" ht="16.350000000000001" customHeight="1">
      <c r="A11" s="1327"/>
      <c r="B11" s="1327"/>
      <c r="C11" s="1327"/>
      <c r="D11" s="1473" t="s">
        <v>104</v>
      </c>
      <c r="E11" s="1473"/>
      <c r="F11" s="1473"/>
      <c r="G11" s="1328"/>
      <c r="H11" s="1474" t="s">
        <v>159</v>
      </c>
      <c r="I11" s="1473"/>
      <c r="J11" s="1473"/>
      <c r="L11" s="2090" t="s">
        <v>106</v>
      </c>
      <c r="M11" s="2090"/>
      <c r="N11" s="2090"/>
      <c r="O11" s="1470"/>
      <c r="P11" s="1470"/>
      <c r="Q11" s="1470"/>
      <c r="R11" s="1475" t="s">
        <v>160</v>
      </c>
      <c r="S11" s="1475"/>
      <c r="T11" s="1475"/>
      <c r="U11" s="1475"/>
      <c r="V11" s="1475"/>
      <c r="W11" s="1475"/>
      <c r="X11" s="1475"/>
      <c r="Y11" s="1475"/>
      <c r="Z11" s="1475"/>
      <c r="AA11" s="1475"/>
      <c r="AB11" s="1475"/>
      <c r="AC11" s="1476"/>
      <c r="AD11" s="1477"/>
      <c r="AE11" s="1477"/>
      <c r="AF11" s="1477"/>
    </row>
    <row r="12" spans="1:33" ht="15.75" customHeight="1">
      <c r="A12" s="1327"/>
      <c r="B12" s="1327"/>
      <c r="C12" s="1327"/>
      <c r="D12" s="1470" t="s">
        <v>109</v>
      </c>
      <c r="E12" s="1470"/>
      <c r="F12" s="1331" t="str">
        <f>'Exhibit A'!F11</f>
        <v>8 MOS. ENDED</v>
      </c>
      <c r="G12" s="1470"/>
      <c r="H12" s="1470" t="s">
        <v>109</v>
      </c>
      <c r="I12" s="1470"/>
      <c r="J12" s="1470" t="str">
        <f>F12</f>
        <v>8 MOS. ENDED</v>
      </c>
      <c r="K12" s="1470"/>
      <c r="L12" s="1470" t="s">
        <v>109</v>
      </c>
      <c r="M12" s="1470"/>
      <c r="N12" s="1470" t="str">
        <f>F12</f>
        <v>8 MOS. ENDED</v>
      </c>
      <c r="O12" s="1470"/>
      <c r="P12" s="1478"/>
      <c r="Q12" s="1470"/>
      <c r="R12" s="1470" t="s">
        <v>109</v>
      </c>
      <c r="S12" s="1470"/>
      <c r="T12" s="1470" t="str">
        <f>F12</f>
        <v>8 MOS. ENDED</v>
      </c>
      <c r="U12" s="1470"/>
      <c r="V12" s="1470"/>
      <c r="W12" s="1470"/>
      <c r="X12" s="1470"/>
      <c r="Y12" s="1470" t="s">
        <v>109</v>
      </c>
      <c r="Z12" s="1470"/>
      <c r="AA12" s="1470" t="str">
        <f>'Exhibit A'!AD11</f>
        <v>8 MOS. ENDED</v>
      </c>
      <c r="AB12" s="1470"/>
      <c r="AC12" s="1479"/>
      <c r="AD12" s="1470" t="s">
        <v>110</v>
      </c>
      <c r="AE12" s="289"/>
      <c r="AF12" s="1470" t="s">
        <v>111</v>
      </c>
    </row>
    <row r="13" spans="1:33" ht="16.350000000000001" customHeight="1">
      <c r="A13" s="1327"/>
      <c r="B13" s="1327"/>
      <c r="C13" s="1327"/>
      <c r="D13" s="1480" t="str">
        <f>'Exhibit A'!D12</f>
        <v>NOV. 2025</v>
      </c>
      <c r="E13" s="1470"/>
      <c r="F13" s="1480" t="str">
        <f>'Exhibit A'!F12</f>
        <v>NOV. 30, 2025</v>
      </c>
      <c r="G13" s="1470"/>
      <c r="H13" s="1475" t="str">
        <f>D13</f>
        <v>NOV. 2025</v>
      </c>
      <c r="I13" s="1470"/>
      <c r="J13" s="1475" t="str">
        <f>F13</f>
        <v>NOV. 30, 2025</v>
      </c>
      <c r="K13" s="1470"/>
      <c r="L13" s="1475" t="str">
        <f>D13</f>
        <v>NOV. 2025</v>
      </c>
      <c r="M13" s="1470"/>
      <c r="N13" s="1475" t="str">
        <f>F13</f>
        <v>NOV. 30, 2025</v>
      </c>
      <c r="O13" s="1470"/>
      <c r="P13" s="1478"/>
      <c r="Q13" s="1470"/>
      <c r="R13" s="1475" t="str">
        <f>D13</f>
        <v>NOV. 2025</v>
      </c>
      <c r="S13" s="1470"/>
      <c r="T13" s="1475" t="str">
        <f>F13</f>
        <v>NOV. 30, 2025</v>
      </c>
      <c r="U13" s="1470"/>
      <c r="V13" s="1470"/>
      <c r="W13" s="1470"/>
      <c r="X13" s="1470"/>
      <c r="Y13" s="1480" t="str">
        <f>'Exhibit A'!AB12</f>
        <v>NOV. 2024</v>
      </c>
      <c r="Z13" s="1470"/>
      <c r="AA13" s="1480" t="str">
        <f>'Exhibit A'!AD12</f>
        <v>NOV. 30, 2024</v>
      </c>
      <c r="AB13" s="1470"/>
      <c r="AC13" s="1479"/>
      <c r="AD13" s="1475" t="s">
        <v>112</v>
      </c>
      <c r="AE13" s="289"/>
      <c r="AF13" s="1480" t="s">
        <v>113</v>
      </c>
    </row>
    <row r="14" spans="1:33" ht="16.350000000000001" customHeight="1">
      <c r="A14" s="1328" t="s">
        <v>114</v>
      </c>
      <c r="B14" s="1327"/>
      <c r="C14" s="1327"/>
      <c r="D14" s="1481" t="s">
        <v>103</v>
      </c>
      <c r="E14" s="1327"/>
      <c r="F14" s="1327"/>
      <c r="G14" s="1327"/>
      <c r="H14" s="1327" t="s">
        <v>103</v>
      </c>
      <c r="I14" s="1327"/>
      <c r="J14" s="1327"/>
      <c r="K14" s="1327"/>
      <c r="L14" s="1327" t="s">
        <v>103</v>
      </c>
      <c r="M14" s="1327"/>
      <c r="N14" s="1327"/>
      <c r="O14" s="1327"/>
      <c r="P14" s="1531"/>
      <c r="Q14" s="1482"/>
      <c r="R14" s="1327"/>
      <c r="S14" s="1327"/>
      <c r="T14" s="1327"/>
      <c r="U14" s="1327"/>
      <c r="V14" s="1327"/>
      <c r="W14" s="1483"/>
      <c r="X14" s="1327"/>
      <c r="Y14" s="1327"/>
      <c r="Z14" s="1327"/>
      <c r="AA14" s="1327"/>
      <c r="AB14" s="1327"/>
      <c r="AC14" s="1484"/>
      <c r="AD14" s="1327"/>
      <c r="AF14" s="289"/>
    </row>
    <row r="15" spans="1:33" ht="18" customHeight="1">
      <c r="A15" s="1327" t="s">
        <v>161</v>
      </c>
      <c r="B15" s="1485" t="s">
        <v>103</v>
      </c>
      <c r="C15" s="1327"/>
      <c r="D15" s="1363">
        <f>+'Exhibit A'!D14</f>
        <v>1348.1</v>
      </c>
      <c r="E15" s="1363" t="s">
        <v>103</v>
      </c>
      <c r="F15" s="1363">
        <f>+'Exhibit A'!F14</f>
        <v>19115.599999999999</v>
      </c>
      <c r="G15" s="1363"/>
      <c r="H15" s="1980">
        <f>+'Exhibit G State'!R17</f>
        <v>0</v>
      </c>
      <c r="I15" s="1363"/>
      <c r="J15" s="2039">
        <f>'Exhibit G State'!AC17</f>
        <v>0</v>
      </c>
      <c r="K15" s="1363"/>
      <c r="L15" s="2040">
        <f>+'Exhibit A'!L14</f>
        <v>1348</v>
      </c>
      <c r="M15" s="1363"/>
      <c r="N15" s="1363">
        <f>+'Exhibit A'!N14</f>
        <v>19115.599999999999</v>
      </c>
      <c r="O15" s="1363"/>
      <c r="P15" s="2041"/>
      <c r="Q15" s="2042"/>
      <c r="R15" s="1363">
        <f t="shared" ref="R15:R20" si="0">ROUND(SUM(D15+H15+L15),1)</f>
        <v>2696.1</v>
      </c>
      <c r="S15" s="1363"/>
      <c r="T15" s="2040">
        <f t="shared" ref="T15:T20" si="1">ROUND(SUM(F15+J15+N15),1)</f>
        <v>38231.199999999997</v>
      </c>
      <c r="U15" s="1363"/>
      <c r="V15" s="1363"/>
      <c r="W15" s="1486"/>
      <c r="X15" s="1363"/>
      <c r="Y15" s="1363">
        <v>3660.6</v>
      </c>
      <c r="Z15" s="1363" t="s">
        <v>103</v>
      </c>
      <c r="AA15" s="1363">
        <f>'Exhibit F'!AF27+'Exhibit G State'!AF17+'Exhibit H'!AD17</f>
        <v>35329.199999999997</v>
      </c>
      <c r="AB15" s="1487"/>
      <c r="AC15" s="1488"/>
      <c r="AD15" s="1363">
        <f t="shared" ref="AD15:AD20" si="2">ROUND(SUM(T15-AA15),1)</f>
        <v>2902</v>
      </c>
      <c r="AE15" s="1489"/>
      <c r="AF15" s="271">
        <f>ROUND(+AD15/AA15,3)</f>
        <v>8.2000000000000003E-2</v>
      </c>
      <c r="AG15" s="1519"/>
    </row>
    <row r="16" spans="1:33" ht="18" customHeight="1">
      <c r="A16" s="1327" t="s">
        <v>116</v>
      </c>
      <c r="B16" s="1490" t="s">
        <v>103</v>
      </c>
      <c r="C16" s="1327"/>
      <c r="D16" s="258">
        <f>+'Exhibit A'!D15</f>
        <v>853.4</v>
      </c>
      <c r="E16" s="258"/>
      <c r="F16" s="258">
        <f>+'Exhibit A'!F15</f>
        <v>7044.3</v>
      </c>
      <c r="G16" s="258"/>
      <c r="H16" s="725">
        <f>+'Exhibit G State'!R29</f>
        <v>168.3</v>
      </c>
      <c r="I16" s="258"/>
      <c r="J16" s="2043">
        <f>'Exhibit G State'!AC29</f>
        <v>1546.8</v>
      </c>
      <c r="K16" s="258"/>
      <c r="L16" s="258">
        <f>+'Exhibit A'!L15</f>
        <v>813.1</v>
      </c>
      <c r="M16" s="258"/>
      <c r="N16" s="258">
        <f>+'Exhibit A'!N15</f>
        <v>6671.7</v>
      </c>
      <c r="O16" s="258"/>
      <c r="P16" s="2044"/>
      <c r="Q16" s="2045"/>
      <c r="R16" s="258">
        <f t="shared" si="0"/>
        <v>1834.8</v>
      </c>
      <c r="S16" s="258"/>
      <c r="T16" s="537">
        <f t="shared" si="1"/>
        <v>15262.8</v>
      </c>
      <c r="U16" s="258"/>
      <c r="V16" s="258"/>
      <c r="W16" s="1491"/>
      <c r="X16" s="258"/>
      <c r="Y16" s="258">
        <v>1704.1</v>
      </c>
      <c r="Z16" s="258" t="s">
        <v>103</v>
      </c>
      <c r="AA16" s="258">
        <f>'Exhibit F'!AF38+'Exhibit G State'!AF29+'Exhibit H'!AD21</f>
        <v>14393.400000000001</v>
      </c>
      <c r="AB16" s="1327"/>
      <c r="AC16" s="1484"/>
      <c r="AD16" s="258">
        <f t="shared" si="2"/>
        <v>869.4</v>
      </c>
      <c r="AF16" s="271">
        <f t="shared" ref="AF16:AF21" si="3">ROUND(+AD16/AA16,3)</f>
        <v>0.06</v>
      </c>
      <c r="AG16" s="1519"/>
    </row>
    <row r="17" spans="1:33" ht="18" customHeight="1">
      <c r="A17" s="1327" t="s">
        <v>117</v>
      </c>
      <c r="B17" s="1492"/>
      <c r="C17" s="1327"/>
      <c r="D17" s="258">
        <f>+'Exhibit A'!D16</f>
        <v>-3.7</v>
      </c>
      <c r="E17" s="258"/>
      <c r="F17" s="258">
        <f>+'Exhibit A'!F16</f>
        <v>7634.4</v>
      </c>
      <c r="G17" s="258"/>
      <c r="H17" s="725">
        <f>+'Exhibit G State'!R36</f>
        <v>72.5</v>
      </c>
      <c r="I17" s="258"/>
      <c r="J17" s="2043">
        <f>'Exhibit G State'!AC36</f>
        <v>1422.5</v>
      </c>
      <c r="K17" s="258"/>
      <c r="L17" s="258">
        <f>+'Exhibit A'!L16</f>
        <v>-11.3</v>
      </c>
      <c r="M17" s="258"/>
      <c r="N17" s="258">
        <f>+'Exhibit A'!N16</f>
        <v>3084.7</v>
      </c>
      <c r="O17" s="1493"/>
      <c r="P17" s="2046"/>
      <c r="Q17" s="2047"/>
      <c r="R17" s="258">
        <f t="shared" si="0"/>
        <v>57.5</v>
      </c>
      <c r="S17" s="258"/>
      <c r="T17" s="537">
        <f t="shared" si="1"/>
        <v>12141.6</v>
      </c>
      <c r="U17" s="258"/>
      <c r="V17" s="258"/>
      <c r="W17" s="1494"/>
      <c r="X17" s="1493"/>
      <c r="Y17" s="258">
        <v>148.9</v>
      </c>
      <c r="Z17" s="258" t="s">
        <v>103</v>
      </c>
      <c r="AA17" s="258">
        <f>'Exhibit F'!AF46+'Exhibit G State'!AF36+'Exhibit H'!AD23</f>
        <v>12082.300000000001</v>
      </c>
      <c r="AB17" s="1327"/>
      <c r="AC17" s="1484"/>
      <c r="AD17" s="258">
        <f t="shared" si="2"/>
        <v>59.3</v>
      </c>
      <c r="AF17" s="271">
        <f t="shared" si="3"/>
        <v>5.0000000000000001E-3</v>
      </c>
      <c r="AG17" s="1519"/>
    </row>
    <row r="18" spans="1:33" ht="18" customHeight="1">
      <c r="A18" s="1327" t="s">
        <v>118</v>
      </c>
      <c r="B18" s="1490" t="s">
        <v>103</v>
      </c>
      <c r="C18" s="1327"/>
      <c r="D18" s="258">
        <f>+'Exhibit A'!D17</f>
        <v>133.6</v>
      </c>
      <c r="E18" s="258"/>
      <c r="F18" s="258">
        <f>+'Exhibit A'!F17</f>
        <v>1097.2</v>
      </c>
      <c r="G18" s="258"/>
      <c r="H18" s="725">
        <v>0</v>
      </c>
      <c r="I18" s="258"/>
      <c r="J18" s="2043">
        <v>0</v>
      </c>
      <c r="K18" s="258"/>
      <c r="L18" s="258">
        <f>+'Exhibit A'!L17</f>
        <v>95</v>
      </c>
      <c r="M18" s="258"/>
      <c r="N18" s="258">
        <f>+'Exhibit A'!N17</f>
        <v>806</v>
      </c>
      <c r="O18" s="258"/>
      <c r="P18" s="2044"/>
      <c r="Q18" s="2045"/>
      <c r="R18" s="258">
        <f t="shared" si="0"/>
        <v>228.6</v>
      </c>
      <c r="S18" s="258"/>
      <c r="T18" s="537">
        <f t="shared" si="1"/>
        <v>1903.2</v>
      </c>
      <c r="U18" s="258"/>
      <c r="V18" s="258"/>
      <c r="W18" s="1491"/>
      <c r="X18" s="258"/>
      <c r="Y18" s="258">
        <v>189.9</v>
      </c>
      <c r="Z18" s="258" t="s">
        <v>103</v>
      </c>
      <c r="AA18" s="258">
        <f>'Exhibit F'!AF54+'Exhibit H'!AD28</f>
        <v>1607.5</v>
      </c>
      <c r="AB18" s="1327"/>
      <c r="AC18" s="1484"/>
      <c r="AD18" s="258">
        <f t="shared" si="2"/>
        <v>295.7</v>
      </c>
      <c r="AF18" s="271">
        <f t="shared" si="3"/>
        <v>0.184</v>
      </c>
      <c r="AG18" s="1519"/>
    </row>
    <row r="19" spans="1:33" ht="18" customHeight="1">
      <c r="A19" s="1327" t="s">
        <v>119</v>
      </c>
      <c r="B19" s="1490" t="s">
        <v>103</v>
      </c>
      <c r="C19" s="1327"/>
      <c r="D19" s="258">
        <f>+'Exhibit A'!D18</f>
        <v>396</v>
      </c>
      <c r="E19" s="258"/>
      <c r="F19" s="258">
        <f>+'Exhibit A'!F18</f>
        <v>3128.8</v>
      </c>
      <c r="G19" s="258"/>
      <c r="H19" s="725">
        <f>+'Exhibit G State'!R81</f>
        <v>2989.3</v>
      </c>
      <c r="I19" s="258"/>
      <c r="J19" s="2043">
        <f>'Exhibit G State'!AC81</f>
        <v>17891.2</v>
      </c>
      <c r="K19" s="258"/>
      <c r="L19" s="258">
        <f>+'Exhibit A'!L18</f>
        <v>50.6</v>
      </c>
      <c r="M19" s="258"/>
      <c r="N19" s="258">
        <f>+'Exhibit A'!N18</f>
        <v>429</v>
      </c>
      <c r="O19" s="258"/>
      <c r="P19" s="2044"/>
      <c r="Q19" s="2045"/>
      <c r="R19" s="258">
        <f t="shared" si="0"/>
        <v>3435.9</v>
      </c>
      <c r="S19" s="258"/>
      <c r="T19" s="537">
        <f t="shared" si="1"/>
        <v>21449</v>
      </c>
      <c r="U19" s="258"/>
      <c r="V19" s="258"/>
      <c r="W19" s="1491"/>
      <c r="X19" s="258"/>
      <c r="Y19" s="258">
        <v>2145.3000000000002</v>
      </c>
      <c r="Z19" s="258" t="s">
        <v>103</v>
      </c>
      <c r="AA19" s="258">
        <f>+'Exhibit F'!AF97+'Exhibit G State'!AF81+'Exhibit H'!AD51</f>
        <v>18370.7</v>
      </c>
      <c r="AB19" s="1327"/>
      <c r="AC19" s="1484"/>
      <c r="AD19" s="258">
        <f t="shared" si="2"/>
        <v>3078.3</v>
      </c>
      <c r="AF19" s="271">
        <f t="shared" si="3"/>
        <v>0.16800000000000001</v>
      </c>
      <c r="AG19" s="1519"/>
    </row>
    <row r="20" spans="1:33" ht="18" customHeight="1">
      <c r="A20" s="1327" t="s">
        <v>120</v>
      </c>
      <c r="B20" s="1485" t="s">
        <v>103</v>
      </c>
      <c r="C20" s="1327"/>
      <c r="D20" s="258">
        <f>+'Exhibit A'!D19</f>
        <v>0.70000000000000007</v>
      </c>
      <c r="E20" s="258"/>
      <c r="F20" s="258">
        <f>+'Exhibit A'!F19</f>
        <v>1.1000000000000001</v>
      </c>
      <c r="G20" s="258"/>
      <c r="H20" s="725">
        <f>+'Exhibit G State'!R83</f>
        <v>9.9999999999999978E-2</v>
      </c>
      <c r="I20" s="258"/>
      <c r="J20" s="2043">
        <f>'Exhibit G State'!AC83</f>
        <v>0.2</v>
      </c>
      <c r="K20" s="258"/>
      <c r="L20" s="258">
        <f>+'Exhibit A'!L19</f>
        <v>0</v>
      </c>
      <c r="M20" s="1493"/>
      <c r="N20" s="258">
        <f>+'Exhibit A'!N19</f>
        <v>56.9</v>
      </c>
      <c r="O20" s="1493"/>
      <c r="P20" s="2046"/>
      <c r="Q20" s="2047"/>
      <c r="R20" s="1493">
        <f t="shared" si="0"/>
        <v>0.8</v>
      </c>
      <c r="S20" s="1493"/>
      <c r="T20" s="537">
        <f t="shared" si="1"/>
        <v>58.2</v>
      </c>
      <c r="U20" s="258"/>
      <c r="V20" s="258"/>
      <c r="W20" s="1494"/>
      <c r="X20" s="1493"/>
      <c r="Y20" s="258">
        <v>3.6</v>
      </c>
      <c r="Z20" s="258" t="s">
        <v>103</v>
      </c>
      <c r="AA20" s="258">
        <f>+'Exhibit F'!AF99+'Exhibit G State'!AF83+'Exhibit H'!AD53</f>
        <v>41.900000000000006</v>
      </c>
      <c r="AB20" s="1327"/>
      <c r="AC20" s="1484"/>
      <c r="AD20" s="258">
        <f t="shared" si="2"/>
        <v>16.3</v>
      </c>
      <c r="AF20" s="548">
        <f>ROUND(IF(AA20=0,1,AD20/ABS(AA20)),3)</f>
        <v>0.38900000000000001</v>
      </c>
      <c r="AG20" s="1519"/>
    </row>
    <row r="21" spans="1:33" ht="18" customHeight="1">
      <c r="A21" s="1328" t="s">
        <v>121</v>
      </c>
      <c r="B21" s="1327"/>
      <c r="C21" s="1327"/>
      <c r="D21" s="1495">
        <f>ROUND(SUM(D15:D20),1)</f>
        <v>2728.1</v>
      </c>
      <c r="E21" s="1"/>
      <c r="F21" s="2048">
        <f>ROUND(SUM(F15:F20),1)</f>
        <v>38021.4</v>
      </c>
      <c r="G21" s="1"/>
      <c r="H21" s="1495">
        <f>ROUND(SUM(H15:H20),1)</f>
        <v>3230.2</v>
      </c>
      <c r="I21" s="1"/>
      <c r="J21" s="1495">
        <f>ROUND(SUM(J15:J20),1)</f>
        <v>20860.7</v>
      </c>
      <c r="K21" s="1"/>
      <c r="L21" s="1495">
        <f>ROUND(SUM(L15:L20),1)</f>
        <v>2295.4</v>
      </c>
      <c r="M21" s="1"/>
      <c r="N21" s="1495">
        <f>ROUND(SUM(N15:N20),1)</f>
        <v>30163.9</v>
      </c>
      <c r="O21" s="1"/>
      <c r="P21" s="1506"/>
      <c r="Q21" s="2049"/>
      <c r="R21" s="1495">
        <f>ROUND(SUM(R15:R20),1)</f>
        <v>8253.7000000000007</v>
      </c>
      <c r="S21" s="1"/>
      <c r="T21" s="1495">
        <f>ROUND(SUM(T15:T20),1)</f>
        <v>89046</v>
      </c>
      <c r="U21" s="1"/>
      <c r="V21" s="1"/>
      <c r="W21" s="1497"/>
      <c r="X21" s="1"/>
      <c r="Y21" s="1495">
        <f>ROUND(SUM(Y15:Y20),1)</f>
        <v>7852.4</v>
      </c>
      <c r="Z21" s="1"/>
      <c r="AA21" s="1495">
        <f>ROUND(SUM(AA15:AA20),1)</f>
        <v>81825</v>
      </c>
      <c r="AB21" s="1328"/>
      <c r="AC21" s="1498"/>
      <c r="AD21" s="1495">
        <f>ROUND(SUM(AD15:AD20),1)</f>
        <v>7221</v>
      </c>
      <c r="AE21" s="1451"/>
      <c r="AF21" s="1499">
        <f t="shared" si="3"/>
        <v>8.7999999999999995E-2</v>
      </c>
      <c r="AG21" s="1519"/>
    </row>
    <row r="22" spans="1:33" ht="16.350000000000001" customHeight="1">
      <c r="A22" s="1328"/>
      <c r="B22" s="1327"/>
      <c r="C22" s="1327"/>
      <c r="D22" s="258"/>
      <c r="E22" s="258"/>
      <c r="F22" s="258"/>
      <c r="G22" s="258"/>
      <c r="H22" s="258"/>
      <c r="I22" s="258"/>
      <c r="J22" s="258"/>
      <c r="K22" s="258"/>
      <c r="L22" s="258"/>
      <c r="M22" s="258"/>
      <c r="N22" s="258"/>
      <c r="O22" s="258"/>
      <c r="P22" s="2044"/>
      <c r="Q22" s="2045"/>
      <c r="R22" s="258"/>
      <c r="S22" s="258"/>
      <c r="T22" s="258"/>
      <c r="U22" s="258"/>
      <c r="V22" s="258"/>
      <c r="W22" s="1491"/>
      <c r="X22" s="258"/>
      <c r="Y22" s="258"/>
      <c r="Z22" s="258"/>
      <c r="AA22" s="258"/>
      <c r="AB22" s="1327"/>
      <c r="AC22" s="1484"/>
      <c r="AD22" s="258"/>
      <c r="AF22" s="289"/>
      <c r="AG22" s="1519"/>
    </row>
    <row r="23" spans="1:33" ht="16.350000000000001" customHeight="1">
      <c r="A23" s="1328" t="s">
        <v>122</v>
      </c>
      <c r="B23" s="1327"/>
      <c r="C23" s="1327"/>
      <c r="D23" s="258"/>
      <c r="E23" s="258"/>
      <c r="F23" s="258"/>
      <c r="G23" s="258"/>
      <c r="H23" s="258"/>
      <c r="I23" s="258"/>
      <c r="J23" s="258"/>
      <c r="K23" s="258"/>
      <c r="L23" s="258"/>
      <c r="M23" s="258"/>
      <c r="N23" s="258"/>
      <c r="O23" s="258"/>
      <c r="P23" s="2044"/>
      <c r="Q23" s="2045"/>
      <c r="R23" s="258"/>
      <c r="S23" s="258"/>
      <c r="T23" s="258"/>
      <c r="U23" s="258"/>
      <c r="V23" s="258"/>
      <c r="W23" s="1491"/>
      <c r="X23" s="258"/>
      <c r="Y23" s="258"/>
      <c r="Z23" s="258"/>
      <c r="AA23" s="258"/>
      <c r="AB23" s="1327"/>
      <c r="AC23" s="1484"/>
      <c r="AD23" s="258"/>
      <c r="AF23" s="289"/>
      <c r="AG23" s="1519"/>
    </row>
    <row r="24" spans="1:33" ht="16.350000000000001" customHeight="1">
      <c r="A24" s="1327" t="s">
        <v>123</v>
      </c>
      <c r="B24" s="1481" t="s">
        <v>103</v>
      </c>
      <c r="C24" s="1327"/>
      <c r="D24" s="260"/>
      <c r="E24" s="1493"/>
      <c r="F24" s="260"/>
      <c r="G24" s="258"/>
      <c r="H24" s="260"/>
      <c r="I24" s="1493"/>
      <c r="J24" s="260"/>
      <c r="K24" s="258"/>
      <c r="L24" s="260"/>
      <c r="M24" s="258"/>
      <c r="N24" s="1493"/>
      <c r="O24" s="258"/>
      <c r="P24" s="2044"/>
      <c r="Q24" s="2045"/>
      <c r="R24" s="1493"/>
      <c r="S24" s="1493"/>
      <c r="T24" s="1493"/>
      <c r="U24" s="258"/>
      <c r="V24" s="258"/>
      <c r="W24" s="1491"/>
      <c r="X24" s="1493"/>
      <c r="Y24" s="258"/>
      <c r="Z24" s="258"/>
      <c r="AA24" s="258"/>
      <c r="AB24" s="1327"/>
      <c r="AC24" s="1484"/>
      <c r="AD24" s="260"/>
      <c r="AF24" s="1332"/>
      <c r="AG24" s="1519"/>
    </row>
    <row r="25" spans="1:33" ht="18" customHeight="1">
      <c r="A25" s="1500" t="s">
        <v>124</v>
      </c>
      <c r="B25" s="1327"/>
      <c r="C25" s="1327"/>
      <c r="D25" s="518">
        <f>+'Exhibit A'!D24</f>
        <v>2035.3000000000029</v>
      </c>
      <c r="E25" s="258"/>
      <c r="F25" s="518">
        <f>+'Exhibit A'!F24</f>
        <v>18524.5</v>
      </c>
      <c r="G25" s="258"/>
      <c r="H25" s="518">
        <f>+'Exhibit G State'!R89</f>
        <v>169.80000000000052</v>
      </c>
      <c r="I25" s="258"/>
      <c r="J25" s="518">
        <f>+'Exhibit G State'!AC89</f>
        <v>4502.7</v>
      </c>
      <c r="K25" s="258"/>
      <c r="L25" s="260">
        <f>+'Exhibit A'!L24</f>
        <v>0</v>
      </c>
      <c r="M25" s="258"/>
      <c r="N25" s="1493">
        <f>+'Exhibit A'!N24</f>
        <v>0</v>
      </c>
      <c r="O25" s="1493"/>
      <c r="P25" s="2046"/>
      <c r="Q25" s="2047"/>
      <c r="R25" s="537">
        <f>ROUND(SUM(D25+H25+L25),1)</f>
        <v>2205.1</v>
      </c>
      <c r="S25" s="537"/>
      <c r="T25" s="537">
        <f>ROUND(SUM(F25+J25+N25),1)</f>
        <v>23027.200000000001</v>
      </c>
      <c r="U25" s="258"/>
      <c r="V25" s="258"/>
      <c r="W25" s="1494"/>
      <c r="X25" s="1493"/>
      <c r="Y25" s="258">
        <v>2211.6999999999998</v>
      </c>
      <c r="Z25" s="258" t="s">
        <v>103</v>
      </c>
      <c r="AA25" s="258">
        <f>+'Exhibit F'!AF105+'Exhibit G State'!AF89</f>
        <v>21932.7</v>
      </c>
      <c r="AB25" s="1327"/>
      <c r="AC25" s="1484"/>
      <c r="AD25" s="258">
        <f>ROUND(SUM(T25-AA25),1)</f>
        <v>1094.5</v>
      </c>
      <c r="AF25" s="271">
        <f>ROUND(+AD25/AA25,3)</f>
        <v>0.05</v>
      </c>
      <c r="AG25" s="1519"/>
    </row>
    <row r="26" spans="1:33" ht="18" customHeight="1">
      <c r="A26" s="1500" t="s">
        <v>125</v>
      </c>
      <c r="B26" s="1481"/>
      <c r="C26" s="1327"/>
      <c r="D26" s="518">
        <f>+'Exhibit A'!D25</f>
        <v>9.9999999999999867E-2</v>
      </c>
      <c r="E26" s="258"/>
      <c r="F26" s="518">
        <f>+'Exhibit A'!F25</f>
        <v>3.2</v>
      </c>
      <c r="G26" s="258"/>
      <c r="H26" s="518">
        <f>+'Exhibit G State'!R90</f>
        <v>3.0999999999999996</v>
      </c>
      <c r="I26" s="537"/>
      <c r="J26" s="518">
        <f>+'Exhibit G State'!AC90</f>
        <v>5.5</v>
      </c>
      <c r="K26" s="258"/>
      <c r="L26" s="260">
        <f>+'Exhibit A'!L25</f>
        <v>0</v>
      </c>
      <c r="M26" s="258"/>
      <c r="N26" s="1493">
        <f>+'Exhibit A'!N25</f>
        <v>0</v>
      </c>
      <c r="O26" s="1493"/>
      <c r="P26" s="2046"/>
      <c r="Q26" s="2047"/>
      <c r="R26" s="537">
        <f t="shared" ref="R26:R33" si="4">ROUND(SUM(D26+H26+L26),1)</f>
        <v>3.2</v>
      </c>
      <c r="S26" s="537"/>
      <c r="T26" s="537">
        <f t="shared" ref="T26:T33" si="5">ROUND(SUM(F26+J26+N26),1)</f>
        <v>8.6999999999999993</v>
      </c>
      <c r="U26" s="258"/>
      <c r="V26" s="258"/>
      <c r="W26" s="1494"/>
      <c r="X26" s="1493"/>
      <c r="Y26" s="258">
        <v>4.0999999999999996</v>
      </c>
      <c r="Z26" s="258" t="s">
        <v>103</v>
      </c>
      <c r="AA26" s="258">
        <f>+'Exhibit F'!AF106+'Exhibit G State'!AF90</f>
        <v>8.6999999999999993</v>
      </c>
      <c r="AB26" s="1327"/>
      <c r="AC26" s="1484"/>
      <c r="AD26" s="258">
        <f>ROUND(SUM(T26-AA26),1)</f>
        <v>0</v>
      </c>
      <c r="AF26" s="548">
        <f>ROUND(IF(AA26=0,1,AD26/ABS(AA26)),3)</f>
        <v>0</v>
      </c>
      <c r="AG26" s="1519"/>
    </row>
    <row r="27" spans="1:33" ht="18" customHeight="1">
      <c r="A27" s="1500" t="s">
        <v>126</v>
      </c>
      <c r="B27" s="1333"/>
      <c r="C27" s="1327"/>
      <c r="D27" s="518">
        <f>+'Exhibit A'!D26</f>
        <v>19.80000000000009</v>
      </c>
      <c r="E27" s="258"/>
      <c r="F27" s="518">
        <f>+'Exhibit A'!F26</f>
        <v>876.6</v>
      </c>
      <c r="G27" s="258"/>
      <c r="H27" s="518">
        <f>+'Exhibit G State'!R91</f>
        <v>10.599999999999987</v>
      </c>
      <c r="I27" s="258"/>
      <c r="J27" s="518">
        <f>+'Exhibit G State'!AC91</f>
        <v>133.6</v>
      </c>
      <c r="K27" s="258"/>
      <c r="L27" s="260">
        <f>+'Exhibit A'!L26</f>
        <v>0</v>
      </c>
      <c r="M27" s="258"/>
      <c r="N27" s="1493">
        <f>+'Exhibit A'!N26</f>
        <v>0</v>
      </c>
      <c r="O27" s="1493"/>
      <c r="P27" s="2046"/>
      <c r="Q27" s="2047"/>
      <c r="R27" s="537">
        <f t="shared" si="4"/>
        <v>30.4</v>
      </c>
      <c r="S27" s="537"/>
      <c r="T27" s="537">
        <f t="shared" si="5"/>
        <v>1010.2</v>
      </c>
      <c r="U27" s="258"/>
      <c r="V27" s="258"/>
      <c r="W27" s="1494"/>
      <c r="X27" s="1493"/>
      <c r="Y27" s="258">
        <v>50.8</v>
      </c>
      <c r="Z27" s="258" t="s">
        <v>103</v>
      </c>
      <c r="AA27" s="258">
        <f>+'Exhibit F'!AF107+'Exhibit G State'!AF91</f>
        <v>970.3</v>
      </c>
      <c r="AB27" s="1327"/>
      <c r="AC27" s="1484"/>
      <c r="AD27" s="258">
        <f>ROUND(SUM(T27-AA27),1)</f>
        <v>39.9</v>
      </c>
      <c r="AF27" s="271">
        <f>ROUND(+AD27/AA27,3)</f>
        <v>4.1000000000000002E-2</v>
      </c>
      <c r="AG27" s="1519"/>
    </row>
    <row r="28" spans="1:33" ht="18" customHeight="1">
      <c r="A28" s="1500" t="s">
        <v>127</v>
      </c>
      <c r="B28" s="1333"/>
      <c r="C28" s="1327"/>
      <c r="D28" s="518"/>
      <c r="E28" s="258"/>
      <c r="F28" s="518"/>
      <c r="G28" s="258"/>
      <c r="H28" s="518"/>
      <c r="I28" s="258"/>
      <c r="J28" s="518"/>
      <c r="K28" s="258"/>
      <c r="L28" s="260"/>
      <c r="M28" s="258"/>
      <c r="N28" s="1493"/>
      <c r="O28" s="1493"/>
      <c r="P28" s="2046"/>
      <c r="Q28" s="2047"/>
      <c r="R28" s="537" t="s">
        <v>103</v>
      </c>
      <c r="S28" s="537"/>
      <c r="T28" s="537" t="s">
        <v>103</v>
      </c>
      <c r="U28" s="258"/>
      <c r="V28" s="258"/>
      <c r="W28" s="1494"/>
      <c r="X28" s="1493"/>
      <c r="Y28" s="258"/>
      <c r="Z28" s="258" t="s">
        <v>103</v>
      </c>
      <c r="AA28" s="258" t="s">
        <v>103</v>
      </c>
      <c r="AB28" s="1327"/>
      <c r="AC28" s="1484"/>
      <c r="AD28" s="258"/>
      <c r="AF28" s="271"/>
      <c r="AG28" s="1519"/>
    </row>
    <row r="29" spans="1:33" ht="18" customHeight="1">
      <c r="A29" s="1501" t="s">
        <v>128</v>
      </c>
      <c r="B29" s="1485"/>
      <c r="C29" s="1327"/>
      <c r="D29" s="518">
        <f>+'Exhibit A'!D28</f>
        <v>3019.1999999999994</v>
      </c>
      <c r="E29" s="258"/>
      <c r="F29" s="518">
        <f>+'Exhibit A'!F28</f>
        <v>23999.7</v>
      </c>
      <c r="G29" s="258"/>
      <c r="H29" s="518">
        <f>+'Exhibit G State'!R93</f>
        <v>523.20000000000005</v>
      </c>
      <c r="I29" s="258"/>
      <c r="J29" s="518">
        <f>+'Exhibit G State'!AC93</f>
        <v>3804</v>
      </c>
      <c r="K29" s="258"/>
      <c r="L29" s="260">
        <f>+'Exhibit A'!L28</f>
        <v>0</v>
      </c>
      <c r="M29" s="258"/>
      <c r="N29" s="1493">
        <f>+'Exhibit A'!N28</f>
        <v>0</v>
      </c>
      <c r="O29" s="1493"/>
      <c r="P29" s="2046"/>
      <c r="Q29" s="2047"/>
      <c r="R29" s="537">
        <f t="shared" si="4"/>
        <v>3542.4</v>
      </c>
      <c r="S29" s="537"/>
      <c r="T29" s="537">
        <f t="shared" si="5"/>
        <v>27803.7</v>
      </c>
      <c r="U29" s="258"/>
      <c r="V29" s="258"/>
      <c r="W29" s="1494"/>
      <c r="X29" s="1493"/>
      <c r="Y29" s="258">
        <v>2973.6</v>
      </c>
      <c r="Z29" s="258" t="s">
        <v>103</v>
      </c>
      <c r="AA29" s="258">
        <f>+'Exhibit F'!AF109+'Exhibit G State'!AF93</f>
        <v>24814</v>
      </c>
      <c r="AB29" s="1327"/>
      <c r="AC29" s="1484"/>
      <c r="AD29" s="258">
        <f t="shared" ref="AD29:AD34" si="6">ROUND(SUM(T29-AA29),1)</f>
        <v>2989.7</v>
      </c>
      <c r="AF29" s="271">
        <f t="shared" ref="AF29:AF34" si="7">ROUND(+AD29/AA29,3)</f>
        <v>0.12</v>
      </c>
      <c r="AG29" s="1519"/>
    </row>
    <row r="30" spans="1:33" ht="18" customHeight="1">
      <c r="A30" s="1500" t="s">
        <v>129</v>
      </c>
      <c r="B30" s="1333"/>
      <c r="C30" s="1327"/>
      <c r="D30" s="518">
        <f>+'Exhibit A'!D29</f>
        <v>249.40000000000029</v>
      </c>
      <c r="E30" s="258"/>
      <c r="F30" s="518">
        <f>+'Exhibit A'!F29</f>
        <v>2372.3000000000002</v>
      </c>
      <c r="G30" s="258"/>
      <c r="H30" s="518">
        <f>+'Exhibit G State'!R94</f>
        <v>124.59999999999982</v>
      </c>
      <c r="I30" s="258"/>
      <c r="J30" s="518">
        <f>+'Exhibit G State'!AC94</f>
        <v>1551.5</v>
      </c>
      <c r="K30" s="258"/>
      <c r="L30" s="260">
        <f>+'Exhibit A'!L29</f>
        <v>0</v>
      </c>
      <c r="M30" s="258"/>
      <c r="N30" s="1493">
        <f>+'Exhibit A'!N29</f>
        <v>0</v>
      </c>
      <c r="O30" s="1493"/>
      <c r="P30" s="2046"/>
      <c r="Q30" s="2047"/>
      <c r="R30" s="537">
        <f t="shared" si="4"/>
        <v>374</v>
      </c>
      <c r="S30" s="537"/>
      <c r="T30" s="537">
        <f t="shared" si="5"/>
        <v>3923.8</v>
      </c>
      <c r="U30" s="258"/>
      <c r="V30" s="258"/>
      <c r="W30" s="1494"/>
      <c r="X30" s="1493"/>
      <c r="Y30" s="258">
        <v>273.7</v>
      </c>
      <c r="Z30" s="258" t="s">
        <v>103</v>
      </c>
      <c r="AA30" s="258">
        <f>+'Exhibit F'!AF110+'Exhibit G State'!AF94</f>
        <v>3202.2</v>
      </c>
      <c r="AB30" s="1327"/>
      <c r="AC30" s="1484"/>
      <c r="AD30" s="258">
        <f t="shared" si="6"/>
        <v>721.6</v>
      </c>
      <c r="AF30" s="271">
        <f t="shared" si="7"/>
        <v>0.22500000000000001</v>
      </c>
      <c r="AG30" s="1519"/>
    </row>
    <row r="31" spans="1:33" ht="18" customHeight="1">
      <c r="A31" s="1500" t="s">
        <v>130</v>
      </c>
      <c r="B31" s="1327"/>
      <c r="C31" s="1327"/>
      <c r="D31" s="518">
        <f>+'Exhibit A'!D30</f>
        <v>62.90000000000002</v>
      </c>
      <c r="E31" s="258"/>
      <c r="F31" s="518">
        <f>+'Exhibit A'!F30</f>
        <v>362.8</v>
      </c>
      <c r="G31" s="258"/>
      <c r="H31" s="518">
        <f>+'Exhibit G State'!R95</f>
        <v>29.400000000000034</v>
      </c>
      <c r="I31" s="258"/>
      <c r="J31" s="518">
        <f>+'Exhibit G State'!AC95</f>
        <v>266.3</v>
      </c>
      <c r="K31" s="258"/>
      <c r="L31" s="260">
        <f>+'Exhibit A'!L30</f>
        <v>0</v>
      </c>
      <c r="M31" s="258"/>
      <c r="N31" s="1493">
        <f>+'Exhibit A'!N30</f>
        <v>0</v>
      </c>
      <c r="O31" s="1493"/>
      <c r="P31" s="2046"/>
      <c r="Q31" s="2047"/>
      <c r="R31" s="537">
        <f t="shared" si="4"/>
        <v>92.3</v>
      </c>
      <c r="S31" s="537"/>
      <c r="T31" s="537">
        <f t="shared" si="5"/>
        <v>629.1</v>
      </c>
      <c r="U31" s="258"/>
      <c r="V31" s="258"/>
      <c r="W31" s="1494"/>
      <c r="X31" s="1493"/>
      <c r="Y31" s="258">
        <v>57</v>
      </c>
      <c r="Z31" s="258" t="s">
        <v>103</v>
      </c>
      <c r="AA31" s="258">
        <f>+'Exhibit F'!AF111+'Exhibit G State'!AF95</f>
        <v>589.09999999999991</v>
      </c>
      <c r="AB31" s="1327"/>
      <c r="AC31" s="1484"/>
      <c r="AD31" s="258">
        <f t="shared" si="6"/>
        <v>40</v>
      </c>
      <c r="AF31" s="271">
        <f t="shared" si="7"/>
        <v>6.8000000000000005E-2</v>
      </c>
      <c r="AG31" s="1519"/>
    </row>
    <row r="32" spans="1:33" ht="18" customHeight="1">
      <c r="A32" s="1500" t="s">
        <v>131</v>
      </c>
      <c r="B32" s="1327"/>
      <c r="C32" s="1327"/>
      <c r="D32" s="518">
        <f>+'Exhibit A'!D31</f>
        <v>1143.0999999999999</v>
      </c>
      <c r="E32" s="258"/>
      <c r="F32" s="518">
        <f>+'Exhibit A'!F31</f>
        <v>3434.2</v>
      </c>
      <c r="G32" s="258"/>
      <c r="H32" s="518">
        <f>+'Exhibit G State'!R96</f>
        <v>0.60000000000000098</v>
      </c>
      <c r="I32" s="258"/>
      <c r="J32" s="518">
        <f>+'Exhibit G State'!AC96</f>
        <v>21.1</v>
      </c>
      <c r="K32" s="258"/>
      <c r="L32" s="260">
        <f>+'Exhibit A'!L31</f>
        <v>0</v>
      </c>
      <c r="M32" s="258"/>
      <c r="N32" s="1493">
        <f>+'Exhibit A'!N31</f>
        <v>0</v>
      </c>
      <c r="O32" s="1493"/>
      <c r="P32" s="2046"/>
      <c r="Q32" s="2047"/>
      <c r="R32" s="537">
        <f t="shared" si="4"/>
        <v>1143.7</v>
      </c>
      <c r="S32" s="537"/>
      <c r="T32" s="537">
        <f t="shared" si="5"/>
        <v>3455.3</v>
      </c>
      <c r="U32" s="258"/>
      <c r="V32" s="258"/>
      <c r="W32" s="1494"/>
      <c r="X32" s="1493"/>
      <c r="Y32" s="258">
        <v>314</v>
      </c>
      <c r="Z32" s="258" t="s">
        <v>103</v>
      </c>
      <c r="AA32" s="258">
        <f>+'Exhibit F'!AF112+'Exhibit G State'!AF96</f>
        <v>3250.1</v>
      </c>
      <c r="AB32" s="1327"/>
      <c r="AC32" s="1484"/>
      <c r="AD32" s="258">
        <f t="shared" si="6"/>
        <v>205.2</v>
      </c>
      <c r="AF32" s="271">
        <f t="shared" si="7"/>
        <v>6.3E-2</v>
      </c>
      <c r="AG32" s="1519"/>
    </row>
    <row r="33" spans="1:33" ht="18" customHeight="1">
      <c r="A33" s="1500" t="s">
        <v>132</v>
      </c>
      <c r="B33" s="1327"/>
      <c r="C33" s="1327"/>
      <c r="D33" s="518">
        <f>+'Exhibit A'!D32</f>
        <v>16.899999999999935</v>
      </c>
      <c r="E33" s="258"/>
      <c r="F33" s="518">
        <f>+'Exhibit A'!F32</f>
        <v>173.7</v>
      </c>
      <c r="G33" s="258"/>
      <c r="H33" s="518">
        <f>+'Exhibit G State'!R97</f>
        <v>26.999999999999996</v>
      </c>
      <c r="I33" s="258"/>
      <c r="J33" s="518">
        <f>+'Exhibit G State'!AC97</f>
        <v>44.4</v>
      </c>
      <c r="K33" s="258"/>
      <c r="L33" s="260">
        <f>+'Exhibit A'!L32</f>
        <v>0</v>
      </c>
      <c r="M33" s="258"/>
      <c r="N33" s="1493">
        <f>+'Exhibit A'!N32</f>
        <v>0</v>
      </c>
      <c r="O33" s="1493"/>
      <c r="P33" s="2046"/>
      <c r="Q33" s="2047"/>
      <c r="R33" s="537">
        <f t="shared" si="4"/>
        <v>43.9</v>
      </c>
      <c r="S33" s="537"/>
      <c r="T33" s="537">
        <f t="shared" si="5"/>
        <v>218.1</v>
      </c>
      <c r="U33" s="258"/>
      <c r="V33" s="258"/>
      <c r="W33" s="1494"/>
      <c r="X33" s="1493"/>
      <c r="Y33" s="258">
        <v>40.5</v>
      </c>
      <c r="Z33" s="258" t="s">
        <v>103</v>
      </c>
      <c r="AA33" s="258">
        <f>+'Exhibit F'!AF113+'Exhibit G State'!AF97</f>
        <v>199.2</v>
      </c>
      <c r="AB33" s="1327"/>
      <c r="AC33" s="1484"/>
      <c r="AD33" s="258">
        <f t="shared" si="6"/>
        <v>18.899999999999999</v>
      </c>
      <c r="AF33" s="271">
        <f t="shared" si="7"/>
        <v>9.5000000000000001E-2</v>
      </c>
      <c r="AG33" s="1519"/>
    </row>
    <row r="34" spans="1:33" ht="18" customHeight="1">
      <c r="A34" s="1500" t="s">
        <v>133</v>
      </c>
      <c r="B34" s="1327"/>
      <c r="C34" s="1327"/>
      <c r="D34" s="518">
        <f>+'Exhibit A'!D33</f>
        <v>58.800000000000011</v>
      </c>
      <c r="E34" s="258"/>
      <c r="F34" s="518">
        <f>+'Exhibit A'!F33</f>
        <v>200.5</v>
      </c>
      <c r="G34" s="258"/>
      <c r="H34" s="518">
        <f>+'Exhibit G State'!R98</f>
        <v>738.50000000000011</v>
      </c>
      <c r="I34" s="258"/>
      <c r="J34" s="518">
        <f>+'Exhibit G State'!AC98</f>
        <v>3645.7</v>
      </c>
      <c r="K34" s="258"/>
      <c r="L34" s="260">
        <f>+'Exhibit A'!L33</f>
        <v>0</v>
      </c>
      <c r="M34" s="258"/>
      <c r="N34" s="1493">
        <f>+'Exhibit A'!N33</f>
        <v>0</v>
      </c>
      <c r="O34" s="1493"/>
      <c r="P34" s="2046"/>
      <c r="Q34" s="2047"/>
      <c r="R34" s="1001">
        <f>ROUND(SUM(D34+H34+L34),1)</f>
        <v>797.3</v>
      </c>
      <c r="S34" s="537"/>
      <c r="T34" s="1001">
        <f>ROUND(SUM(F34+J34+N34),1)</f>
        <v>3846.2</v>
      </c>
      <c r="U34" s="258"/>
      <c r="V34" s="258"/>
      <c r="W34" s="1494"/>
      <c r="X34" s="1493"/>
      <c r="Y34" s="258">
        <v>756.1</v>
      </c>
      <c r="Z34" s="258" t="s">
        <v>103</v>
      </c>
      <c r="AA34" s="258">
        <f>+'Exhibit F'!AF114+'Exhibit G State'!AF98</f>
        <v>3676.2999999999997</v>
      </c>
      <c r="AB34" s="1327"/>
      <c r="AC34" s="1484"/>
      <c r="AD34" s="258">
        <f t="shared" si="6"/>
        <v>169.9</v>
      </c>
      <c r="AF34" s="271">
        <f t="shared" si="7"/>
        <v>4.5999999999999999E-2</v>
      </c>
      <c r="AG34" s="1519"/>
    </row>
    <row r="35" spans="1:33" ht="18" customHeight="1">
      <c r="A35" s="1328" t="s">
        <v>134</v>
      </c>
      <c r="B35" s="1327"/>
      <c r="C35" s="1327"/>
      <c r="D35" s="1495">
        <f>ROUND(SUM(D25:D34),1)</f>
        <v>6605.5</v>
      </c>
      <c r="E35" s="1"/>
      <c r="F35" s="1495">
        <f>ROUND(SUM(F25:F34),1)</f>
        <v>49947.5</v>
      </c>
      <c r="G35" s="1"/>
      <c r="H35" s="1495">
        <f>ROUND(SUM(H25:H34),1)</f>
        <v>1626.8</v>
      </c>
      <c r="I35" s="1"/>
      <c r="J35" s="1495">
        <f>ROUND(SUM(J25:J34),1)</f>
        <v>13974.8</v>
      </c>
      <c r="K35" s="1"/>
      <c r="L35" s="1502">
        <f>ROUND(SUM(L25:L34),1)</f>
        <v>0</v>
      </c>
      <c r="M35" s="1"/>
      <c r="N35" s="2050">
        <f>ROUND(SUM(N25:N34),1)</f>
        <v>0</v>
      </c>
      <c r="O35" s="1503"/>
      <c r="P35" s="2051"/>
      <c r="Q35" s="2052"/>
      <c r="R35" s="1495">
        <f>ROUND(SUM(R25:R34),1)</f>
        <v>8232.2999999999993</v>
      </c>
      <c r="S35" s="1503"/>
      <c r="T35" s="1495">
        <f>ROUND(SUM(T25:T34),1)</f>
        <v>63922.3</v>
      </c>
      <c r="U35" s="1"/>
      <c r="V35" s="1"/>
      <c r="W35" s="1504"/>
      <c r="X35" s="1503"/>
      <c r="Y35" s="1495">
        <f>ROUND(SUM(Y25:Y34),1)</f>
        <v>6681.5</v>
      </c>
      <c r="Z35" s="1"/>
      <c r="AA35" s="1495">
        <f>ROUND(SUM(AA25:AA34),1)</f>
        <v>58642.6</v>
      </c>
      <c r="AB35" s="1328"/>
      <c r="AC35" s="1498"/>
      <c r="AD35" s="1495">
        <f>ROUND(SUM(AD25:AD34),1)</f>
        <v>5279.7</v>
      </c>
      <c r="AE35" s="1451"/>
      <c r="AF35" s="1499">
        <f>ROUND(+AD35/AA35,3)</f>
        <v>0.09</v>
      </c>
      <c r="AG35" s="1519"/>
    </row>
    <row r="36" spans="1:33" ht="18" customHeight="1">
      <c r="A36" s="1327" t="s">
        <v>135</v>
      </c>
      <c r="B36" s="1333"/>
      <c r="C36" s="1327"/>
      <c r="D36" s="258"/>
      <c r="E36" s="258"/>
      <c r="F36" s="258"/>
      <c r="G36" s="258"/>
      <c r="H36" s="258"/>
      <c r="I36" s="258"/>
      <c r="J36" s="258"/>
      <c r="K36" s="258"/>
      <c r="L36" s="258"/>
      <c r="M36" s="258"/>
      <c r="N36" s="258"/>
      <c r="O36" s="258"/>
      <c r="P36" s="2044"/>
      <c r="Q36" s="2045"/>
      <c r="R36" s="258"/>
      <c r="S36" s="258"/>
      <c r="T36" s="258"/>
      <c r="U36" s="258"/>
      <c r="V36" s="258"/>
      <c r="W36" s="1491"/>
      <c r="X36" s="258"/>
      <c r="Y36" s="258"/>
      <c r="Z36" s="258"/>
      <c r="AA36" s="258"/>
      <c r="AB36" s="1327"/>
      <c r="AC36" s="1484"/>
      <c r="AD36" s="258"/>
      <c r="AF36" s="289"/>
      <c r="AG36" s="1519"/>
    </row>
    <row r="37" spans="1:33" ht="18" customHeight="1">
      <c r="A37" s="1327" t="s">
        <v>136</v>
      </c>
      <c r="B37" s="1481"/>
      <c r="C37" s="1327"/>
      <c r="D37" s="258">
        <f>+'Exhibit A'!D36</f>
        <v>930.80000000000018</v>
      </c>
      <c r="E37" s="258"/>
      <c r="F37" s="518">
        <f>+'Exhibit A'!F36</f>
        <v>7973.5</v>
      </c>
      <c r="G37" s="258"/>
      <c r="H37" s="258">
        <f>+'Exhibit G State'!R101</f>
        <v>517.00000000000057</v>
      </c>
      <c r="I37" s="258"/>
      <c r="J37" s="518">
        <f>+'Exhibit G State'!AC101</f>
        <v>4285</v>
      </c>
      <c r="K37" s="258"/>
      <c r="L37" s="1493">
        <f>+'Exhibit A'!L36</f>
        <v>0</v>
      </c>
      <c r="M37" s="537"/>
      <c r="N37" s="1493">
        <f>+'Exhibit A'!N36</f>
        <v>0</v>
      </c>
      <c r="O37" s="1493"/>
      <c r="P37" s="2046"/>
      <c r="Q37" s="2047"/>
      <c r="R37" s="537">
        <f>ROUND(SUM(D37+H37+L37),1)</f>
        <v>1447.8</v>
      </c>
      <c r="S37" s="1493"/>
      <c r="T37" s="258">
        <f>ROUND(SUM(F37+J37+N37),1)</f>
        <v>12258.5</v>
      </c>
      <c r="U37" s="258"/>
      <c r="V37" s="258"/>
      <c r="W37" s="1494"/>
      <c r="X37" s="1493"/>
      <c r="Y37" s="258">
        <v>1303.3</v>
      </c>
      <c r="Z37" s="258" t="s">
        <v>103</v>
      </c>
      <c r="AA37" s="258">
        <f>+'Exhibit F'!AF117+'Exhibit G State'!AF101</f>
        <v>11271.6</v>
      </c>
      <c r="AB37" s="1327"/>
      <c r="AC37" s="1484"/>
      <c r="AD37" s="258">
        <f t="shared" ref="AD37:AD41" si="8">ROUND(SUM(T37-AA37),1)</f>
        <v>986.9</v>
      </c>
      <c r="AF37" s="271">
        <f>ROUND(+AD37/AA37,3)</f>
        <v>8.7999999999999995E-2</v>
      </c>
      <c r="AG37" s="1519"/>
    </row>
    <row r="38" spans="1:33" ht="18" customHeight="1">
      <c r="A38" s="1327" t="s">
        <v>137</v>
      </c>
      <c r="B38" s="1333"/>
      <c r="C38" s="1327"/>
      <c r="D38" s="258">
        <f>+'Exhibit A'!D37</f>
        <v>286.50000000000011</v>
      </c>
      <c r="E38" s="258"/>
      <c r="F38" s="518">
        <f>+'Exhibit A'!F37</f>
        <v>2168.3000000000002</v>
      </c>
      <c r="G38" s="258"/>
      <c r="H38" s="258">
        <f>+'Exhibit G State'!R102</f>
        <v>279.69999999999982</v>
      </c>
      <c r="I38" s="258"/>
      <c r="J38" s="518">
        <f>+'Exhibit G State'!AC102</f>
        <v>2557.6</v>
      </c>
      <c r="K38" s="258"/>
      <c r="L38" s="1493">
        <f>+'Exhibit A'!L37</f>
        <v>0.9000000000000018</v>
      </c>
      <c r="M38" s="537"/>
      <c r="N38" s="1493">
        <f>+'Exhibit A'!N37</f>
        <v>25.3</v>
      </c>
      <c r="O38" s="258"/>
      <c r="P38" s="2044"/>
      <c r="Q38" s="2045"/>
      <c r="R38" s="537">
        <f>ROUND(SUM(D38+H38+L38),1)</f>
        <v>567.1</v>
      </c>
      <c r="S38" s="1493"/>
      <c r="T38" s="258">
        <f>ROUND(SUM(F38+J38+N38),1)</f>
        <v>4751.2</v>
      </c>
      <c r="U38" s="258"/>
      <c r="V38" s="258"/>
      <c r="W38" s="1491"/>
      <c r="X38" s="258"/>
      <c r="Y38" s="258">
        <v>60.4</v>
      </c>
      <c r="Z38" s="258" t="s">
        <v>103</v>
      </c>
      <c r="AA38" s="258">
        <f>+'Exhibit F'!AF118+'Exhibit G State'!AF102+'Exhibit H'!AD59</f>
        <v>4045</v>
      </c>
      <c r="AB38" s="1327"/>
      <c r="AC38" s="1484"/>
      <c r="AD38" s="258">
        <f t="shared" si="8"/>
        <v>706.2</v>
      </c>
      <c r="AF38" s="271">
        <f>ROUND(+AD38/AA38,3)</f>
        <v>0.17499999999999999</v>
      </c>
      <c r="AG38" s="1519"/>
    </row>
    <row r="39" spans="1:33" ht="18" customHeight="1">
      <c r="A39" s="1327" t="s">
        <v>138</v>
      </c>
      <c r="B39" s="1490"/>
      <c r="C39" s="1327"/>
      <c r="D39" s="258">
        <f>+'Exhibit A'!D38</f>
        <v>562.79999999999984</v>
      </c>
      <c r="E39" s="258"/>
      <c r="F39" s="518">
        <f>+'Exhibit A'!F38</f>
        <v>5081.7</v>
      </c>
      <c r="G39" s="258"/>
      <c r="H39" s="258">
        <f>+'Exhibit G State'!R103</f>
        <v>178.8</v>
      </c>
      <c r="I39" s="258"/>
      <c r="J39" s="518">
        <f>+'Exhibit G State'!AC103</f>
        <v>915.1</v>
      </c>
      <c r="K39" s="258"/>
      <c r="L39" s="1493">
        <f>+'Exhibit A'!L38</f>
        <v>0</v>
      </c>
      <c r="M39" s="258"/>
      <c r="N39" s="1493">
        <f>+'Exhibit A'!N38</f>
        <v>0</v>
      </c>
      <c r="O39" s="1493"/>
      <c r="P39" s="2046"/>
      <c r="Q39" s="2047"/>
      <c r="R39" s="537">
        <f>ROUND(SUM(D39+H39+L39),1)</f>
        <v>741.6</v>
      </c>
      <c r="S39" s="1493"/>
      <c r="T39" s="258">
        <f>ROUND(SUM(F39+J39+N39),1)</f>
        <v>5996.8</v>
      </c>
      <c r="U39" s="258"/>
      <c r="V39" s="258"/>
      <c r="W39" s="1494"/>
      <c r="X39" s="1493"/>
      <c r="Y39" s="258">
        <v>600.70000000000005</v>
      </c>
      <c r="Z39" s="258" t="s">
        <v>103</v>
      </c>
      <c r="AA39" s="258">
        <f>+'Exhibit F'!AF119+'Exhibit G State'!AF103</f>
        <v>5419.1</v>
      </c>
      <c r="AB39" s="1327"/>
      <c r="AC39" s="1484"/>
      <c r="AD39" s="258">
        <f t="shared" si="8"/>
        <v>577.70000000000005</v>
      </c>
      <c r="AF39" s="271">
        <f>ROUND(+AD39/AA39,3)</f>
        <v>0.107</v>
      </c>
      <c r="AG39" s="1519"/>
    </row>
    <row r="40" spans="1:33" ht="18" customHeight="1">
      <c r="A40" s="1327" t="s">
        <v>139</v>
      </c>
      <c r="B40" s="1327"/>
      <c r="C40" s="1327"/>
      <c r="D40" s="258"/>
      <c r="E40" s="258"/>
      <c r="F40" s="258"/>
      <c r="G40" s="258"/>
      <c r="H40" s="258"/>
      <c r="I40" s="258"/>
      <c r="J40" s="258"/>
      <c r="K40" s="258"/>
      <c r="L40" s="258"/>
      <c r="M40" s="258"/>
      <c r="N40" s="258"/>
      <c r="O40" s="258"/>
      <c r="P40" s="2044"/>
      <c r="Q40" s="2045"/>
      <c r="R40" s="537" t="s">
        <v>103</v>
      </c>
      <c r="S40" s="258"/>
      <c r="T40" s="258" t="s">
        <v>103</v>
      </c>
      <c r="U40" s="258"/>
      <c r="V40" s="258"/>
      <c r="W40" s="1491"/>
      <c r="X40" s="258"/>
      <c r="Y40" s="258" t="s">
        <v>103</v>
      </c>
      <c r="Z40" s="258"/>
      <c r="AA40" s="258" t="s">
        <v>103</v>
      </c>
      <c r="AB40" s="1327"/>
      <c r="AC40" s="1484"/>
      <c r="AD40" s="258"/>
      <c r="AF40" s="271"/>
      <c r="AG40" s="1519"/>
    </row>
    <row r="41" spans="1:33" ht="18" customHeight="1">
      <c r="A41" s="1327" t="s">
        <v>1473</v>
      </c>
      <c r="B41" s="1481"/>
      <c r="C41" s="1327"/>
      <c r="D41" s="1493">
        <v>0</v>
      </c>
      <c r="E41" s="258"/>
      <c r="F41" s="1493">
        <v>0</v>
      </c>
      <c r="G41" s="258"/>
      <c r="H41" s="1493">
        <v>0</v>
      </c>
      <c r="I41" s="258"/>
      <c r="J41" s="1493">
        <v>0</v>
      </c>
      <c r="K41" s="258"/>
      <c r="L41" s="1493">
        <f>+'Exhibit A'!L40</f>
        <v>6.0000000000000044</v>
      </c>
      <c r="M41" s="537"/>
      <c r="N41" s="1493">
        <f>+'Exhibit A'!N40</f>
        <v>295</v>
      </c>
      <c r="O41" s="258"/>
      <c r="P41" s="2044"/>
      <c r="Q41" s="2045"/>
      <c r="R41" s="537">
        <f>ROUND(SUM(D41+H41+L41),1)</f>
        <v>6</v>
      </c>
      <c r="S41" s="258"/>
      <c r="T41" s="258">
        <f>ROUND(SUM(F41+J41+N41),1)</f>
        <v>295</v>
      </c>
      <c r="U41" s="258"/>
      <c r="V41" s="258"/>
      <c r="W41" s="1491"/>
      <c r="X41" s="258"/>
      <c r="Y41" s="258">
        <v>19</v>
      </c>
      <c r="Z41" s="258" t="s">
        <v>103</v>
      </c>
      <c r="AA41" s="258">
        <f>+'Exhibit H'!AD61</f>
        <v>348.3</v>
      </c>
      <c r="AB41" s="1327"/>
      <c r="AC41" s="1484"/>
      <c r="AD41" s="258">
        <f t="shared" si="8"/>
        <v>-53.3</v>
      </c>
      <c r="AF41" s="271">
        <f>ROUND(+AD41/AA41,3)</f>
        <v>-0.153</v>
      </c>
      <c r="AG41" s="1519"/>
    </row>
    <row r="42" spans="1:33" ht="18" customHeight="1">
      <c r="A42" s="1327" t="s">
        <v>140</v>
      </c>
      <c r="B42" s="1481"/>
      <c r="C42" s="1327"/>
      <c r="D42" s="1493">
        <v>0</v>
      </c>
      <c r="E42" s="258"/>
      <c r="F42" s="1493">
        <v>0</v>
      </c>
      <c r="G42" s="258"/>
      <c r="H42" s="1493">
        <f>'Exhibit G State'!R104</f>
        <v>0</v>
      </c>
      <c r="I42" s="258"/>
      <c r="J42" s="1493">
        <f>'Exhibit G State'!AC104</f>
        <v>0</v>
      </c>
      <c r="K42" s="258"/>
      <c r="L42" s="1493">
        <v>0</v>
      </c>
      <c r="M42" s="537"/>
      <c r="N42" s="1493">
        <v>0</v>
      </c>
      <c r="O42" s="258"/>
      <c r="P42" s="2044"/>
      <c r="Q42" s="2045"/>
      <c r="R42" s="537">
        <f>ROUND(SUM(D42+H42+L42),1)</f>
        <v>0</v>
      </c>
      <c r="S42" s="258"/>
      <c r="T42" s="258">
        <f>ROUND(SUM(F42+J42+N42),1)</f>
        <v>0</v>
      </c>
      <c r="U42" s="258"/>
      <c r="V42" s="258"/>
      <c r="W42" s="1491"/>
      <c r="X42" s="258"/>
      <c r="Y42" s="258">
        <v>0</v>
      </c>
      <c r="Z42" s="258"/>
      <c r="AA42" s="258">
        <f>'Exhibit G State'!AF104</f>
        <v>0</v>
      </c>
      <c r="AB42" s="1327"/>
      <c r="AC42" s="1484"/>
      <c r="AD42" s="258">
        <f>ROUND(SUM(T42-AA42),1)</f>
        <v>0</v>
      </c>
      <c r="AF42" s="271">
        <f>IF(AA42=0,0,AD42/AA42)</f>
        <v>0</v>
      </c>
      <c r="AG42" s="1519"/>
    </row>
    <row r="43" spans="1:33" ht="18" customHeight="1">
      <c r="A43" s="1328" t="s">
        <v>162</v>
      </c>
      <c r="B43" s="1327"/>
      <c r="C43" s="1327"/>
      <c r="D43" s="1495">
        <f>SUM(D35:D42)</f>
        <v>8385.6</v>
      </c>
      <c r="E43" s="1"/>
      <c r="F43" s="1495">
        <f>SUM(F35:F42)</f>
        <v>65171</v>
      </c>
      <c r="G43" s="1"/>
      <c r="H43" s="1495">
        <f>SUM(H35:H42)</f>
        <v>2602.3000000000006</v>
      </c>
      <c r="I43" s="1"/>
      <c r="J43" s="1495">
        <f>SUM(J35:J42)</f>
        <v>21732.499999999996</v>
      </c>
      <c r="K43" s="1"/>
      <c r="L43" s="1495">
        <f>SUM(L35:L42)</f>
        <v>6.9000000000000066</v>
      </c>
      <c r="M43" s="1"/>
      <c r="N43" s="1495">
        <f>SUM(N35:N42)</f>
        <v>320.3</v>
      </c>
      <c r="O43" s="1"/>
      <c r="P43" s="1506"/>
      <c r="Q43" s="2049"/>
      <c r="R43" s="1495">
        <f>ROUND(SUM(R35:R42),1)</f>
        <v>10994.8</v>
      </c>
      <c r="S43" s="1"/>
      <c r="T43" s="1495">
        <f>ROUND(SUM(T35:T42),1)</f>
        <v>87223.8</v>
      </c>
      <c r="U43" s="1"/>
      <c r="V43" s="1"/>
      <c r="W43" s="1497"/>
      <c r="X43" s="1"/>
      <c r="Y43" s="1495">
        <f>ROUND(SUM(Y35:Y42),1)</f>
        <v>8664.9</v>
      </c>
      <c r="Z43" s="1"/>
      <c r="AA43" s="1495">
        <f>ROUND(SUM(AA35:AA42),1)</f>
        <v>79726.600000000006</v>
      </c>
      <c r="AB43" s="1328"/>
      <c r="AC43" s="1498"/>
      <c r="AD43" s="1495">
        <f>ROUND(SUM(AD35:AD42),1)</f>
        <v>7497.2</v>
      </c>
      <c r="AE43" s="1451"/>
      <c r="AF43" s="1499">
        <f>ROUND(+AD43/AA43,3)</f>
        <v>9.4E-2</v>
      </c>
      <c r="AG43" s="1519"/>
    </row>
    <row r="44" spans="1:33" ht="16.350000000000001" customHeight="1">
      <c r="A44" s="1328"/>
      <c r="B44" s="1327"/>
      <c r="C44" s="1327"/>
      <c r="D44" s="258"/>
      <c r="E44" s="258"/>
      <c r="F44" s="258"/>
      <c r="G44" s="258"/>
      <c r="H44" s="258"/>
      <c r="I44" s="258"/>
      <c r="J44" s="258"/>
      <c r="K44" s="258"/>
      <c r="L44" s="258"/>
      <c r="M44" s="258"/>
      <c r="N44" s="258"/>
      <c r="O44" s="258"/>
      <c r="P44" s="2044"/>
      <c r="Q44" s="2045"/>
      <c r="R44" s="258"/>
      <c r="S44" s="258"/>
      <c r="T44" s="258"/>
      <c r="U44" s="258"/>
      <c r="V44" s="258"/>
      <c r="W44" s="1491"/>
      <c r="X44" s="258"/>
      <c r="Y44" s="258"/>
      <c r="Z44" s="258"/>
      <c r="AA44" s="258"/>
      <c r="AB44" s="1327"/>
      <c r="AC44" s="1484"/>
      <c r="AD44" s="258"/>
      <c r="AF44" s="289"/>
      <c r="AG44" s="1519"/>
    </row>
    <row r="45" spans="1:33" ht="16.350000000000001" customHeight="1">
      <c r="A45" s="1328" t="s">
        <v>143</v>
      </c>
      <c r="B45" s="1328"/>
      <c r="C45" s="1327"/>
      <c r="D45" s="258"/>
      <c r="E45" s="258"/>
      <c r="F45" s="258"/>
      <c r="G45" s="258"/>
      <c r="H45" s="258"/>
      <c r="I45" s="258"/>
      <c r="J45" s="258"/>
      <c r="K45" s="258"/>
      <c r="L45" s="258"/>
      <c r="M45" s="258"/>
      <c r="N45" s="258"/>
      <c r="O45" s="258"/>
      <c r="P45" s="2044"/>
      <c r="Q45" s="2045"/>
      <c r="R45" s="258"/>
      <c r="S45" s="258"/>
      <c r="T45" s="258"/>
      <c r="U45" s="258"/>
      <c r="V45" s="258"/>
      <c r="W45" s="1491"/>
      <c r="X45" s="258"/>
      <c r="Y45" s="258"/>
      <c r="Z45" s="258"/>
      <c r="AA45" s="258"/>
      <c r="AB45" s="1327"/>
      <c r="AC45" s="1484"/>
      <c r="AD45" s="258"/>
      <c r="AF45" s="289"/>
      <c r="AG45" s="1519"/>
    </row>
    <row r="46" spans="1:33" ht="16.350000000000001" customHeight="1">
      <c r="A46" s="1328" t="s">
        <v>144</v>
      </c>
      <c r="B46" s="1328"/>
      <c r="C46" s="1327"/>
      <c r="D46" s="999">
        <f>ROUND(SUM(D21-D43),1)</f>
        <v>-5657.5</v>
      </c>
      <c r="E46" s="1"/>
      <c r="F46" s="999">
        <f>ROUND(SUM(F21-F43),1)</f>
        <v>-27149.599999999999</v>
      </c>
      <c r="G46" s="1"/>
      <c r="H46" s="999">
        <f>ROUND(SUM(H21-H43),1)</f>
        <v>627.9</v>
      </c>
      <c r="I46" s="1"/>
      <c r="J46" s="999">
        <f>ROUND(SUM(J21-J43),1)</f>
        <v>-871.8</v>
      </c>
      <c r="K46" s="1"/>
      <c r="L46" s="999">
        <f>ROUND(SUM(L21-L43),1)</f>
        <v>2288.5</v>
      </c>
      <c r="M46" s="1" t="s">
        <v>103</v>
      </c>
      <c r="N46" s="999">
        <f>ROUND(SUM(N21-N43),1)</f>
        <v>29843.599999999999</v>
      </c>
      <c r="O46" s="1"/>
      <c r="P46" s="1506"/>
      <c r="Q46" s="2049"/>
      <c r="R46" s="999">
        <f>ROUND(SUM(+R21-R43),1)</f>
        <v>-2741.1</v>
      </c>
      <c r="S46" s="1"/>
      <c r="T46" s="999">
        <f>ROUND(SUM(+T21-T43),1)</f>
        <v>1822.2</v>
      </c>
      <c r="U46" s="1"/>
      <c r="V46" s="1"/>
      <c r="W46" s="1497"/>
      <c r="X46" s="1"/>
      <c r="Y46" s="999">
        <f>ROUND(SUM(Y21-Y43),1)</f>
        <v>-812.5</v>
      </c>
      <c r="Z46" s="1" t="s">
        <v>103</v>
      </c>
      <c r="AA46" s="999">
        <f>ROUND(SUM(AA21-AA43),1)</f>
        <v>2098.4</v>
      </c>
      <c r="AB46" s="1328"/>
      <c r="AC46" s="1498"/>
      <c r="AD46" s="999">
        <f>ROUND(SUM(AD21-AD43),1)</f>
        <v>-276.2</v>
      </c>
      <c r="AE46" s="1451"/>
      <c r="AF46" s="545">
        <f>ROUND(AD46/ABS(AA46),3)</f>
        <v>-0.13200000000000001</v>
      </c>
      <c r="AG46" s="1519"/>
    </row>
    <row r="47" spans="1:33" ht="16.350000000000001" customHeight="1">
      <c r="A47" s="1327"/>
      <c r="B47" s="1327"/>
      <c r="C47" s="1327"/>
      <c r="D47" s="258"/>
      <c r="E47" s="258"/>
      <c r="F47" s="258"/>
      <c r="G47" s="258"/>
      <c r="H47" s="258"/>
      <c r="I47" s="258"/>
      <c r="J47" s="258"/>
      <c r="K47" s="258"/>
      <c r="L47" s="258"/>
      <c r="M47" s="258"/>
      <c r="N47" s="258"/>
      <c r="O47" s="258"/>
      <c r="P47" s="2044"/>
      <c r="Q47" s="2045"/>
      <c r="R47" s="258"/>
      <c r="S47" s="258"/>
      <c r="T47" s="258"/>
      <c r="U47" s="258"/>
      <c r="V47" s="258"/>
      <c r="W47" s="1491"/>
      <c r="X47" s="258"/>
      <c r="Y47" s="258"/>
      <c r="Z47" s="258"/>
      <c r="AA47" s="258"/>
      <c r="AB47" s="1327"/>
      <c r="AC47" s="1484"/>
      <c r="AD47" s="258"/>
      <c r="AF47" s="289"/>
      <c r="AG47" s="1519"/>
    </row>
    <row r="48" spans="1:33" ht="16.350000000000001" customHeight="1">
      <c r="A48" s="1328" t="s">
        <v>145</v>
      </c>
      <c r="B48" s="1328"/>
      <c r="C48" s="1327"/>
      <c r="D48" s="258"/>
      <c r="E48" s="258"/>
      <c r="F48" s="258"/>
      <c r="G48" s="258"/>
      <c r="H48" s="258"/>
      <c r="I48" s="258"/>
      <c r="J48" s="258"/>
      <c r="K48" s="258"/>
      <c r="L48" s="258"/>
      <c r="M48" s="258"/>
      <c r="N48" s="258"/>
      <c r="O48" s="258"/>
      <c r="P48" s="2044"/>
      <c r="Q48" s="2045"/>
      <c r="R48" s="258"/>
      <c r="S48" s="258"/>
      <c r="T48" s="258"/>
      <c r="U48" s="258"/>
      <c r="V48" s="258"/>
      <c r="W48" s="1491"/>
      <c r="X48" s="258"/>
      <c r="Y48" s="258"/>
      <c r="Z48" s="258"/>
      <c r="AA48" s="258"/>
      <c r="AB48" s="1327"/>
      <c r="AC48" s="1484"/>
      <c r="AD48" s="258"/>
      <c r="AF48" s="289"/>
      <c r="AG48" s="1519"/>
    </row>
    <row r="49" spans="1:33" ht="18" customHeight="1">
      <c r="A49" s="1327" t="s">
        <v>147</v>
      </c>
      <c r="B49" s="1481" t="s">
        <v>148</v>
      </c>
      <c r="C49" s="1327"/>
      <c r="D49" s="258">
        <f>+'Exhibit A'!D49</f>
        <v>2363.400000000001</v>
      </c>
      <c r="E49" s="258"/>
      <c r="F49" s="258">
        <f>+'Exhibit A'!F49</f>
        <v>31824.300000000003</v>
      </c>
      <c r="G49" s="258"/>
      <c r="H49" s="258">
        <f>+'Exhibit G State'!R112</f>
        <v>422.69999999999959</v>
      </c>
      <c r="I49" s="258"/>
      <c r="J49" s="258">
        <f>+'Exhibit G State'!AC112</f>
        <v>3233.2</v>
      </c>
      <c r="K49" s="258"/>
      <c r="L49" s="258">
        <f>+'Exhibit A'!L49</f>
        <v>29.800000000000011</v>
      </c>
      <c r="M49" s="258"/>
      <c r="N49" s="1493">
        <f>+'Exhibit A'!N49</f>
        <v>1214.5999999999999</v>
      </c>
      <c r="O49" s="258"/>
      <c r="P49" s="2044"/>
      <c r="Q49" s="2045"/>
      <c r="R49" s="1493">
        <f>ROUND(SUM(L49+H49+D49),1)</f>
        <v>2815.9</v>
      </c>
      <c r="S49" s="258"/>
      <c r="T49" s="1493">
        <f>ROUND(SUM(F49+J49+N49),1)</f>
        <v>36272.1</v>
      </c>
      <c r="U49" s="258"/>
      <c r="V49" s="258"/>
      <c r="W49" s="1491"/>
      <c r="X49" s="258"/>
      <c r="Y49" s="258">
        <v>3226.2</v>
      </c>
      <c r="Z49" s="258" t="s">
        <v>103</v>
      </c>
      <c r="AA49" s="258">
        <f>'Exhibit F'!AF128+'Exhibit F'!AF129+'Exhibit F'!AF130+'Exhibit F'!AF131+'Exhibit G State'!AF112+'Exhibit H'!AD69</f>
        <v>32695.800000000003</v>
      </c>
      <c r="AB49" s="1327"/>
      <c r="AC49" s="1484"/>
      <c r="AD49" s="258">
        <f>ROUND(SUM(T49-AA49),1)</f>
        <v>3576.3</v>
      </c>
      <c r="AF49" s="271">
        <f>ROUND(SUM(+AD49/AA49),3)</f>
        <v>0.109</v>
      </c>
      <c r="AG49" s="1519"/>
    </row>
    <row r="50" spans="1:33" ht="18" customHeight="1">
      <c r="A50" s="1327" t="s">
        <v>149</v>
      </c>
      <c r="B50" s="1481" t="s">
        <v>148</v>
      </c>
      <c r="C50" s="1327"/>
      <c r="D50" s="258">
        <f>+'Exhibit A'!D50</f>
        <v>-1254.7999999999995</v>
      </c>
      <c r="E50" s="258"/>
      <c r="F50" s="258">
        <f>+'Exhibit A'!F50</f>
        <v>-13709.1</v>
      </c>
      <c r="G50" s="258"/>
      <c r="H50" s="258">
        <f>+'Exhibit G State'!R113</f>
        <v>-3.7000000000000113</v>
      </c>
      <c r="I50" s="258"/>
      <c r="J50" s="537">
        <f>'Exhibit G State'!AC113</f>
        <v>-170.4</v>
      </c>
      <c r="K50" s="258"/>
      <c r="L50" s="258">
        <f>+'Exhibit A'!L50</f>
        <v>-2378.300000000002</v>
      </c>
      <c r="M50" s="258"/>
      <c r="N50" s="1493">
        <f>+'Exhibit A'!N50</f>
        <v>-31010</v>
      </c>
      <c r="O50" s="258"/>
      <c r="P50" s="2044"/>
      <c r="Q50" s="2045"/>
      <c r="R50" s="537">
        <f>ROUND(SUM(D50+H50+L50),1)</f>
        <v>-3636.8</v>
      </c>
      <c r="S50" s="258"/>
      <c r="T50" s="258">
        <f>ROUND(SUM(F50+J50+N50),1)</f>
        <v>-44889.5</v>
      </c>
      <c r="U50" s="258"/>
      <c r="V50" s="258"/>
      <c r="W50" s="1491"/>
      <c r="X50" s="258"/>
      <c r="Y50" s="258">
        <v>-3691.7</v>
      </c>
      <c r="Z50" s="258" t="s">
        <v>103</v>
      </c>
      <c r="AA50" s="258">
        <f>'Exhibit F'!AF132+'Exhibit F'!AF133+'Exhibit F'!AF134+'Exhibit F'!AF135+'Exhibit G State'!AF113+'Exhibit H'!AD70</f>
        <v>-35128.199999999997</v>
      </c>
      <c r="AB50" s="1327"/>
      <c r="AC50" s="1484"/>
      <c r="AD50" s="258">
        <f>-ROUND(SUM(T50-AA50),1)</f>
        <v>9761.2999999999993</v>
      </c>
      <c r="AF50" s="539">
        <f>ROUND(SUM(-AD50/AA50),3)</f>
        <v>0.27800000000000002</v>
      </c>
      <c r="AG50" s="1519"/>
    </row>
    <row r="51" spans="1:33" ht="18" customHeight="1">
      <c r="A51" s="1328" t="s">
        <v>150</v>
      </c>
      <c r="B51" s="1328"/>
      <c r="C51" s="1327"/>
      <c r="D51" s="1495">
        <f>ROUND(SUM(D49:D50),1)</f>
        <v>1108.5999999999999</v>
      </c>
      <c r="E51" s="1"/>
      <c r="F51" s="1495">
        <f>ROUND(SUM(F49:F50),1)</f>
        <v>18115.2</v>
      </c>
      <c r="G51" s="1"/>
      <c r="H51" s="1495">
        <f>ROUND(SUM(H49:H50),1)</f>
        <v>419</v>
      </c>
      <c r="I51" s="1"/>
      <c r="J51" s="1495">
        <f>ROUND(SUM(J49:J50),1)</f>
        <v>3062.8</v>
      </c>
      <c r="K51" s="1"/>
      <c r="L51" s="1495">
        <f>ROUND(SUM(L49:L50),1)</f>
        <v>-2348.5</v>
      </c>
      <c r="M51" s="1"/>
      <c r="N51" s="1495">
        <f>ROUND(SUM(N49:N50),1)</f>
        <v>-29795.4</v>
      </c>
      <c r="O51" s="1"/>
      <c r="P51" s="1506"/>
      <c r="Q51" s="2049"/>
      <c r="R51" s="1495">
        <f>ROUND(SUM(R49:R50),1)</f>
        <v>-820.9</v>
      </c>
      <c r="S51" s="1"/>
      <c r="T51" s="1495">
        <f>ROUND(SUM(T49:T50),1)</f>
        <v>-8617.4</v>
      </c>
      <c r="U51" s="1"/>
      <c r="V51" s="1"/>
      <c r="W51" s="1497"/>
      <c r="X51" s="1"/>
      <c r="Y51" s="1502">
        <f>ROUND(SUM(+Y49+Y50),1)</f>
        <v>-465.5</v>
      </c>
      <c r="Z51" s="1"/>
      <c r="AA51" s="1505">
        <f>ROUND(SUM(+AA49+AA50),1)</f>
        <v>-2432.4</v>
      </c>
      <c r="AB51" s="1328"/>
      <c r="AC51" s="1498"/>
      <c r="AD51" s="1505">
        <f>ROUND(SUM(AD49-AD50),1)</f>
        <v>-6185</v>
      </c>
      <c r="AE51" s="1451"/>
      <c r="AF51" s="545">
        <f>ROUND(SUM(AD51/ABS(AA51)),3)</f>
        <v>-2.5430000000000001</v>
      </c>
      <c r="AG51" s="1519"/>
    </row>
    <row r="52" spans="1:33" ht="16.350000000000001" customHeight="1">
      <c r="A52" s="1327"/>
      <c r="B52" s="1327"/>
      <c r="C52" s="1327"/>
      <c r="D52" s="258"/>
      <c r="E52" s="258"/>
      <c r="F52" s="258"/>
      <c r="G52" s="258"/>
      <c r="H52" s="258"/>
      <c r="I52" s="258"/>
      <c r="J52" s="258"/>
      <c r="K52" s="258"/>
      <c r="L52" s="258"/>
      <c r="M52" s="258"/>
      <c r="N52" s="258"/>
      <c r="O52" s="258"/>
      <c r="P52" s="2044"/>
      <c r="Q52" s="2045"/>
      <c r="R52" s="258"/>
      <c r="S52" s="258"/>
      <c r="T52" s="258"/>
      <c r="U52" s="258"/>
      <c r="V52" s="258"/>
      <c r="W52" s="1491"/>
      <c r="X52" s="258"/>
      <c r="Y52" s="258"/>
      <c r="Z52" s="258"/>
      <c r="AA52" s="258"/>
      <c r="AB52" s="1327"/>
      <c r="AC52" s="1484"/>
      <c r="AD52" s="258"/>
      <c r="AF52" s="289"/>
      <c r="AG52" s="1519"/>
    </row>
    <row r="53" spans="1:33" ht="18" customHeight="1">
      <c r="A53" s="1328" t="s">
        <v>143</v>
      </c>
      <c r="B53" s="1328"/>
      <c r="C53" s="1327"/>
      <c r="D53" s="258"/>
      <c r="E53" s="258"/>
      <c r="F53" s="258"/>
      <c r="G53" s="258"/>
      <c r="H53" s="258" t="s">
        <v>103</v>
      </c>
      <c r="I53" s="258"/>
      <c r="J53" s="258"/>
      <c r="K53" s="258"/>
      <c r="L53" s="258"/>
      <c r="M53" s="258"/>
      <c r="N53" s="258"/>
      <c r="O53" s="258"/>
      <c r="P53" s="2044"/>
      <c r="Q53" s="2045"/>
      <c r="R53" s="258"/>
      <c r="S53" s="258"/>
      <c r="T53" s="258"/>
      <c r="U53" s="258"/>
      <c r="V53" s="258"/>
      <c r="W53" s="1491"/>
      <c r="X53" s="258"/>
      <c r="Y53" s="258"/>
      <c r="Z53" s="258"/>
      <c r="AA53" s="258"/>
      <c r="AB53" s="1327"/>
      <c r="AC53" s="1484"/>
      <c r="AD53" s="258"/>
      <c r="AF53" s="1422"/>
      <c r="AG53" s="1519"/>
    </row>
    <row r="54" spans="1:33" ht="18" customHeight="1">
      <c r="A54" s="1328" t="s">
        <v>163</v>
      </c>
      <c r="B54" s="1328"/>
      <c r="C54" s="1327"/>
      <c r="D54" s="258"/>
      <c r="E54" s="258"/>
      <c r="F54" s="258"/>
      <c r="G54" s="258"/>
      <c r="H54" s="258"/>
      <c r="I54" s="258"/>
      <c r="J54" s="258"/>
      <c r="K54" s="258"/>
      <c r="L54" s="258"/>
      <c r="M54" s="258"/>
      <c r="N54" s="258"/>
      <c r="O54" s="258"/>
      <c r="P54" s="2044"/>
      <c r="Q54" s="2045"/>
      <c r="R54" s="258"/>
      <c r="S54" s="258"/>
      <c r="T54" s="258"/>
      <c r="U54" s="258"/>
      <c r="V54" s="258"/>
      <c r="W54" s="1491"/>
      <c r="X54" s="258"/>
      <c r="Y54" s="258" t="s">
        <v>103</v>
      </c>
      <c r="Z54" s="258"/>
      <c r="AA54" s="258"/>
      <c r="AB54" s="1327"/>
      <c r="AC54" s="1484"/>
      <c r="AD54" s="258"/>
      <c r="AF54" s="289"/>
      <c r="AG54" s="1519"/>
    </row>
    <row r="55" spans="1:33" ht="18" customHeight="1">
      <c r="A55" s="1328" t="s">
        <v>164</v>
      </c>
      <c r="B55" s="1328"/>
      <c r="C55" s="1327"/>
      <c r="D55" s="1">
        <f>ROUND(SUM(D46+D51),1)</f>
        <v>-4548.8999999999996</v>
      </c>
      <c r="E55" s="1"/>
      <c r="F55" s="1">
        <f>ROUND(SUM(F46)+SUM(F51),1)</f>
        <v>-9034.4</v>
      </c>
      <c r="G55" s="1"/>
      <c r="H55" s="1">
        <f>ROUND(SUM(H46+H51),1)</f>
        <v>1046.9000000000001</v>
      </c>
      <c r="I55" s="1"/>
      <c r="J55" s="1">
        <f>ROUND(SUM(J46)+SUM(J51),1)</f>
        <v>2191</v>
      </c>
      <c r="K55" s="1"/>
      <c r="L55" s="1">
        <f>ROUND(SUM(L46+L51),1)</f>
        <v>-60</v>
      </c>
      <c r="M55" s="1496"/>
      <c r="N55" s="1496">
        <f>ROUND(SUM(N46+N51),1)</f>
        <v>48.2</v>
      </c>
      <c r="O55" s="1496"/>
      <c r="P55" s="1506"/>
      <c r="Q55" s="2053"/>
      <c r="R55" s="1496">
        <f>ROUND(SUM(+R46+R51),1)</f>
        <v>-3562</v>
      </c>
      <c r="S55" s="1496"/>
      <c r="T55" s="1496">
        <f>ROUND(SUM(T46+T51),1)</f>
        <v>-6795.2</v>
      </c>
      <c r="U55" s="1496"/>
      <c r="V55" s="1496"/>
      <c r="W55" s="1506"/>
      <c r="X55" s="1496"/>
      <c r="Y55" s="1">
        <f>ROUND(SUM(Y46)+SUM(Y51),1)</f>
        <v>-1278</v>
      </c>
      <c r="Z55" s="1"/>
      <c r="AA55" s="1">
        <f>ROUND(SUM(AA46)+SUM(AA51),1)</f>
        <v>-334</v>
      </c>
      <c r="AB55" s="1328"/>
      <c r="AC55" s="1498"/>
      <c r="AD55" s="1">
        <f>ROUND(SUM(+AD46+AD51),1)</f>
        <v>-6461.2</v>
      </c>
      <c r="AE55" s="1451"/>
      <c r="AF55" s="549">
        <f>-ROUND(SUM(AD55/AA55),3)</f>
        <v>-19.344999999999999</v>
      </c>
      <c r="AG55" s="1519"/>
    </row>
    <row r="56" spans="1:33" ht="16.350000000000001" customHeight="1">
      <c r="A56" s="1328"/>
      <c r="B56" s="1328"/>
      <c r="C56" s="1327"/>
      <c r="D56" s="258"/>
      <c r="E56" s="258"/>
      <c r="F56" s="258"/>
      <c r="G56" s="258"/>
      <c r="H56" s="258"/>
      <c r="I56" s="258"/>
      <c r="J56" s="258"/>
      <c r="K56" s="258"/>
      <c r="L56" s="258"/>
      <c r="M56" s="258"/>
      <c r="N56" s="258"/>
      <c r="O56" s="258"/>
      <c r="P56" s="2044"/>
      <c r="Q56" s="2045"/>
      <c r="R56" s="258"/>
      <c r="S56" s="258"/>
      <c r="T56" s="258"/>
      <c r="U56" s="258"/>
      <c r="V56" s="258"/>
      <c r="W56" s="1491"/>
      <c r="X56" s="258"/>
      <c r="Y56" s="258"/>
      <c r="Z56" s="258"/>
      <c r="AA56" s="258"/>
      <c r="AB56" s="1327"/>
      <c r="AC56" s="1484"/>
      <c r="AD56" s="258"/>
      <c r="AF56" s="289"/>
      <c r="AG56" s="1519"/>
    </row>
    <row r="57" spans="1:33" ht="18" customHeight="1">
      <c r="A57" s="1507" t="s">
        <v>153</v>
      </c>
      <c r="B57" s="1481"/>
      <c r="C57" s="1327"/>
      <c r="D57" s="999">
        <f>+'Exhibit A'!D57</f>
        <v>52430.3</v>
      </c>
      <c r="E57" s="1"/>
      <c r="F57" s="999">
        <f>'Exhibit A'!F57</f>
        <v>56915.8</v>
      </c>
      <c r="G57" s="1"/>
      <c r="H57" s="999">
        <f>+'Exhibit G State'!R13</f>
        <v>11432.8</v>
      </c>
      <c r="I57" s="1"/>
      <c r="J57" s="999">
        <f>'Exhibit G State'!D13</f>
        <v>10288.700000000001</v>
      </c>
      <c r="K57" s="1"/>
      <c r="L57" s="999">
        <f>+'Exhibit A'!L57</f>
        <v>225.6</v>
      </c>
      <c r="M57" s="1"/>
      <c r="N57" s="2054">
        <f>+'Exhibit A'!N57</f>
        <v>117.4</v>
      </c>
      <c r="O57" s="1"/>
      <c r="P57" s="1506"/>
      <c r="Q57" s="2049"/>
      <c r="R57" s="999">
        <f>ROUND(SUM(D57+H57+L57),1)</f>
        <v>64088.7</v>
      </c>
      <c r="S57" s="1"/>
      <c r="T57" s="999">
        <f>ROUND(SUM(F57+J57+N57),1)</f>
        <v>67321.899999999994</v>
      </c>
      <c r="U57" s="1"/>
      <c r="V57" s="1"/>
      <c r="W57" s="1497"/>
      <c r="X57" s="1"/>
      <c r="Y57" s="999">
        <v>57021.3</v>
      </c>
      <c r="Z57" s="1" t="s">
        <v>103</v>
      </c>
      <c r="AA57" s="999">
        <f>'Exhibit F'!AF13+'Exhibit G State'!AF13+'Exhibit H'!AD13</f>
        <v>56077.299999999996</v>
      </c>
      <c r="AB57" s="1328"/>
      <c r="AC57" s="1498"/>
      <c r="AD57" s="999">
        <f>ROUND(SUM(T57-AA57),1)</f>
        <v>11244.6</v>
      </c>
      <c r="AE57" s="1451"/>
      <c r="AF57" s="544">
        <f>ROUND(+AD57/AA57,3)</f>
        <v>0.20100000000000001</v>
      </c>
      <c r="AG57" s="1519"/>
    </row>
    <row r="58" spans="1:33" ht="16.350000000000001" customHeight="1">
      <c r="A58" s="1327"/>
      <c r="B58" s="1327"/>
      <c r="C58" s="1327"/>
      <c r="D58" s="1327"/>
      <c r="E58" s="1327"/>
      <c r="F58" s="1327"/>
      <c r="G58" s="1327"/>
      <c r="H58" s="1327"/>
      <c r="I58" s="1327"/>
      <c r="J58" s="1327"/>
      <c r="K58" s="1327"/>
      <c r="L58" s="1327"/>
      <c r="M58" s="1327"/>
      <c r="N58" s="1327"/>
      <c r="O58" s="1327"/>
      <c r="P58" s="1531"/>
      <c r="Q58" s="1482"/>
      <c r="R58" s="1327"/>
      <c r="S58" s="1327"/>
      <c r="T58" s="1327"/>
      <c r="U58" s="1327"/>
      <c r="V58" s="1327"/>
      <c r="W58" s="1483"/>
      <c r="X58" s="1327"/>
      <c r="Y58" s="1327"/>
      <c r="Z58" s="1327"/>
      <c r="AA58" s="1327"/>
      <c r="AB58" s="1327"/>
      <c r="AC58" s="1484"/>
      <c r="AD58" s="258"/>
      <c r="AF58" s="289"/>
      <c r="AG58" s="1519"/>
    </row>
    <row r="59" spans="1:33" ht="18" customHeight="1" thickBot="1">
      <c r="A59" s="1507" t="s">
        <v>165</v>
      </c>
      <c r="B59" s="1490" t="s">
        <v>103</v>
      </c>
      <c r="C59" s="1327"/>
      <c r="D59" s="1330">
        <f>ROUND(SUM(D55+D57),1)</f>
        <v>47881.4</v>
      </c>
      <c r="E59" s="1334"/>
      <c r="F59" s="1330">
        <f>ROUND(SUM(F55+F57),1)</f>
        <v>47881.4</v>
      </c>
      <c r="G59" s="1334"/>
      <c r="H59" s="1330">
        <f>ROUND(SUM(H55+H57),1)</f>
        <v>12479.7</v>
      </c>
      <c r="I59" s="1334"/>
      <c r="J59" s="1330">
        <f>ROUND(SUM(J55)+SUM(J57),1)</f>
        <v>12479.7</v>
      </c>
      <c r="K59" s="1334"/>
      <c r="L59" s="1330">
        <f>ROUND(SUM(L55+L57),1)</f>
        <v>165.6</v>
      </c>
      <c r="M59" s="1508"/>
      <c r="N59" s="2055">
        <f>ROUND(SUM(N55+N57),1)</f>
        <v>165.6</v>
      </c>
      <c r="O59" s="1508"/>
      <c r="P59" s="1509"/>
      <c r="Q59" s="2056"/>
      <c r="R59" s="2055">
        <f>ROUND(SUM(R55+R57),1)</f>
        <v>60526.7</v>
      </c>
      <c r="S59" s="1508"/>
      <c r="T59" s="2055">
        <f>ROUND(SUM(T55+T57),1)</f>
        <v>60526.7</v>
      </c>
      <c r="U59" s="1508"/>
      <c r="V59" s="1508"/>
      <c r="W59" s="1509"/>
      <c r="X59" s="1508"/>
      <c r="Y59" s="1330">
        <f>ROUND(SUM(Y55+Y57),1)</f>
        <v>55743.3</v>
      </c>
      <c r="Z59" s="1334"/>
      <c r="AA59" s="1330">
        <f>ROUND(SUM(AA55+AA57),1)</f>
        <v>55743.3</v>
      </c>
      <c r="AB59" s="1449"/>
      <c r="AC59" s="1510"/>
      <c r="AD59" s="1330">
        <f>ROUND(SUM(AD55+AD57),1)</f>
        <v>4783.3999999999996</v>
      </c>
      <c r="AE59" s="1451"/>
      <c r="AF59" s="1511">
        <f>ROUND(+AD59/AA59,3)</f>
        <v>8.5999999999999993E-2</v>
      </c>
      <c r="AG59" s="1519"/>
    </row>
    <row r="60" spans="1:33" ht="15.75" thickTop="1">
      <c r="A60" s="1512"/>
      <c r="B60" s="1512"/>
      <c r="C60" s="1512"/>
      <c r="D60" s="1513"/>
      <c r="E60" s="1513"/>
      <c r="F60" s="1513"/>
      <c r="G60" s="1513"/>
      <c r="H60" s="2057"/>
      <c r="I60" s="1513"/>
      <c r="J60" s="1513"/>
      <c r="K60" s="1513"/>
      <c r="L60" s="1513"/>
      <c r="M60" s="1513"/>
      <c r="N60" s="1513"/>
      <c r="O60" s="1513"/>
      <c r="P60" s="2058"/>
      <c r="Q60" s="1513"/>
      <c r="R60" s="1513"/>
      <c r="S60" s="1513"/>
      <c r="T60" s="1513" t="s">
        <v>103</v>
      </c>
      <c r="U60" s="1513"/>
      <c r="V60" s="1513"/>
      <c r="W60" s="1513"/>
      <c r="X60" s="1513"/>
      <c r="Y60" s="1513"/>
      <c r="Z60" s="1513"/>
      <c r="AA60" s="1513"/>
      <c r="AB60" s="1513"/>
      <c r="AC60" s="1513"/>
      <c r="AD60" s="1513"/>
      <c r="AF60" s="1514"/>
    </row>
    <row r="61" spans="1:33">
      <c r="H61" s="1461" t="s">
        <v>103</v>
      </c>
      <c r="Q61" s="1372" t="s">
        <v>103</v>
      </c>
      <c r="R61" s="1372" t="s">
        <v>103</v>
      </c>
    </row>
    <row r="62" spans="1:33" ht="18" customHeight="1">
      <c r="A62" s="289" t="s">
        <v>166</v>
      </c>
      <c r="AA62" s="1372" t="s">
        <v>103</v>
      </c>
    </row>
    <row r="63" spans="1:33" ht="18" customHeight="1">
      <c r="A63" s="704" t="s">
        <v>167</v>
      </c>
    </row>
    <row r="64" spans="1:33" ht="15">
      <c r="A64" s="1481"/>
      <c r="Y64" s="258" t="s">
        <v>103</v>
      </c>
      <c r="AA64" s="1372" t="s">
        <v>103</v>
      </c>
    </row>
    <row r="65" spans="1:25" ht="15.75">
      <c r="A65" s="1515"/>
      <c r="B65" s="1516"/>
      <c r="C65" s="290"/>
      <c r="D65" s="1517"/>
      <c r="E65" s="1517"/>
      <c r="F65" s="1517"/>
      <c r="G65" s="1517"/>
      <c r="H65" s="2059"/>
      <c r="I65" s="1517"/>
      <c r="J65" s="1517"/>
      <c r="K65" s="1517"/>
      <c r="L65" s="1517"/>
      <c r="Y65" s="258" t="s">
        <v>103</v>
      </c>
    </row>
    <row r="66" spans="1:25" ht="15">
      <c r="A66" s="289"/>
      <c r="B66" s="289"/>
      <c r="C66" s="289"/>
      <c r="D66" s="289"/>
      <c r="E66" s="289"/>
      <c r="F66" s="289"/>
      <c r="G66" s="289"/>
      <c r="H66" s="1518"/>
      <c r="I66" s="289"/>
      <c r="J66" s="289"/>
      <c r="K66" s="289"/>
      <c r="L66" s="289"/>
    </row>
    <row r="67" spans="1:25" ht="15">
      <c r="A67" s="289"/>
      <c r="B67" s="289"/>
      <c r="C67" s="289"/>
      <c r="D67" s="289"/>
      <c r="E67" s="289"/>
      <c r="F67" s="289"/>
      <c r="G67" s="289"/>
      <c r="H67" s="1518"/>
      <c r="I67" s="289"/>
      <c r="J67" s="289"/>
      <c r="K67" s="289"/>
      <c r="L67" s="289"/>
    </row>
    <row r="68" spans="1:25" ht="15">
      <c r="A68" s="289"/>
      <c r="B68" s="289"/>
      <c r="C68" s="289"/>
      <c r="D68" s="289"/>
      <c r="E68" s="289"/>
      <c r="F68" s="289"/>
      <c r="G68" s="289"/>
      <c r="H68" s="1518"/>
      <c r="I68" s="289"/>
      <c r="J68" s="289"/>
      <c r="K68" s="289"/>
      <c r="L68" s="289"/>
    </row>
    <row r="69" spans="1:25" ht="19.5" customHeight="1">
      <c r="A69" s="289"/>
      <c r="I69" s="289"/>
    </row>
    <row r="73" spans="1:25">
      <c r="F73" s="1372"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90" zoomScaleNormal="90" workbookViewId="0"/>
  </sheetViews>
  <sheetFormatPr defaultColWidth="8.88671875" defaultRowHeight="15.75"/>
  <cols>
    <col min="1" max="1" width="58.109375" style="316" customWidth="1"/>
    <col min="2" max="2" width="2.109375" style="316" customWidth="1"/>
    <col min="3" max="3" width="17.88671875" style="315" customWidth="1"/>
    <col min="4" max="4" width="1.88671875" style="316" customWidth="1"/>
    <col min="5" max="5" width="17.88671875" style="316" customWidth="1"/>
    <col min="6" max="6" width="1.88671875" style="316" customWidth="1"/>
    <col min="7" max="7" width="17.88671875" style="316" customWidth="1"/>
    <col min="8" max="8" width="1.88671875" style="316" customWidth="1"/>
    <col min="9" max="9" width="17.88671875" style="316" customWidth="1"/>
    <col min="10" max="10" width="1.88671875" style="316" customWidth="1"/>
    <col min="11" max="11" width="17.88671875" style="316" customWidth="1"/>
    <col min="12" max="12" width="6.109375" style="1279" customWidth="1"/>
    <col min="13" max="13" width="10.109375" style="316" bestFit="1" customWidth="1"/>
    <col min="14" max="14" width="9.88671875" style="316" customWidth="1"/>
    <col min="15" max="16384" width="8.88671875" style="316"/>
  </cols>
  <sheetData>
    <row r="1" spans="1:13">
      <c r="A1" s="270" t="s">
        <v>97</v>
      </c>
    </row>
    <row r="2" spans="1:13">
      <c r="A2" s="834"/>
    </row>
    <row r="3" spans="1:13" s="1678" customFormat="1" ht="18" customHeight="1">
      <c r="A3" s="1674" t="s">
        <v>98</v>
      </c>
      <c r="B3" s="1675"/>
      <c r="C3" s="1675"/>
      <c r="D3" s="1675"/>
      <c r="E3" s="1675"/>
      <c r="F3" s="1675"/>
      <c r="G3" s="1675"/>
      <c r="H3" s="1675"/>
      <c r="I3" s="1675"/>
      <c r="J3" s="1675"/>
      <c r="K3" s="1676" t="s">
        <v>607</v>
      </c>
      <c r="L3" s="1677"/>
    </row>
    <row r="4" spans="1:13" s="1678" customFormat="1" ht="18" customHeight="1">
      <c r="A4" s="1674" t="s">
        <v>608</v>
      </c>
      <c r="B4" s="1675"/>
      <c r="C4" s="1675" t="s">
        <v>103</v>
      </c>
      <c r="D4" s="1675"/>
      <c r="E4" s="1675"/>
      <c r="F4" s="1675"/>
      <c r="G4" s="1675"/>
      <c r="H4" s="1675"/>
      <c r="I4" s="1675"/>
      <c r="J4" s="1675"/>
      <c r="L4" s="1679"/>
    </row>
    <row r="5" spans="1:13" s="1678" customFormat="1" ht="18" customHeight="1">
      <c r="A5" s="1674" t="s">
        <v>609</v>
      </c>
      <c r="B5" s="1675"/>
      <c r="C5" s="1675"/>
      <c r="D5" s="1675"/>
      <c r="E5" s="1675"/>
      <c r="F5" s="1675"/>
      <c r="G5" s="1675"/>
      <c r="H5" s="1675"/>
      <c r="I5" s="1675"/>
      <c r="J5" s="1675"/>
      <c r="K5" s="1680"/>
      <c r="L5" s="1681"/>
    </row>
    <row r="6" spans="1:13" s="1678" customFormat="1" ht="18" customHeight="1">
      <c r="A6" s="1682" t="s">
        <v>610</v>
      </c>
      <c r="B6" s="1675"/>
      <c r="C6" s="1675"/>
      <c r="D6" s="1675"/>
      <c r="E6" s="1683"/>
      <c r="F6" s="1675"/>
      <c r="G6" s="1675"/>
      <c r="H6" s="1675"/>
      <c r="I6" s="1675"/>
      <c r="J6" s="1675"/>
      <c r="K6" s="1684"/>
      <c r="L6" s="1677"/>
    </row>
    <row r="7" spans="1:13" s="1678" customFormat="1" ht="18" customHeight="1">
      <c r="A7" s="1682" t="str">
        <f>'Cashflow Governmental'!$A$6</f>
        <v>FISCAL YEAR 2025-2026</v>
      </c>
      <c r="B7" s="1675"/>
      <c r="C7" s="1675"/>
      <c r="D7" s="1675"/>
      <c r="E7" s="1675"/>
      <c r="F7" s="1675"/>
      <c r="G7" s="1675"/>
      <c r="H7" s="1675"/>
      <c r="I7" s="1675"/>
      <c r="J7" s="1675"/>
      <c r="K7" s="1684"/>
      <c r="L7" s="1677"/>
    </row>
    <row r="8" spans="1:13" s="1678" customFormat="1" ht="18" customHeight="1">
      <c r="A8" s="1682" t="str">
        <f>"FOR THE MONTH OF "&amp;Footnotes!$O$3</f>
        <v>FOR THE MONTH OF NOVEMBER 2025</v>
      </c>
      <c r="B8" s="1675"/>
      <c r="C8" s="1862"/>
      <c r="D8" s="1675"/>
      <c r="E8" s="1675" t="s">
        <v>103</v>
      </c>
      <c r="F8" s="1675"/>
      <c r="G8" s="1675"/>
      <c r="H8" s="1675"/>
      <c r="I8" s="1675"/>
      <c r="J8" s="1675"/>
      <c r="K8" s="1675"/>
      <c r="L8" s="1677"/>
    </row>
    <row r="9" spans="1:13" s="1678" customFormat="1" ht="18" customHeight="1">
      <c r="A9" s="1674" t="s">
        <v>558</v>
      </c>
      <c r="B9" s="1685" t="s">
        <v>611</v>
      </c>
      <c r="C9" s="1686"/>
      <c r="D9" s="1686"/>
      <c r="E9" s="1686"/>
      <c r="F9" s="1686"/>
      <c r="G9" s="1686"/>
      <c r="H9" s="1686"/>
      <c r="I9" s="1686"/>
      <c r="J9" s="1686"/>
      <c r="K9" s="1686"/>
      <c r="L9" s="1687"/>
    </row>
    <row r="10" spans="1:13">
      <c r="A10" s="313"/>
      <c r="B10" s="313"/>
      <c r="C10" s="135" t="s">
        <v>612</v>
      </c>
      <c r="D10" s="139"/>
      <c r="E10" s="139"/>
      <c r="F10" s="139"/>
      <c r="G10" s="139"/>
      <c r="H10" s="139"/>
      <c r="I10" s="135" t="s">
        <v>613</v>
      </c>
      <c r="J10" s="139"/>
      <c r="K10" s="135" t="s">
        <v>612</v>
      </c>
      <c r="L10" s="1280"/>
    </row>
    <row r="11" spans="1:13">
      <c r="A11" s="313"/>
      <c r="B11" s="313"/>
      <c r="C11" s="1672" t="str">
        <f>UPPER(TEXT(K11-DAY(K11)+1,"MMMM D, YYYY"))</f>
        <v>NOVEMBER 1, 2025</v>
      </c>
      <c r="D11" s="139"/>
      <c r="E11" s="1155" t="s">
        <v>614</v>
      </c>
      <c r="F11" s="139"/>
      <c r="G11" s="1156" t="s">
        <v>615</v>
      </c>
      <c r="H11" s="139"/>
      <c r="I11" s="1156" t="s">
        <v>616</v>
      </c>
      <c r="J11" s="139"/>
      <c r="K11" s="836" t="str">
        <f>_xlfn.TEXTAFTER('Exh D Governmental  '!A6," ",4)</f>
        <v>NOVEMBER 30, 2025</v>
      </c>
      <c r="L11" s="1673"/>
    </row>
    <row r="12" spans="1:13">
      <c r="A12" s="313"/>
      <c r="B12" s="313"/>
      <c r="C12" s="696"/>
      <c r="D12" s="139"/>
      <c r="E12" s="135"/>
      <c r="F12" s="139"/>
      <c r="G12" s="135"/>
      <c r="H12" s="139"/>
      <c r="I12" s="135"/>
      <c r="J12" s="139"/>
      <c r="K12" s="837"/>
      <c r="L12" s="1281"/>
    </row>
    <row r="13" spans="1:13">
      <c r="A13" s="136" t="s">
        <v>446</v>
      </c>
      <c r="B13" s="313"/>
      <c r="C13" s="313"/>
      <c r="D13" s="313"/>
      <c r="E13" s="312"/>
      <c r="F13" s="313"/>
      <c r="G13" s="312"/>
      <c r="H13" s="313"/>
      <c r="I13" s="312"/>
      <c r="J13" s="313"/>
      <c r="K13" s="313"/>
    </row>
    <row r="14" spans="1:13">
      <c r="A14" s="313" t="s">
        <v>617</v>
      </c>
      <c r="B14" s="312"/>
      <c r="C14" s="1745">
        <v>0</v>
      </c>
      <c r="D14" s="312"/>
      <c r="E14" s="1745">
        <v>9.9999999999999985E-3</v>
      </c>
      <c r="F14" s="312"/>
      <c r="G14" s="1745">
        <v>6605.4920000000002</v>
      </c>
      <c r="H14" s="312"/>
      <c r="I14" s="1745">
        <v>6605.482</v>
      </c>
      <c r="J14" s="312"/>
      <c r="K14" s="1746">
        <f>ROUND(SUM(C14)+SUM(E14)-SUM(G14)+SUM(I14),3)</f>
        <v>0</v>
      </c>
      <c r="L14" s="1282"/>
      <c r="M14" s="1982"/>
    </row>
    <row r="15" spans="1:13">
      <c r="A15" s="313" t="s">
        <v>618</v>
      </c>
      <c r="B15" s="313"/>
      <c r="C15" s="1747">
        <v>52405.394999999997</v>
      </c>
      <c r="D15" s="312"/>
      <c r="E15" s="1747">
        <v>2728.0389999999998</v>
      </c>
      <c r="F15" s="312"/>
      <c r="G15" s="1747">
        <v>1780.104</v>
      </c>
      <c r="H15" s="312"/>
      <c r="I15" s="1747">
        <v>-5496.893</v>
      </c>
      <c r="J15" s="312"/>
      <c r="K15" s="1748">
        <f t="shared" ref="K15:K22" si="0">ROUND(SUM(C15)+SUM(E15)-SUM(G15)+SUM(I15),3)</f>
        <v>47856.436999999998</v>
      </c>
      <c r="L15" s="1283"/>
      <c r="M15" s="1982"/>
    </row>
    <row r="16" spans="1:13">
      <c r="A16" s="314" t="s">
        <v>619</v>
      </c>
      <c r="B16" s="313"/>
      <c r="C16" s="1747">
        <v>0</v>
      </c>
      <c r="D16" s="312"/>
      <c r="E16" s="1747">
        <v>0</v>
      </c>
      <c r="F16" s="312"/>
      <c r="G16" s="1747">
        <v>0</v>
      </c>
      <c r="H16" s="312"/>
      <c r="I16" s="1747">
        <v>0</v>
      </c>
      <c r="J16" s="312"/>
      <c r="K16" s="1748">
        <f t="shared" si="0"/>
        <v>0</v>
      </c>
      <c r="L16" s="1283"/>
      <c r="M16" s="1982"/>
    </row>
    <row r="17" spans="1:13">
      <c r="A17" s="313" t="s">
        <v>620</v>
      </c>
      <c r="B17" s="313"/>
      <c r="C17" s="1747">
        <v>0</v>
      </c>
      <c r="D17" s="312"/>
      <c r="E17" s="1747">
        <v>0</v>
      </c>
      <c r="F17" s="312"/>
      <c r="G17" s="1747">
        <v>0</v>
      </c>
      <c r="H17" s="312"/>
      <c r="I17" s="1747">
        <v>0</v>
      </c>
      <c r="J17" s="312"/>
      <c r="K17" s="1748">
        <f t="shared" si="0"/>
        <v>0</v>
      </c>
      <c r="L17" s="1283"/>
      <c r="M17" s="1982"/>
    </row>
    <row r="18" spans="1:13">
      <c r="A18" s="313" t="s">
        <v>621</v>
      </c>
      <c r="B18" s="313"/>
      <c r="C18" s="1747">
        <v>0</v>
      </c>
      <c r="D18" s="312"/>
      <c r="E18" s="1747">
        <v>0</v>
      </c>
      <c r="F18" s="312"/>
      <c r="G18" s="1747">
        <v>0</v>
      </c>
      <c r="H18" s="312"/>
      <c r="I18" s="1747">
        <v>0</v>
      </c>
      <c r="J18" s="312"/>
      <c r="K18" s="1748">
        <f t="shared" si="0"/>
        <v>0</v>
      </c>
      <c r="L18" s="1283"/>
      <c r="M18" s="1982"/>
    </row>
    <row r="19" spans="1:13">
      <c r="A19" s="313" t="s">
        <v>622</v>
      </c>
      <c r="B19" s="313"/>
      <c r="C19" s="1747">
        <v>24.93</v>
      </c>
      <c r="D19" s="312"/>
      <c r="E19" s="1747">
        <v>0</v>
      </c>
      <c r="F19" s="312"/>
      <c r="G19" s="1747">
        <v>0.01</v>
      </c>
      <c r="H19" s="312"/>
      <c r="I19" s="1747">
        <v>0</v>
      </c>
      <c r="J19" s="312"/>
      <c r="K19" s="1748">
        <f t="shared" si="0"/>
        <v>24.92</v>
      </c>
      <c r="L19" s="1284"/>
      <c r="M19" s="1982"/>
    </row>
    <row r="20" spans="1:13">
      <c r="A20" s="313" t="s">
        <v>623</v>
      </c>
      <c r="B20" s="313"/>
      <c r="C20" s="1747">
        <v>0</v>
      </c>
      <c r="D20" s="312"/>
      <c r="E20" s="1747">
        <v>0</v>
      </c>
      <c r="F20" s="312"/>
      <c r="G20" s="1747">
        <v>0</v>
      </c>
      <c r="H20" s="312"/>
      <c r="I20" s="1747">
        <v>0</v>
      </c>
      <c r="J20" s="312"/>
      <c r="K20" s="1748">
        <f t="shared" si="0"/>
        <v>0</v>
      </c>
      <c r="L20" s="1283"/>
      <c r="M20" s="1982"/>
    </row>
    <row r="21" spans="1:13">
      <c r="A21" s="314" t="s">
        <v>624</v>
      </c>
      <c r="B21" s="313"/>
      <c r="C21" s="1747">
        <v>0</v>
      </c>
      <c r="D21" s="312"/>
      <c r="E21" s="1747">
        <v>0</v>
      </c>
      <c r="F21" s="312"/>
      <c r="G21" s="1747">
        <v>0</v>
      </c>
      <c r="H21" s="312"/>
      <c r="I21" s="1747">
        <v>0</v>
      </c>
      <c r="J21" s="312"/>
      <c r="K21" s="1748">
        <f t="shared" si="0"/>
        <v>0</v>
      </c>
      <c r="L21" s="1283"/>
      <c r="M21" s="1982"/>
    </row>
    <row r="22" spans="1:13">
      <c r="A22" s="314" t="s">
        <v>625</v>
      </c>
      <c r="B22" s="313"/>
      <c r="C22" s="1747">
        <v>0</v>
      </c>
      <c r="D22" s="312"/>
      <c r="E22" s="1747">
        <v>0</v>
      </c>
      <c r="F22" s="312"/>
      <c r="G22" s="1747">
        <v>0</v>
      </c>
      <c r="H22" s="312"/>
      <c r="I22" s="1747">
        <v>0</v>
      </c>
      <c r="J22" s="312"/>
      <c r="K22" s="1748">
        <f t="shared" si="0"/>
        <v>0</v>
      </c>
      <c r="L22" s="1283"/>
      <c r="M22" s="1982"/>
    </row>
    <row r="23" spans="1:13">
      <c r="A23" s="134" t="s">
        <v>626</v>
      </c>
      <c r="B23" s="313"/>
      <c r="C23" s="1749">
        <f>ROUND(SUM(C14:C22),3)</f>
        <v>52430.324999999997</v>
      </c>
      <c r="D23" s="135"/>
      <c r="E23" s="1749">
        <f>ROUND(SUM(E14:E22),3)</f>
        <v>2728.049</v>
      </c>
      <c r="F23" s="135"/>
      <c r="G23" s="1749">
        <f>ROUND(SUM(G14:G22),3)</f>
        <v>8385.6059999999998</v>
      </c>
      <c r="H23" s="135"/>
      <c r="I23" s="1749">
        <f>ROUND(SUM(I14:I22),3)</f>
        <v>1108.5889999999999</v>
      </c>
      <c r="J23" s="135"/>
      <c r="K23" s="1749">
        <f>ROUND(SUM(K14:K22),3)</f>
        <v>47881.357000000004</v>
      </c>
      <c r="L23" s="1285"/>
      <c r="M23" s="1982" t="s">
        <v>103</v>
      </c>
    </row>
    <row r="24" spans="1:13" ht="8.25" customHeight="1">
      <c r="A24" s="134"/>
      <c r="B24" s="313"/>
      <c r="C24" s="312"/>
      <c r="D24" s="1748"/>
      <c r="E24" s="312"/>
      <c r="F24" s="1748"/>
      <c r="G24" s="312"/>
      <c r="H24" s="1748"/>
      <c r="I24" s="312"/>
      <c r="J24" s="1748"/>
      <c r="K24" s="312"/>
      <c r="L24" s="1286"/>
      <c r="M24" s="1982"/>
    </row>
    <row r="25" spans="1:13" ht="17.25">
      <c r="A25" s="314"/>
      <c r="B25" s="313"/>
      <c r="C25" s="313"/>
      <c r="D25" s="313"/>
      <c r="E25" s="313"/>
      <c r="F25" s="1750"/>
      <c r="G25" s="313"/>
      <c r="H25" s="1750"/>
      <c r="I25" s="313"/>
      <c r="J25" s="313"/>
      <c r="K25" s="1748"/>
      <c r="L25" s="1284"/>
      <c r="M25" s="1982"/>
    </row>
    <row r="26" spans="1:13" ht="17.25">
      <c r="A26" s="136" t="s">
        <v>627</v>
      </c>
      <c r="B26" s="313"/>
      <c r="C26" s="313"/>
      <c r="D26" s="313"/>
      <c r="E26" s="313"/>
      <c r="F26" s="1750"/>
      <c r="G26" s="313"/>
      <c r="H26" s="1750"/>
      <c r="I26" s="313"/>
      <c r="J26" s="313"/>
      <c r="K26" s="313"/>
      <c r="M26" s="1982"/>
    </row>
    <row r="27" spans="1:13">
      <c r="A27" s="314" t="s">
        <v>628</v>
      </c>
      <c r="B27" s="313"/>
      <c r="C27" s="1747">
        <v>0.92300000000000004</v>
      </c>
      <c r="D27" s="312"/>
      <c r="E27" s="1747">
        <v>3.0000000000000001E-3</v>
      </c>
      <c r="F27" s="312"/>
      <c r="G27" s="1747">
        <v>2E-3</v>
      </c>
      <c r="H27" s="312"/>
      <c r="I27" s="1747">
        <v>0</v>
      </c>
      <c r="J27" s="312"/>
      <c r="K27" s="1748">
        <f t="shared" ref="K27:K32" si="1">ROUND(SUM(C27)+SUM(E27)-SUM(G27)+SUM(I27),3)</f>
        <v>0.92400000000000004</v>
      </c>
      <c r="L27" s="1287"/>
      <c r="M27" s="1982"/>
    </row>
    <row r="28" spans="1:13">
      <c r="A28" s="314" t="s">
        <v>629</v>
      </c>
      <c r="B28" s="313"/>
      <c r="C28" s="1747">
        <v>70.201999999999998</v>
      </c>
      <c r="D28" s="312"/>
      <c r="E28" s="1747">
        <v>0.78200000000000003</v>
      </c>
      <c r="F28" s="312"/>
      <c r="G28" s="1747">
        <v>1.212</v>
      </c>
      <c r="H28" s="312"/>
      <c r="I28" s="1747">
        <v>0</v>
      </c>
      <c r="J28" s="312"/>
      <c r="K28" s="1748">
        <f t="shared" si="1"/>
        <v>69.772000000000006</v>
      </c>
      <c r="L28" s="1287"/>
      <c r="M28" s="1982"/>
    </row>
    <row r="29" spans="1:13">
      <c r="A29" s="313" t="s">
        <v>630</v>
      </c>
      <c r="B29" s="835" t="s">
        <v>611</v>
      </c>
      <c r="C29" s="1747">
        <v>671.62199999999996</v>
      </c>
      <c r="D29" s="312"/>
      <c r="E29" s="1747">
        <v>19.036999999999999</v>
      </c>
      <c r="F29" s="312"/>
      <c r="G29" s="1747">
        <v>2.669</v>
      </c>
      <c r="H29" s="312"/>
      <c r="I29" s="1747">
        <v>0</v>
      </c>
      <c r="J29" s="312"/>
      <c r="K29" s="1748">
        <f t="shared" si="1"/>
        <v>687.99</v>
      </c>
      <c r="L29" s="1287"/>
      <c r="M29" s="1982"/>
    </row>
    <row r="30" spans="1:13">
      <c r="A30" s="314" t="s">
        <v>631</v>
      </c>
      <c r="B30" s="835"/>
      <c r="C30" s="1747">
        <v>2.5999999999999999E-2</v>
      </c>
      <c r="D30" s="312"/>
      <c r="E30" s="1747">
        <v>0</v>
      </c>
      <c r="F30" s="312"/>
      <c r="G30" s="1747">
        <v>3.9E-2</v>
      </c>
      <c r="H30" s="312"/>
      <c r="I30" s="1747">
        <v>-1.2999999999999999E-2</v>
      </c>
      <c r="J30" s="312"/>
      <c r="K30" s="1748">
        <f t="shared" si="1"/>
        <v>-2.5999999999999999E-2</v>
      </c>
      <c r="L30" s="1287"/>
      <c r="M30" s="1982"/>
    </row>
    <row r="31" spans="1:13">
      <c r="A31" s="314" t="s">
        <v>632</v>
      </c>
      <c r="B31" s="835"/>
      <c r="C31" s="1747">
        <v>0.51700000000000002</v>
      </c>
      <c r="D31" s="312"/>
      <c r="E31" s="1747">
        <v>1.2999999999999999E-2</v>
      </c>
      <c r="F31" s="312"/>
      <c r="G31" s="1747">
        <v>3.6999999999999998E-2</v>
      </c>
      <c r="H31" s="312"/>
      <c r="I31" s="1747">
        <v>0</v>
      </c>
      <c r="J31" s="312"/>
      <c r="K31" s="1748">
        <f t="shared" si="1"/>
        <v>0.49299999999999999</v>
      </c>
      <c r="L31" s="1287"/>
      <c r="M31" s="1982"/>
    </row>
    <row r="32" spans="1:13">
      <c r="A32" s="313" t="s">
        <v>633</v>
      </c>
      <c r="B32" s="313"/>
      <c r="C32" s="1747">
        <v>12.429</v>
      </c>
      <c r="D32" s="312"/>
      <c r="E32" s="1747">
        <v>4.3999999999999997E-2</v>
      </c>
      <c r="F32" s="312"/>
      <c r="G32" s="1747">
        <v>0.33</v>
      </c>
      <c r="H32" s="312"/>
      <c r="I32" s="1747">
        <v>-9.7000000000000003E-2</v>
      </c>
      <c r="J32" s="312"/>
      <c r="K32" s="1748">
        <f t="shared" si="1"/>
        <v>12.045999999999999</v>
      </c>
      <c r="L32" s="1287"/>
      <c r="M32" s="1982"/>
    </row>
    <row r="33" spans="1:13">
      <c r="A33" s="313" t="s">
        <v>634</v>
      </c>
      <c r="B33" s="313"/>
      <c r="C33" s="1985"/>
      <c r="D33"/>
      <c r="E33" s="137"/>
      <c r="F33" s="137"/>
      <c r="G33" s="137"/>
      <c r="H33" s="137"/>
      <c r="I33" s="137"/>
      <c r="J33" s="137"/>
      <c r="K33" s="1751"/>
      <c r="L33" s="1287"/>
      <c r="M33" s="1982"/>
    </row>
    <row r="34" spans="1:13">
      <c r="A34" s="313" t="s">
        <v>635</v>
      </c>
      <c r="B34" s="313"/>
      <c r="C34" s="1747">
        <v>7.0350000000000001</v>
      </c>
      <c r="D34" s="312"/>
      <c r="E34" s="1747">
        <v>0.73299999999999998</v>
      </c>
      <c r="F34" s="312"/>
      <c r="G34" s="1747">
        <v>0.39400000000000002</v>
      </c>
      <c r="H34" s="312"/>
      <c r="I34" s="1747">
        <v>-7.5999999999999998E-2</v>
      </c>
      <c r="J34" s="312"/>
      <c r="K34" s="1748">
        <f t="shared" ref="K34:K59" si="2">ROUND(SUM(C34)+SUM(E34)-SUM(G34)+SUM(I34),3)</f>
        <v>7.298</v>
      </c>
      <c r="L34" s="1287"/>
      <c r="M34" s="1982"/>
    </row>
    <row r="35" spans="1:13">
      <c r="A35" s="313" t="s">
        <v>636</v>
      </c>
      <c r="B35" s="313"/>
      <c r="C35" s="1747">
        <v>1E-3</v>
      </c>
      <c r="D35" s="312"/>
      <c r="E35" s="1747">
        <v>0</v>
      </c>
      <c r="F35" s="312"/>
      <c r="G35" s="1747">
        <v>-2E-3</v>
      </c>
      <c r="H35" s="312"/>
      <c r="I35" s="1747">
        <v>0</v>
      </c>
      <c r="J35" s="312"/>
      <c r="K35" s="1748">
        <f t="shared" si="2"/>
        <v>3.0000000000000001E-3</v>
      </c>
      <c r="L35" s="1287"/>
      <c r="M35" s="1982"/>
    </row>
    <row r="36" spans="1:13">
      <c r="A36" s="313" t="s">
        <v>637</v>
      </c>
      <c r="B36" s="313"/>
      <c r="C36" s="1747">
        <v>6.0970000000000004</v>
      </c>
      <c r="D36" s="312"/>
      <c r="E36" s="1747">
        <v>2.1999999999999999E-2</v>
      </c>
      <c r="F36" s="312"/>
      <c r="G36" s="1747">
        <v>0</v>
      </c>
      <c r="H36" s="312"/>
      <c r="I36" s="1747">
        <v>4.8369999999999997</v>
      </c>
      <c r="J36" s="312"/>
      <c r="K36" s="1748">
        <f t="shared" si="2"/>
        <v>10.956</v>
      </c>
      <c r="L36" s="1287"/>
      <c r="M36" s="1982"/>
    </row>
    <row r="37" spans="1:13">
      <c r="A37" s="679" t="s">
        <v>638</v>
      </c>
      <c r="B37" s="838"/>
      <c r="C37" s="1747">
        <v>0</v>
      </c>
      <c r="D37" s="312"/>
      <c r="E37" s="1747">
        <v>0</v>
      </c>
      <c r="F37" s="312"/>
      <c r="G37" s="1747">
        <v>0</v>
      </c>
      <c r="H37" s="312"/>
      <c r="I37" s="1747">
        <v>0</v>
      </c>
      <c r="J37" s="312"/>
      <c r="K37" s="1748">
        <f t="shared" si="2"/>
        <v>0</v>
      </c>
      <c r="L37" s="1287"/>
      <c r="M37" s="1982"/>
    </row>
    <row r="38" spans="1:13">
      <c r="A38" s="314" t="s">
        <v>639</v>
      </c>
      <c r="B38" s="313"/>
      <c r="C38" s="1747">
        <v>599.27800000000002</v>
      </c>
      <c r="D38" s="312"/>
      <c r="E38" s="1747">
        <v>612.39</v>
      </c>
      <c r="F38" s="312"/>
      <c r="G38" s="1747">
        <v>559.95799999999997</v>
      </c>
      <c r="H38" s="312"/>
      <c r="I38" s="1747">
        <v>-3.4000000000000002E-2</v>
      </c>
      <c r="J38" s="312"/>
      <c r="K38" s="1748">
        <f t="shared" si="2"/>
        <v>651.67600000000004</v>
      </c>
      <c r="L38" s="1287"/>
      <c r="M38" s="1982"/>
    </row>
    <row r="39" spans="1:13">
      <c r="A39" s="313" t="s">
        <v>640</v>
      </c>
      <c r="B39" s="313"/>
      <c r="C39" s="1747">
        <v>76.944000000000003</v>
      </c>
      <c r="D39" s="312"/>
      <c r="E39" s="1747">
        <v>44.707999999999998</v>
      </c>
      <c r="F39" s="312"/>
      <c r="G39" s="1747">
        <v>56.76</v>
      </c>
      <c r="H39" s="312"/>
      <c r="I39" s="1747">
        <v>0</v>
      </c>
      <c r="J39" s="312"/>
      <c r="K39" s="1748">
        <f t="shared" si="2"/>
        <v>64.891999999999996</v>
      </c>
      <c r="L39" s="1287"/>
      <c r="M39" s="1982"/>
    </row>
    <row r="40" spans="1:13">
      <c r="A40" s="314" t="s">
        <v>641</v>
      </c>
      <c r="B40" s="313"/>
      <c r="C40" s="1747">
        <v>-396.91500000000002</v>
      </c>
      <c r="D40" s="312"/>
      <c r="E40" s="1747">
        <v>267.62900000000002</v>
      </c>
      <c r="F40" s="312"/>
      <c r="G40" s="1747">
        <v>172.227</v>
      </c>
      <c r="H40" s="312"/>
      <c r="I40" s="1747">
        <v>0</v>
      </c>
      <c r="J40" s="312"/>
      <c r="K40" s="1748">
        <f t="shared" si="2"/>
        <v>-301.51299999999998</v>
      </c>
      <c r="L40" s="1287"/>
      <c r="M40" s="1982"/>
    </row>
    <row r="41" spans="1:13">
      <c r="A41" s="314" t="s">
        <v>642</v>
      </c>
      <c r="B41" s="313"/>
      <c r="C41" s="1747">
        <v>15.298999999999999</v>
      </c>
      <c r="D41" s="312"/>
      <c r="E41" s="1747">
        <v>0.39400000000000002</v>
      </c>
      <c r="F41" s="312"/>
      <c r="G41" s="1747">
        <v>0.159</v>
      </c>
      <c r="H41" s="312"/>
      <c r="I41" s="1747">
        <v>0</v>
      </c>
      <c r="J41" s="312"/>
      <c r="K41" s="1748">
        <f t="shared" si="2"/>
        <v>15.534000000000001</v>
      </c>
      <c r="L41" s="1287"/>
      <c r="M41" s="1982"/>
    </row>
    <row r="42" spans="1:13">
      <c r="A42" s="313" t="s">
        <v>643</v>
      </c>
      <c r="B42" s="313"/>
      <c r="C42" s="1747">
        <v>-0.221</v>
      </c>
      <c r="D42" s="312"/>
      <c r="E42" s="1747">
        <v>0</v>
      </c>
      <c r="F42" s="312"/>
      <c r="G42" s="1747">
        <v>0</v>
      </c>
      <c r="H42" s="312"/>
      <c r="I42" s="1747">
        <v>0</v>
      </c>
      <c r="J42" s="312"/>
      <c r="K42" s="1748">
        <f t="shared" si="2"/>
        <v>-0.221</v>
      </c>
      <c r="L42" s="1287"/>
      <c r="M42" s="1982"/>
    </row>
    <row r="43" spans="1:13">
      <c r="A43" s="313" t="s">
        <v>644</v>
      </c>
      <c r="B43" s="313"/>
      <c r="C43" s="1747">
        <v>5.2160000000000002</v>
      </c>
      <c r="D43" s="312"/>
      <c r="E43" s="1747">
        <v>7.548</v>
      </c>
      <c r="F43" s="312"/>
      <c r="G43" s="1747">
        <v>7.73</v>
      </c>
      <c r="H43" s="312"/>
      <c r="I43" s="1747">
        <v>0</v>
      </c>
      <c r="J43" s="312"/>
      <c r="K43" s="1748">
        <f t="shared" si="2"/>
        <v>5.0339999999999998</v>
      </c>
      <c r="L43" s="1287"/>
      <c r="M43" s="1982"/>
    </row>
    <row r="44" spans="1:13">
      <c r="A44" s="313" t="s">
        <v>645</v>
      </c>
      <c r="B44" s="313"/>
      <c r="C44" s="1747">
        <v>159.642</v>
      </c>
      <c r="D44" s="312"/>
      <c r="E44" s="1747">
        <v>4.8920000000000003</v>
      </c>
      <c r="F44" s="312"/>
      <c r="G44" s="1747">
        <v>3.573</v>
      </c>
      <c r="H44" s="312"/>
      <c r="I44" s="1747">
        <v>0</v>
      </c>
      <c r="J44" s="312"/>
      <c r="K44" s="1748">
        <f t="shared" si="2"/>
        <v>160.96100000000001</v>
      </c>
      <c r="L44" s="1287"/>
      <c r="M44" s="1982"/>
    </row>
    <row r="45" spans="1:13">
      <c r="A45" s="313" t="s">
        <v>646</v>
      </c>
      <c r="B45" s="313"/>
      <c r="C45" s="1747">
        <v>6.9119999999999999</v>
      </c>
      <c r="D45" s="312"/>
      <c r="E45" s="1747">
        <v>2.8490000000000002</v>
      </c>
      <c r="F45" s="312"/>
      <c r="G45" s="1747">
        <v>2.0289999999999999</v>
      </c>
      <c r="H45" s="312"/>
      <c r="I45" s="1747">
        <v>-1.615</v>
      </c>
      <c r="J45" s="312"/>
      <c r="K45" s="1748">
        <f t="shared" si="2"/>
        <v>6.117</v>
      </c>
      <c r="L45" s="1287"/>
      <c r="M45" s="1982"/>
    </row>
    <row r="46" spans="1:13">
      <c r="A46" s="313" t="s">
        <v>647</v>
      </c>
      <c r="B46" s="313"/>
      <c r="C46" s="1747">
        <v>18.747</v>
      </c>
      <c r="D46" s="312"/>
      <c r="E46" s="1747">
        <v>8.1000000000000003E-2</v>
      </c>
      <c r="F46" s="312"/>
      <c r="G46" s="1747">
        <v>4.8150000000000004</v>
      </c>
      <c r="H46" s="312"/>
      <c r="I46" s="1747">
        <v>0</v>
      </c>
      <c r="J46" s="312"/>
      <c r="K46" s="1748">
        <f t="shared" si="2"/>
        <v>14.013</v>
      </c>
      <c r="L46" s="1287"/>
      <c r="M46" s="1982"/>
    </row>
    <row r="47" spans="1:13">
      <c r="A47" s="313" t="s">
        <v>648</v>
      </c>
      <c r="B47" s="313"/>
      <c r="C47" s="1747">
        <v>11.819000000000001</v>
      </c>
      <c r="D47" s="312"/>
      <c r="E47" s="1747">
        <v>1.0229999999999999</v>
      </c>
      <c r="F47" s="312"/>
      <c r="G47" s="1747">
        <v>1.42</v>
      </c>
      <c r="H47" s="312"/>
      <c r="I47" s="1747">
        <v>0</v>
      </c>
      <c r="J47" s="312"/>
      <c r="K47" s="1748">
        <f t="shared" si="2"/>
        <v>11.422000000000001</v>
      </c>
      <c r="L47" s="1287"/>
      <c r="M47" s="1982"/>
    </row>
    <row r="48" spans="1:13">
      <c r="A48" s="314" t="s">
        <v>649</v>
      </c>
      <c r="B48" s="313"/>
      <c r="C48" s="1747">
        <v>0.59199999999999997</v>
      </c>
      <c r="D48" s="312"/>
      <c r="E48" s="1747">
        <v>3.0000000000000001E-3</v>
      </c>
      <c r="F48" s="312"/>
      <c r="G48" s="1747">
        <v>0</v>
      </c>
      <c r="H48" s="312"/>
      <c r="I48" s="1747">
        <v>0</v>
      </c>
      <c r="J48" s="312"/>
      <c r="K48" s="1748">
        <f t="shared" si="2"/>
        <v>0.59499999999999997</v>
      </c>
      <c r="L48" s="1287"/>
      <c r="M48" s="1982"/>
    </row>
    <row r="49" spans="1:13">
      <c r="A49" s="313" t="s">
        <v>650</v>
      </c>
      <c r="B49" s="313"/>
      <c r="C49" s="1747">
        <v>986.83399999999995</v>
      </c>
      <c r="D49" s="312"/>
      <c r="E49" s="1747">
        <v>166.18199999999999</v>
      </c>
      <c r="F49" s="312"/>
      <c r="G49" s="1747">
        <v>620.15899999999999</v>
      </c>
      <c r="H49" s="312"/>
      <c r="I49" s="1747">
        <v>-7.0999999999999994E-2</v>
      </c>
      <c r="J49" s="312"/>
      <c r="K49" s="1748">
        <f t="shared" si="2"/>
        <v>532.78599999999994</v>
      </c>
      <c r="L49" s="1287"/>
      <c r="M49" s="1982"/>
    </row>
    <row r="50" spans="1:13">
      <c r="A50" s="313" t="s">
        <v>651</v>
      </c>
      <c r="B50" s="313"/>
      <c r="C50" s="1747">
        <v>-38.972000000000001</v>
      </c>
      <c r="D50" s="312"/>
      <c r="E50" s="1747">
        <v>3.74</v>
      </c>
      <c r="F50" s="312"/>
      <c r="G50" s="1747">
        <v>2.9049999999999998</v>
      </c>
      <c r="H50" s="312"/>
      <c r="I50" s="1747">
        <v>0</v>
      </c>
      <c r="J50" s="312"/>
      <c r="K50" s="1748">
        <f t="shared" si="2"/>
        <v>-38.137</v>
      </c>
      <c r="L50" s="1287"/>
      <c r="M50" s="1982"/>
    </row>
    <row r="51" spans="1:13">
      <c r="A51" s="313" t="s">
        <v>652</v>
      </c>
      <c r="B51" s="313"/>
      <c r="C51" s="1747">
        <v>8.3000000000000004E-2</v>
      </c>
      <c r="D51" s="312"/>
      <c r="E51" s="1747">
        <v>0</v>
      </c>
      <c r="F51" s="312"/>
      <c r="G51" s="1747">
        <v>0</v>
      </c>
      <c r="H51" s="312"/>
      <c r="I51" s="1747">
        <v>0</v>
      </c>
      <c r="J51" s="312"/>
      <c r="K51" s="1748">
        <f t="shared" si="2"/>
        <v>8.3000000000000004E-2</v>
      </c>
      <c r="L51" s="1287"/>
      <c r="M51" s="1982"/>
    </row>
    <row r="52" spans="1:13">
      <c r="A52" s="313" t="s">
        <v>653</v>
      </c>
      <c r="B52" s="313"/>
      <c r="C52" s="1747">
        <v>14.638999999999999</v>
      </c>
      <c r="D52" s="312"/>
      <c r="E52" s="1747">
        <v>0.26400000000000001</v>
      </c>
      <c r="F52" s="312"/>
      <c r="G52" s="1747">
        <v>0.27100000000000002</v>
      </c>
      <c r="H52" s="312"/>
      <c r="I52" s="1747">
        <v>0</v>
      </c>
      <c r="J52" s="312"/>
      <c r="K52" s="1748">
        <f t="shared" si="2"/>
        <v>14.632</v>
      </c>
      <c r="L52" s="1287"/>
      <c r="M52" s="1982"/>
    </row>
    <row r="53" spans="1:13">
      <c r="A53" s="313" t="s">
        <v>654</v>
      </c>
      <c r="B53" s="313"/>
      <c r="C53" s="1747">
        <v>0</v>
      </c>
      <c r="D53" s="312"/>
      <c r="E53" s="1747">
        <v>0</v>
      </c>
      <c r="F53" s="312"/>
      <c r="G53" s="1747">
        <v>0</v>
      </c>
      <c r="H53" s="312"/>
      <c r="I53" s="1747">
        <v>0</v>
      </c>
      <c r="J53" s="312"/>
      <c r="K53" s="1748">
        <f t="shared" si="2"/>
        <v>0</v>
      </c>
      <c r="L53" s="1287"/>
      <c r="M53" s="1982"/>
    </row>
    <row r="54" spans="1:13">
      <c r="A54" s="314" t="s">
        <v>655</v>
      </c>
      <c r="B54" s="313"/>
      <c r="C54" s="1747">
        <v>0.51700000000000002</v>
      </c>
      <c r="D54" s="312"/>
      <c r="E54" s="1747">
        <v>1E-3</v>
      </c>
      <c r="F54" s="312"/>
      <c r="G54" s="1747">
        <v>0</v>
      </c>
      <c r="H54" s="312"/>
      <c r="I54" s="1747">
        <v>0</v>
      </c>
      <c r="J54" s="312"/>
      <c r="K54" s="1748">
        <f t="shared" si="2"/>
        <v>0.51800000000000002</v>
      </c>
      <c r="L54" s="1287"/>
      <c r="M54" s="1982"/>
    </row>
    <row r="55" spans="1:13">
      <c r="A55" s="314" t="s">
        <v>656</v>
      </c>
      <c r="B55" s="313"/>
      <c r="C55" s="1747">
        <v>0</v>
      </c>
      <c r="D55" s="312"/>
      <c r="E55" s="1747">
        <v>0</v>
      </c>
      <c r="F55" s="312"/>
      <c r="G55" s="1747">
        <v>0</v>
      </c>
      <c r="H55" s="312"/>
      <c r="I55" s="1747">
        <v>0</v>
      </c>
      <c r="J55" s="312"/>
      <c r="K55" s="1748">
        <f t="shared" si="2"/>
        <v>0</v>
      </c>
      <c r="L55" s="1287"/>
      <c r="M55" s="1982"/>
    </row>
    <row r="56" spans="1:13">
      <c r="A56" s="314" t="s">
        <v>657</v>
      </c>
      <c r="B56" s="313"/>
      <c r="C56" s="1747">
        <v>0</v>
      </c>
      <c r="D56" s="312"/>
      <c r="E56" s="1747">
        <v>0</v>
      </c>
      <c r="F56" s="312"/>
      <c r="G56" s="1747">
        <v>0</v>
      </c>
      <c r="H56" s="312"/>
      <c r="I56" s="1747">
        <v>0</v>
      </c>
      <c r="J56" s="312"/>
      <c r="K56" s="1748">
        <f t="shared" si="2"/>
        <v>0</v>
      </c>
      <c r="L56" s="1287"/>
      <c r="M56" s="1982"/>
    </row>
    <row r="57" spans="1:13">
      <c r="A57" s="314" t="s">
        <v>658</v>
      </c>
      <c r="B57" s="313"/>
      <c r="C57" s="1747">
        <v>0.155</v>
      </c>
      <c r="D57" s="312"/>
      <c r="E57" s="1747">
        <v>1E-3</v>
      </c>
      <c r="F57" s="312"/>
      <c r="G57" s="1747">
        <v>0</v>
      </c>
      <c r="H57" s="312"/>
      <c r="I57" s="1747">
        <v>0</v>
      </c>
      <c r="J57" s="312"/>
      <c r="K57" s="1748">
        <f>ROUND(SUM(C57)+SUM(E57)-SUM(G57)+SUM(I57),3)</f>
        <v>0.156</v>
      </c>
      <c r="L57" s="1287"/>
      <c r="M57" s="1982"/>
    </row>
    <row r="58" spans="1:13">
      <c r="A58" s="314" t="s">
        <v>659</v>
      </c>
      <c r="B58" s="313"/>
      <c r="C58" s="1747">
        <v>4554.5029999999997</v>
      </c>
      <c r="D58" s="312"/>
      <c r="E58" s="1747">
        <v>1275.251</v>
      </c>
      <c r="F58" s="312"/>
      <c r="G58" s="1747">
        <v>293.64100000000002</v>
      </c>
      <c r="H58" s="312"/>
      <c r="I58" s="1747">
        <v>35.094999999999999</v>
      </c>
      <c r="J58" s="312"/>
      <c r="K58" s="1748">
        <f t="shared" si="2"/>
        <v>5571.2079999999996</v>
      </c>
      <c r="L58" s="1287"/>
      <c r="M58" s="1982"/>
    </row>
    <row r="59" spans="1:13">
      <c r="A59" s="313" t="s">
        <v>660</v>
      </c>
      <c r="B59" s="313"/>
      <c r="C59" s="1747">
        <v>28.242000000000001</v>
      </c>
      <c r="D59" s="312"/>
      <c r="E59" s="1747">
        <v>0.11</v>
      </c>
      <c r="F59" s="312"/>
      <c r="G59" s="1747">
        <v>2.1219999999999999</v>
      </c>
      <c r="H59" s="312"/>
      <c r="I59" s="1747">
        <v>0</v>
      </c>
      <c r="J59" s="312"/>
      <c r="K59" s="1748">
        <f t="shared" si="2"/>
        <v>26.23</v>
      </c>
      <c r="L59" s="1287"/>
      <c r="M59" s="1982"/>
    </row>
    <row r="60" spans="1:13">
      <c r="A60" s="313"/>
      <c r="B60" s="313"/>
      <c r="C60" s="1747"/>
      <c r="D60" s="312"/>
      <c r="E60" s="1747"/>
      <c r="F60" s="312"/>
      <c r="G60" s="1747"/>
      <c r="H60" s="312"/>
      <c r="I60" s="1747"/>
      <c r="J60" s="312"/>
      <c r="K60" s="1748"/>
      <c r="L60" s="1287"/>
      <c r="M60" s="1982"/>
    </row>
    <row r="61" spans="1:13">
      <c r="A61" s="313"/>
      <c r="B61" s="313"/>
      <c r="C61" s="1747"/>
      <c r="D61" s="312"/>
      <c r="E61" s="1747"/>
      <c r="F61" s="312"/>
      <c r="G61" s="1747"/>
      <c r="H61" s="312"/>
      <c r="I61" s="1747"/>
      <c r="J61" s="312"/>
      <c r="K61" s="1748"/>
      <c r="L61" s="1287"/>
      <c r="M61" s="1982"/>
    </row>
    <row r="62" spans="1:13">
      <c r="A62" s="136" t="s">
        <v>661</v>
      </c>
      <c r="B62" s="313"/>
      <c r="C62" s="1747"/>
      <c r="D62" s="312"/>
      <c r="E62" s="1747"/>
      <c r="F62" s="312"/>
      <c r="G62" s="1747"/>
      <c r="H62" s="312"/>
      <c r="I62" s="1747"/>
      <c r="J62" s="312"/>
      <c r="K62" s="1748"/>
      <c r="L62" s="1287"/>
      <c r="M62" s="1982"/>
    </row>
    <row r="63" spans="1:13">
      <c r="A63" s="313" t="s">
        <v>662</v>
      </c>
      <c r="B63" s="312"/>
      <c r="C63" s="1747">
        <v>6.0999999999999999E-2</v>
      </c>
      <c r="D63" s="312"/>
      <c r="E63" s="1747">
        <v>0</v>
      </c>
      <c r="F63" s="312"/>
      <c r="G63" s="1747">
        <v>0</v>
      </c>
      <c r="H63" s="312"/>
      <c r="I63" s="1747">
        <v>0</v>
      </c>
      <c r="J63" s="312"/>
      <c r="K63" s="1748">
        <f>ROUND(SUM(C63)+SUM(E63)-SUM(G63)+SUM(I63),3)</f>
        <v>6.0999999999999999E-2</v>
      </c>
      <c r="L63" s="1287"/>
      <c r="M63" s="1982"/>
    </row>
    <row r="64" spans="1:13">
      <c r="A64" s="313" t="s">
        <v>663</v>
      </c>
      <c r="B64" s="313"/>
      <c r="C64" s="1747">
        <v>2610.3890000000001</v>
      </c>
      <c r="D64" s="312"/>
      <c r="E64" s="1747">
        <v>504.38200000000001</v>
      </c>
      <c r="F64" s="312"/>
      <c r="G64" s="1747">
        <v>770.53599999999994</v>
      </c>
      <c r="H64" s="312"/>
      <c r="I64" s="1747">
        <v>338.375</v>
      </c>
      <c r="J64" s="312"/>
      <c r="K64" s="1748">
        <f>ROUND(SUM(C64)+SUM(E64)-SUM(G64)+SUM(I64),3)</f>
        <v>2682.61</v>
      </c>
      <c r="L64" s="1287"/>
      <c r="M64" s="1982"/>
    </row>
    <row r="65" spans="1:13">
      <c r="A65" s="314" t="s">
        <v>664</v>
      </c>
      <c r="B65" s="313"/>
      <c r="C65" s="1747">
        <v>7.0110000000000001</v>
      </c>
      <c r="D65" s="312"/>
      <c r="E65" s="1747">
        <v>0.22700000000000001</v>
      </c>
      <c r="F65" s="312"/>
      <c r="G65" s="1747">
        <v>4.0000000000000001E-3</v>
      </c>
      <c r="H65" s="312"/>
      <c r="I65" s="1747">
        <v>0</v>
      </c>
      <c r="J65" s="312"/>
      <c r="K65" s="1748">
        <f>ROUND(SUM(C65)+SUM(E65)-SUM(G65)+SUM(I65),3)</f>
        <v>7.234</v>
      </c>
      <c r="L65" s="1287"/>
      <c r="M65" s="1982"/>
    </row>
    <row r="66" spans="1:13">
      <c r="A66" s="313" t="s">
        <v>665</v>
      </c>
      <c r="B66" s="313"/>
      <c r="C66" s="1747">
        <v>0.44700000000000001</v>
      </c>
      <c r="D66" s="312"/>
      <c r="E66" s="1747">
        <v>0.30199999999999999</v>
      </c>
      <c r="F66" s="312"/>
      <c r="G66" s="1747">
        <v>0.151</v>
      </c>
      <c r="H66" s="312"/>
      <c r="I66" s="1747">
        <v>0</v>
      </c>
      <c r="J66" s="312"/>
      <c r="K66" s="1748">
        <f>ROUND(SUM(C66)+SUM(E66)-SUM(G66)+SUM(I66),3)</f>
        <v>0.59799999999999998</v>
      </c>
      <c r="L66" s="1287"/>
      <c r="M66" s="1982"/>
    </row>
    <row r="67" spans="1:13">
      <c r="A67" s="313" t="s">
        <v>666</v>
      </c>
      <c r="B67" s="313"/>
      <c r="C67" s="1985"/>
      <c r="D67"/>
      <c r="E67" s="1748"/>
      <c r="F67" s="313"/>
      <c r="G67" s="1748"/>
      <c r="H67" s="313"/>
      <c r="I67" s="1752"/>
      <c r="J67" s="313"/>
      <c r="K67" s="1748" t="s">
        <v>103</v>
      </c>
      <c r="L67" s="1287"/>
      <c r="M67" s="1982"/>
    </row>
    <row r="68" spans="1:13">
      <c r="A68" s="313" t="s">
        <v>667</v>
      </c>
      <c r="B68" s="313"/>
      <c r="C68" s="1747">
        <v>284.29399999999998</v>
      </c>
      <c r="D68" s="312"/>
      <c r="E68" s="1747">
        <v>11.011999999999999</v>
      </c>
      <c r="F68" s="312"/>
      <c r="G68" s="1747">
        <v>5.3999999999999999E-2</v>
      </c>
      <c r="H68" s="312"/>
      <c r="I68" s="1747">
        <v>0</v>
      </c>
      <c r="J68" s="312"/>
      <c r="K68" s="1748">
        <f t="shared" ref="K68:K73" si="3">ROUND(SUM(C68)+SUM(E68)-SUM(G68)+SUM(I68),3)</f>
        <v>295.25200000000001</v>
      </c>
      <c r="L68" s="1287"/>
      <c r="M68" s="1982"/>
    </row>
    <row r="69" spans="1:13">
      <c r="A69" s="313" t="s">
        <v>668</v>
      </c>
      <c r="B69" s="138"/>
      <c r="C69" s="1747">
        <v>0.58799999999999997</v>
      </c>
      <c r="D69" s="312"/>
      <c r="E69" s="1747">
        <v>2E-3</v>
      </c>
      <c r="F69" s="312"/>
      <c r="G69" s="1747">
        <v>8.9999999999999993E-3</v>
      </c>
      <c r="H69" s="312"/>
      <c r="I69" s="1747">
        <v>0</v>
      </c>
      <c r="J69" s="312"/>
      <c r="K69" s="1748">
        <f t="shared" si="3"/>
        <v>0.58099999999999996</v>
      </c>
      <c r="L69" s="1287"/>
      <c r="M69" s="1982"/>
    </row>
    <row r="70" spans="1:13">
      <c r="A70" s="313" t="s">
        <v>669</v>
      </c>
      <c r="B70" s="313"/>
      <c r="C70" s="1747">
        <v>2.8000000000000001E-2</v>
      </c>
      <c r="D70" s="312"/>
      <c r="E70" s="1747">
        <v>0</v>
      </c>
      <c r="F70" s="312"/>
      <c r="G70" s="1747">
        <v>0</v>
      </c>
      <c r="H70" s="312"/>
      <c r="I70" s="1747">
        <v>0</v>
      </c>
      <c r="J70" s="312"/>
      <c r="K70" s="1748">
        <f t="shared" si="3"/>
        <v>2.8000000000000001E-2</v>
      </c>
      <c r="L70" s="1287"/>
      <c r="M70" s="1982"/>
    </row>
    <row r="71" spans="1:13">
      <c r="A71" s="314" t="s">
        <v>670</v>
      </c>
      <c r="B71" s="313"/>
      <c r="C71" s="1747">
        <v>3.3119999999999998</v>
      </c>
      <c r="D71" s="312"/>
      <c r="E71" s="1747">
        <v>1.0999999999999999E-2</v>
      </c>
      <c r="F71" s="312"/>
      <c r="G71" s="1747">
        <v>0</v>
      </c>
      <c r="H71" s="312"/>
      <c r="I71" s="1747">
        <v>0</v>
      </c>
      <c r="J71" s="312"/>
      <c r="K71" s="1748">
        <f t="shared" si="3"/>
        <v>3.323</v>
      </c>
      <c r="L71" s="1287"/>
      <c r="M71" s="1982"/>
    </row>
    <row r="72" spans="1:13">
      <c r="A72" s="313" t="s">
        <v>671</v>
      </c>
      <c r="B72" s="313"/>
      <c r="C72" s="1747">
        <v>-26.699000000000002</v>
      </c>
      <c r="D72" s="312"/>
      <c r="E72" s="1747">
        <v>0.184</v>
      </c>
      <c r="F72" s="312"/>
      <c r="G72" s="1747">
        <v>0.38800000000000001</v>
      </c>
      <c r="H72" s="312"/>
      <c r="I72" s="1747">
        <v>0</v>
      </c>
      <c r="J72" s="312"/>
      <c r="K72" s="1748">
        <f t="shared" si="3"/>
        <v>-26.902999999999999</v>
      </c>
      <c r="L72" s="1287"/>
      <c r="M72" s="1982"/>
    </row>
    <row r="73" spans="1:13">
      <c r="A73" s="313" t="s">
        <v>672</v>
      </c>
      <c r="B73" s="313"/>
      <c r="C73" s="1747">
        <v>0.20899999999999999</v>
      </c>
      <c r="D73" s="312"/>
      <c r="E73" s="1747">
        <v>0</v>
      </c>
      <c r="F73" s="312"/>
      <c r="G73" s="1747">
        <v>1E-3</v>
      </c>
      <c r="H73" s="312"/>
      <c r="I73" s="1747">
        <v>0</v>
      </c>
      <c r="J73" s="312"/>
      <c r="K73" s="1748">
        <f t="shared" si="3"/>
        <v>0.20799999999999999</v>
      </c>
      <c r="L73" s="1287"/>
      <c r="M73" s="1982"/>
    </row>
    <row r="74" spans="1:13">
      <c r="A74" s="313" t="s">
        <v>673</v>
      </c>
      <c r="B74" s="313"/>
      <c r="C74" s="1985"/>
      <c r="D74"/>
      <c r="E74" s="1748"/>
      <c r="F74" s="313"/>
      <c r="G74" s="1748"/>
      <c r="H74" s="313"/>
      <c r="I74" s="1748"/>
      <c r="J74" s="313"/>
      <c r="K74" s="1748"/>
      <c r="L74" s="1287"/>
      <c r="M74" s="1982"/>
    </row>
    <row r="75" spans="1:13">
      <c r="A75" s="313" t="s">
        <v>674</v>
      </c>
      <c r="B75" s="313"/>
      <c r="C75" s="1747">
        <v>1E-3</v>
      </c>
      <c r="D75" s="312"/>
      <c r="E75" s="1747">
        <v>0</v>
      </c>
      <c r="F75" s="312"/>
      <c r="G75" s="1747">
        <v>0</v>
      </c>
      <c r="H75" s="312"/>
      <c r="I75" s="1747">
        <v>0</v>
      </c>
      <c r="J75" s="312"/>
      <c r="K75" s="1748">
        <f t="shared" ref="K75:K90" si="4">ROUND(SUM(C75)+SUM(E75)-SUM(G75)+SUM(I75),3)</f>
        <v>1E-3</v>
      </c>
      <c r="L75" s="1287"/>
      <c r="M75" s="1982"/>
    </row>
    <row r="76" spans="1:13">
      <c r="A76" s="313" t="s">
        <v>675</v>
      </c>
      <c r="B76" s="313"/>
      <c r="C76" s="1747">
        <v>-52.62</v>
      </c>
      <c r="D76" s="312"/>
      <c r="E76" s="1747">
        <v>0</v>
      </c>
      <c r="F76" s="312"/>
      <c r="G76" s="1747">
        <v>3.165</v>
      </c>
      <c r="H76" s="312"/>
      <c r="I76" s="1747">
        <v>0</v>
      </c>
      <c r="J76" s="312"/>
      <c r="K76" s="1748">
        <f t="shared" si="4"/>
        <v>-55.784999999999997</v>
      </c>
      <c r="L76" s="1287"/>
      <c r="M76" s="1982"/>
    </row>
    <row r="77" spans="1:13">
      <c r="A77" s="313" t="s">
        <v>676</v>
      </c>
      <c r="B77" s="313"/>
      <c r="C77" s="1747">
        <v>11.635999999999999</v>
      </c>
      <c r="D77" s="312"/>
      <c r="E77" s="1747">
        <v>8.5649999999999995</v>
      </c>
      <c r="F77" s="312"/>
      <c r="G77" s="1747">
        <v>5.1970000000000001</v>
      </c>
      <c r="H77" s="312"/>
      <c r="I77" s="1747">
        <v>0</v>
      </c>
      <c r="J77" s="312"/>
      <c r="K77" s="1748">
        <f t="shared" si="4"/>
        <v>15.004</v>
      </c>
      <c r="L77" s="1287"/>
      <c r="M77" s="1982"/>
    </row>
    <row r="78" spans="1:13">
      <c r="A78" s="313" t="s">
        <v>677</v>
      </c>
      <c r="B78" s="313"/>
      <c r="C78" s="1747">
        <v>0.39</v>
      </c>
      <c r="D78" s="312"/>
      <c r="E78" s="1747">
        <v>3.0000000000000001E-3</v>
      </c>
      <c r="F78" s="312"/>
      <c r="G78" s="1747">
        <v>0</v>
      </c>
      <c r="H78" s="312"/>
      <c r="I78" s="1747">
        <v>0</v>
      </c>
      <c r="J78" s="312"/>
      <c r="K78" s="1748">
        <f t="shared" si="4"/>
        <v>0.39300000000000002</v>
      </c>
      <c r="L78" s="1287"/>
      <c r="M78" s="1982"/>
    </row>
    <row r="79" spans="1:13">
      <c r="A79" s="314" t="s">
        <v>678</v>
      </c>
      <c r="B79" s="313"/>
      <c r="C79" s="1747">
        <v>941.64499999999998</v>
      </c>
      <c r="D79" s="312"/>
      <c r="E79" s="1747">
        <v>39.371000000000002</v>
      </c>
      <c r="F79" s="312"/>
      <c r="G79" s="1747">
        <v>20.393999999999998</v>
      </c>
      <c r="H79" s="312"/>
      <c r="I79" s="1747">
        <v>0</v>
      </c>
      <c r="J79" s="312"/>
      <c r="K79" s="1748">
        <f t="shared" si="4"/>
        <v>960.62199999999996</v>
      </c>
      <c r="L79" s="1287"/>
      <c r="M79" s="1982"/>
    </row>
    <row r="80" spans="1:13">
      <c r="A80" s="313" t="s">
        <v>679</v>
      </c>
      <c r="B80" s="313"/>
      <c r="C80" s="1747">
        <v>60.207000000000001</v>
      </c>
      <c r="D80" s="312"/>
      <c r="E80" s="1747">
        <v>0.43099999999999999</v>
      </c>
      <c r="F80" s="312"/>
      <c r="G80" s="1747">
        <v>0</v>
      </c>
      <c r="H80" s="312"/>
      <c r="I80" s="1747">
        <v>0</v>
      </c>
      <c r="J80" s="312"/>
      <c r="K80" s="1748">
        <f t="shared" si="4"/>
        <v>60.637999999999998</v>
      </c>
      <c r="L80" s="1287"/>
      <c r="M80" s="1982"/>
    </row>
    <row r="81" spans="1:13">
      <c r="A81" s="314" t="s">
        <v>680</v>
      </c>
      <c r="B81" s="313"/>
      <c r="C81" s="1747">
        <v>184.99199999999999</v>
      </c>
      <c r="D81" s="312"/>
      <c r="E81" s="1747">
        <v>0.496</v>
      </c>
      <c r="F81" s="312"/>
      <c r="G81" s="1747">
        <v>61.988</v>
      </c>
      <c r="H81" s="312"/>
      <c r="I81" s="1747">
        <v>60.988</v>
      </c>
      <c r="J81" s="312"/>
      <c r="K81" s="1748">
        <f t="shared" si="4"/>
        <v>184.488</v>
      </c>
      <c r="L81" s="1287"/>
      <c r="M81" s="1982"/>
    </row>
    <row r="82" spans="1:13">
      <c r="A82" s="314" t="s">
        <v>681</v>
      </c>
      <c r="B82" s="313"/>
      <c r="C82" s="1747">
        <v>111.443</v>
      </c>
      <c r="D82" s="312"/>
      <c r="E82" s="1747">
        <v>12.917</v>
      </c>
      <c r="F82" s="312"/>
      <c r="G82" s="1747">
        <v>0.80300000000000005</v>
      </c>
      <c r="H82" s="312"/>
      <c r="I82" s="1747">
        <v>0</v>
      </c>
      <c r="J82" s="312"/>
      <c r="K82" s="1748">
        <f t="shared" si="4"/>
        <v>123.557</v>
      </c>
      <c r="L82" s="1287"/>
      <c r="M82" s="1982"/>
    </row>
    <row r="83" spans="1:13">
      <c r="A83" s="314" t="s">
        <v>682</v>
      </c>
      <c r="B83" s="313"/>
      <c r="C83" s="1747">
        <v>9.7270000000000003</v>
      </c>
      <c r="D83" s="312"/>
      <c r="E83" s="1747">
        <v>0.56399999999999995</v>
      </c>
      <c r="F83" s="312"/>
      <c r="G83" s="1747">
        <v>0.45</v>
      </c>
      <c r="H83" s="312"/>
      <c r="I83" s="1747">
        <v>0.36199999999999999</v>
      </c>
      <c r="J83" s="312"/>
      <c r="K83" s="1748">
        <f t="shared" si="4"/>
        <v>10.202999999999999</v>
      </c>
      <c r="L83" s="1287"/>
      <c r="M83" s="1982"/>
    </row>
    <row r="84" spans="1:13">
      <c r="A84" s="314" t="s">
        <v>683</v>
      </c>
      <c r="B84" s="313"/>
      <c r="C84" s="1747">
        <v>360.59699999999998</v>
      </c>
      <c r="D84" s="312"/>
      <c r="E84" s="1747">
        <v>1.681</v>
      </c>
      <c r="F84" s="312"/>
      <c r="G84" s="1747">
        <v>2.84</v>
      </c>
      <c r="H84" s="312"/>
      <c r="I84" s="1747">
        <v>-2.1000000000000001E-2</v>
      </c>
      <c r="J84" s="312"/>
      <c r="K84" s="1748">
        <f t="shared" si="4"/>
        <v>359.41699999999997</v>
      </c>
      <c r="L84" s="1287"/>
      <c r="M84" s="1982"/>
    </row>
    <row r="85" spans="1:13">
      <c r="A85" s="314" t="s">
        <v>684</v>
      </c>
      <c r="B85" s="313"/>
      <c r="C85" s="1747">
        <v>94.891000000000005</v>
      </c>
      <c r="D85" s="312"/>
      <c r="E85" s="1747">
        <v>5.2190000000000003</v>
      </c>
      <c r="F85" s="312"/>
      <c r="G85" s="1747">
        <v>3.8719999999999999</v>
      </c>
      <c r="H85" s="312"/>
      <c r="I85" s="1747">
        <v>0</v>
      </c>
      <c r="J85" s="312"/>
      <c r="K85" s="1748">
        <f>ROUND(SUM(C85)+SUM(E85)-SUM(G85)+SUM(I85),3)</f>
        <v>96.238</v>
      </c>
      <c r="L85" s="1287"/>
      <c r="M85" s="1982"/>
    </row>
    <row r="86" spans="1:13">
      <c r="A86" s="314" t="s">
        <v>685</v>
      </c>
      <c r="B86" s="313"/>
      <c r="C86" s="1747">
        <v>278.00900000000001</v>
      </c>
      <c r="D86" s="312"/>
      <c r="E86" s="1747">
        <v>0.98499999999999999</v>
      </c>
      <c r="F86" s="312"/>
      <c r="G86" s="1747">
        <v>0</v>
      </c>
      <c r="H86" s="312"/>
      <c r="I86" s="1747">
        <v>0</v>
      </c>
      <c r="J86" s="312"/>
      <c r="K86" s="1748">
        <f t="shared" si="4"/>
        <v>278.99400000000003</v>
      </c>
      <c r="L86" s="1287"/>
      <c r="M86" s="1982"/>
    </row>
    <row r="87" spans="1:13">
      <c r="A87" s="314" t="s">
        <v>686</v>
      </c>
      <c r="B87" s="313"/>
      <c r="C87" s="1747">
        <v>0.16500000000000001</v>
      </c>
      <c r="D87" s="312"/>
      <c r="E87" s="1747">
        <v>1E-3</v>
      </c>
      <c r="F87" s="312"/>
      <c r="G87" s="1747">
        <v>0</v>
      </c>
      <c r="H87" s="312"/>
      <c r="I87" s="1747">
        <v>0</v>
      </c>
      <c r="J87" s="312"/>
      <c r="K87" s="1748">
        <f t="shared" si="4"/>
        <v>0.16600000000000001</v>
      </c>
      <c r="L87" s="1287"/>
      <c r="M87" s="1982"/>
    </row>
    <row r="88" spans="1:13">
      <c r="A88" s="314" t="s">
        <v>687</v>
      </c>
      <c r="B88" s="313"/>
      <c r="C88" s="1747">
        <v>9.6969999999999992</v>
      </c>
      <c r="D88" s="312"/>
      <c r="E88" s="1747">
        <v>0.53100000000000003</v>
      </c>
      <c r="F88" s="312"/>
      <c r="G88" s="1747">
        <v>0</v>
      </c>
      <c r="H88" s="312"/>
      <c r="I88" s="1747">
        <v>0</v>
      </c>
      <c r="J88" s="312"/>
      <c r="K88" s="1748">
        <f>ROUND(SUM(C88)+SUM(E88)-SUM(G88)+SUM(I88),3)</f>
        <v>10.228</v>
      </c>
      <c r="L88" s="1287"/>
      <c r="M88" s="1982"/>
    </row>
    <row r="89" spans="1:13">
      <c r="A89" s="314" t="s">
        <v>688</v>
      </c>
      <c r="B89" s="313"/>
      <c r="C89" s="1747">
        <v>-487.608</v>
      </c>
      <c r="D89" s="312"/>
      <c r="E89" s="1747">
        <v>135.251</v>
      </c>
      <c r="F89" s="312"/>
      <c r="G89" s="1747">
        <v>0</v>
      </c>
      <c r="H89" s="312"/>
      <c r="I89" s="1747">
        <v>0</v>
      </c>
      <c r="J89" s="312"/>
      <c r="K89" s="1748">
        <f>ROUND(SUM(C89)+SUM(E89)-SUM(G89)+SUM(I89),3)</f>
        <v>-352.35700000000003</v>
      </c>
      <c r="L89" s="1287"/>
      <c r="M89" s="1982"/>
    </row>
    <row r="90" spans="1:13">
      <c r="A90" s="313" t="s">
        <v>689</v>
      </c>
      <c r="B90" s="313"/>
      <c r="C90" s="1747">
        <v>217.828</v>
      </c>
      <c r="D90" s="312"/>
      <c r="E90" s="1747">
        <v>100.35</v>
      </c>
      <c r="F90" s="312"/>
      <c r="G90" s="1747">
        <v>0</v>
      </c>
      <c r="H90" s="312"/>
      <c r="I90" s="1747">
        <v>-18.701000000000001</v>
      </c>
      <c r="J90" s="312"/>
      <c r="K90" s="1748">
        <f t="shared" si="4"/>
        <v>299.47699999999998</v>
      </c>
      <c r="L90" s="1287"/>
      <c r="M90" s="1982"/>
    </row>
    <row r="91" spans="1:13">
      <c r="A91" s="135" t="s">
        <v>690</v>
      </c>
      <c r="B91" s="313"/>
      <c r="C91" s="1753">
        <f>ROUND(SUM(C27:C90),3)</f>
        <v>11432.806</v>
      </c>
      <c r="D91" s="139"/>
      <c r="E91" s="1753">
        <f>ROUND(SUM(E27:E90),3)</f>
        <v>3230.1849999999999</v>
      </c>
      <c r="F91" s="139"/>
      <c r="G91" s="1753">
        <f>ROUND(SUM(G27:G90),3)</f>
        <v>2602.3020000000001</v>
      </c>
      <c r="H91" s="139"/>
      <c r="I91" s="1753">
        <f>ROUND(SUM(I27:I90),3)</f>
        <v>419.029</v>
      </c>
      <c r="J91" s="139"/>
      <c r="K91" s="1753">
        <f>ROUND(SUM(K27:K90),3)</f>
        <v>12479.718000000001</v>
      </c>
      <c r="L91" s="1287"/>
      <c r="M91" s="1982" t="s">
        <v>103</v>
      </c>
    </row>
    <row r="92" spans="1:13" ht="11.25" customHeight="1">
      <c r="A92" s="313"/>
      <c r="B92" s="313"/>
      <c r="C92" s="313"/>
      <c r="D92" s="313"/>
      <c r="E92" s="313"/>
      <c r="F92" s="313"/>
      <c r="G92" s="313"/>
      <c r="H92" s="313"/>
      <c r="I92" s="313"/>
      <c r="J92" s="313"/>
      <c r="K92" s="313"/>
      <c r="L92" s="1287"/>
      <c r="M92" s="1982"/>
    </row>
    <row r="93" spans="1:13">
      <c r="A93" s="136" t="s">
        <v>691</v>
      </c>
      <c r="B93" s="313"/>
      <c r="C93" s="313"/>
      <c r="D93" s="313"/>
      <c r="E93" s="313"/>
      <c r="F93" s="313"/>
      <c r="G93" s="313"/>
      <c r="H93" s="313"/>
      <c r="I93" s="313"/>
      <c r="J93" s="313"/>
      <c r="K93" s="313"/>
      <c r="L93" s="1287"/>
      <c r="M93" s="1982"/>
    </row>
    <row r="94" spans="1:13">
      <c r="A94" s="313" t="s">
        <v>692</v>
      </c>
      <c r="B94" s="313"/>
      <c r="C94" s="1747">
        <v>-56.698999999999998</v>
      </c>
      <c r="D94" s="312"/>
      <c r="E94" s="1747">
        <v>194.03800000000001</v>
      </c>
      <c r="F94" s="312"/>
      <c r="G94" s="1747">
        <v>199.68199999999999</v>
      </c>
      <c r="H94" s="312"/>
      <c r="I94" s="1747">
        <v>-0.188</v>
      </c>
      <c r="J94" s="312"/>
      <c r="K94" s="1748">
        <f t="shared" ref="K94:K100" si="5">ROUND(SUM(C94)+SUM(E94)-SUM(G94)+SUM(I94),3)</f>
        <v>-62.530999999999999</v>
      </c>
      <c r="L94" s="1287"/>
      <c r="M94" s="1982"/>
    </row>
    <row r="95" spans="1:13">
      <c r="A95" s="313" t="s">
        <v>693</v>
      </c>
      <c r="B95" s="313"/>
      <c r="C95" s="1747">
        <v>9129.7170000000006</v>
      </c>
      <c r="D95" s="312"/>
      <c r="E95" s="1747">
        <v>7044.3329999999996</v>
      </c>
      <c r="F95" s="312"/>
      <c r="G95" s="1747">
        <v>6922.5460000000003</v>
      </c>
      <c r="H95" s="312"/>
      <c r="I95" s="1747">
        <v>-47.295999999999999</v>
      </c>
      <c r="J95" s="312"/>
      <c r="K95" s="1748">
        <f t="shared" si="5"/>
        <v>9204.2080000000005</v>
      </c>
      <c r="L95" s="1287"/>
      <c r="M95" s="1982"/>
    </row>
    <row r="96" spans="1:13">
      <c r="A96" s="313" t="s">
        <v>694</v>
      </c>
      <c r="B96" s="137"/>
      <c r="C96" s="1747">
        <v>-56.119</v>
      </c>
      <c r="D96" s="312"/>
      <c r="E96" s="1747">
        <v>128.17600000000002</v>
      </c>
      <c r="F96" s="312"/>
      <c r="G96" s="1747">
        <v>128.816</v>
      </c>
      <c r="H96" s="312"/>
      <c r="I96" s="1747">
        <v>-3.8639999999999999</v>
      </c>
      <c r="J96" s="312"/>
      <c r="K96" s="1748">
        <f t="shared" si="5"/>
        <v>-60.622999999999998</v>
      </c>
      <c r="L96" s="1287"/>
      <c r="M96" s="1982"/>
    </row>
    <row r="97" spans="1:15">
      <c r="A97" s="313" t="s">
        <v>695</v>
      </c>
      <c r="B97" s="313"/>
      <c r="C97" s="1747">
        <v>685.79499999999996</v>
      </c>
      <c r="D97" s="312"/>
      <c r="E97" s="1747">
        <v>340.85600000000005</v>
      </c>
      <c r="F97" s="312"/>
      <c r="G97" s="1747">
        <v>318.51499999999999</v>
      </c>
      <c r="H97" s="312"/>
      <c r="I97" s="1747">
        <v>6.4950000000000001</v>
      </c>
      <c r="J97" s="312"/>
      <c r="K97" s="1748">
        <f t="shared" si="5"/>
        <v>714.63099999999997</v>
      </c>
      <c r="L97" s="1287"/>
      <c r="M97" s="1982"/>
    </row>
    <row r="98" spans="1:15">
      <c r="A98" s="313" t="s">
        <v>696</v>
      </c>
      <c r="B98" s="313"/>
      <c r="C98" s="1747">
        <v>111.313</v>
      </c>
      <c r="D98" s="312"/>
      <c r="E98" s="1747">
        <v>27.672000000000001</v>
      </c>
      <c r="F98" s="312"/>
      <c r="G98" s="1747">
        <v>36.793999999999997</v>
      </c>
      <c r="H98" s="312"/>
      <c r="I98" s="1747">
        <v>0</v>
      </c>
      <c r="J98" s="312"/>
      <c r="K98" s="1748">
        <f t="shared" si="5"/>
        <v>102.191</v>
      </c>
      <c r="L98" s="1287"/>
      <c r="M98" s="1982"/>
    </row>
    <row r="99" spans="1:15">
      <c r="A99" s="313" t="s">
        <v>697</v>
      </c>
      <c r="B99" s="313"/>
      <c r="C99" s="1747">
        <v>-0.42</v>
      </c>
      <c r="D99" s="312"/>
      <c r="E99" s="1747">
        <v>0</v>
      </c>
      <c r="F99" s="312"/>
      <c r="G99" s="1747">
        <v>0</v>
      </c>
      <c r="H99" s="312"/>
      <c r="I99" s="1747">
        <v>0</v>
      </c>
      <c r="J99" s="312"/>
      <c r="K99" s="1748">
        <f t="shared" si="5"/>
        <v>-0.42</v>
      </c>
      <c r="L99" s="1287"/>
      <c r="M99" s="1982"/>
    </row>
    <row r="100" spans="1:15">
      <c r="A100" s="314" t="s">
        <v>698</v>
      </c>
      <c r="B100" s="313"/>
      <c r="C100" s="1747">
        <v>-5.6440000000000001</v>
      </c>
      <c r="D100" s="312"/>
      <c r="E100" s="1747">
        <v>6.673</v>
      </c>
      <c r="F100" s="312"/>
      <c r="G100" s="1747">
        <v>19.163999999999998</v>
      </c>
      <c r="H100" s="312"/>
      <c r="I100" s="1747">
        <v>0</v>
      </c>
      <c r="J100" s="312"/>
      <c r="K100" s="1748">
        <f t="shared" si="5"/>
        <v>-18.135000000000002</v>
      </c>
      <c r="L100" s="1287"/>
      <c r="M100" s="1982"/>
    </row>
    <row r="101" spans="1:15">
      <c r="A101" s="135" t="s">
        <v>699</v>
      </c>
      <c r="B101" s="313"/>
      <c r="C101" s="1753">
        <f>ROUND(SUM(C94:C100),3)</f>
        <v>9807.9429999999993</v>
      </c>
      <c r="D101" s="139"/>
      <c r="E101" s="1753">
        <f>ROUND(SUM(E94:E100),3)</f>
        <v>7741.7479999999996</v>
      </c>
      <c r="F101" s="139"/>
      <c r="G101" s="1753">
        <f>ROUND(SUM(G94:G100),3)</f>
        <v>7625.5169999999998</v>
      </c>
      <c r="H101" s="139"/>
      <c r="I101" s="1753">
        <f>ROUND(SUM(I94:I100),3)</f>
        <v>-44.853000000000002</v>
      </c>
      <c r="J101" s="139"/>
      <c r="K101" s="1753">
        <f>ROUND(SUM(K94:K100),3)</f>
        <v>9879.3209999999999</v>
      </c>
      <c r="L101" s="1287"/>
      <c r="M101" s="1982"/>
    </row>
    <row r="102" spans="1:15" ht="12" customHeight="1">
      <c r="A102" s="139"/>
      <c r="B102" s="313"/>
      <c r="C102" s="313"/>
      <c r="D102" s="313"/>
      <c r="E102" s="313"/>
      <c r="F102" s="313"/>
      <c r="G102" s="313"/>
      <c r="H102" s="313"/>
      <c r="I102" s="313"/>
      <c r="J102" s="313"/>
      <c r="K102" s="313"/>
      <c r="L102" s="1287"/>
      <c r="M102" s="1982"/>
    </row>
    <row r="103" spans="1:15">
      <c r="A103" s="840" t="s">
        <v>700</v>
      </c>
      <c r="B103" s="313"/>
      <c r="C103" s="1754">
        <f>C101+C91</f>
        <v>21240.749</v>
      </c>
      <c r="D103" s="139"/>
      <c r="E103" s="1754">
        <f>E101+E91</f>
        <v>10971.932999999999</v>
      </c>
      <c r="F103" s="139"/>
      <c r="G103" s="1754">
        <f>G101+G91</f>
        <v>10227.819</v>
      </c>
      <c r="H103" s="139"/>
      <c r="I103" s="1754">
        <f>I101+I91</f>
        <v>374.17599999999999</v>
      </c>
      <c r="J103" s="139"/>
      <c r="K103" s="1754">
        <f>K91+K101</f>
        <v>22359.039000000001</v>
      </c>
      <c r="L103" s="1287"/>
      <c r="M103" s="1982" t="s">
        <v>103</v>
      </c>
    </row>
    <row r="104" spans="1:15" ht="10.5" customHeight="1">
      <c r="A104" s="841"/>
      <c r="B104" s="313"/>
      <c r="C104" s="313"/>
      <c r="D104" s="313"/>
      <c r="E104" s="313"/>
      <c r="F104" s="313"/>
      <c r="G104" s="313"/>
      <c r="H104" s="313"/>
      <c r="I104" s="313"/>
      <c r="J104" s="313"/>
      <c r="K104" s="313"/>
      <c r="L104" s="1287"/>
      <c r="M104" s="1982"/>
    </row>
    <row r="105" spans="1:15" ht="17.25">
      <c r="A105" s="136" t="s">
        <v>543</v>
      </c>
      <c r="B105" s="313"/>
      <c r="C105" s="313"/>
      <c r="D105" s="313"/>
      <c r="E105" s="1750"/>
      <c r="F105" s="1750"/>
      <c r="G105" s="1750"/>
      <c r="H105" s="1750"/>
      <c r="I105" s="1750"/>
      <c r="J105" s="137"/>
      <c r="K105" s="1750"/>
      <c r="L105" s="1287"/>
      <c r="M105" s="1982"/>
    </row>
    <row r="106" spans="1:15">
      <c r="A106" s="313" t="s">
        <v>701</v>
      </c>
      <c r="B106" s="313"/>
      <c r="C106" s="1747">
        <v>0</v>
      </c>
      <c r="D106" s="312"/>
      <c r="E106" s="1747">
        <v>0</v>
      </c>
      <c r="F106" s="312"/>
      <c r="G106" s="1747">
        <v>0</v>
      </c>
      <c r="H106" s="312"/>
      <c r="I106" s="1747">
        <v>0</v>
      </c>
      <c r="J106" s="312"/>
      <c r="K106" s="1748">
        <f t="shared" ref="K106:K111" si="6">ROUND(SUM(C106)+SUM(E106)-SUM(G106)+SUM(I106),3)</f>
        <v>0</v>
      </c>
      <c r="L106" s="1287"/>
      <c r="M106" s="1982"/>
    </row>
    <row r="107" spans="1:15">
      <c r="A107" s="313" t="s">
        <v>702</v>
      </c>
      <c r="B107" s="313"/>
      <c r="C107" s="1747">
        <v>136.46199999999999</v>
      </c>
      <c r="D107" s="312"/>
      <c r="E107" s="1747">
        <v>48.606000000000002</v>
      </c>
      <c r="F107" s="312"/>
      <c r="G107" s="1747">
        <v>0</v>
      </c>
      <c r="H107" s="312"/>
      <c r="I107" s="1747">
        <v>-110.437</v>
      </c>
      <c r="J107" s="312"/>
      <c r="K107" s="1748">
        <f>ROUND(SUM(C107)+SUM(E107)-SUM(G107)+SUM(I107),3)</f>
        <v>74.631</v>
      </c>
      <c r="L107" s="1287"/>
      <c r="M107" s="1982"/>
    </row>
    <row r="108" spans="1:15">
      <c r="A108" s="313" t="s">
        <v>703</v>
      </c>
      <c r="B108" s="313"/>
      <c r="C108" s="1747">
        <v>74.611999999999995</v>
      </c>
      <c r="D108" s="312"/>
      <c r="E108" s="1747">
        <v>2149.9780000000001</v>
      </c>
      <c r="F108" s="312"/>
      <c r="G108" s="1747">
        <v>6.056</v>
      </c>
      <c r="H108" s="312"/>
      <c r="I108" s="1747">
        <v>-2136.8560000000002</v>
      </c>
      <c r="J108" s="312"/>
      <c r="K108" s="1748">
        <f t="shared" si="6"/>
        <v>81.677999999999997</v>
      </c>
      <c r="L108" s="1287"/>
      <c r="M108" s="1982"/>
    </row>
    <row r="109" spans="1:15">
      <c r="A109" s="313" t="s">
        <v>704</v>
      </c>
      <c r="B109" s="313"/>
      <c r="C109" s="1747">
        <v>0</v>
      </c>
      <c r="D109" s="312"/>
      <c r="E109" s="1747">
        <v>0</v>
      </c>
      <c r="F109" s="312"/>
      <c r="G109" s="1747">
        <v>0</v>
      </c>
      <c r="H109" s="312"/>
      <c r="I109" s="1747">
        <v>0</v>
      </c>
      <c r="J109" s="312"/>
      <c r="K109" s="1748">
        <f t="shared" si="6"/>
        <v>0</v>
      </c>
      <c r="L109" s="1287"/>
      <c r="M109" s="1982"/>
    </row>
    <row r="110" spans="1:15">
      <c r="A110" s="313" t="s">
        <v>705</v>
      </c>
      <c r="B110" s="313"/>
      <c r="C110" s="1747">
        <v>9.1920000000000002</v>
      </c>
      <c r="D110" s="312"/>
      <c r="E110" s="1747">
        <v>2.1019999999999999</v>
      </c>
      <c r="F110" s="312"/>
      <c r="G110" s="1747">
        <v>0.86599999999999999</v>
      </c>
      <c r="H110" s="312"/>
      <c r="I110" s="1747">
        <v>-9.4339999999999993</v>
      </c>
      <c r="J110" s="312"/>
      <c r="K110" s="1748">
        <f t="shared" si="6"/>
        <v>0.99399999999999999</v>
      </c>
      <c r="L110" s="1287"/>
      <c r="M110" s="1982"/>
    </row>
    <row r="111" spans="1:15">
      <c r="A111" s="313" t="s">
        <v>706</v>
      </c>
      <c r="B111" s="313"/>
      <c r="C111" s="1747">
        <v>5.3410000000000002</v>
      </c>
      <c r="D111" s="312"/>
      <c r="E111" s="1747">
        <v>94.763000000000005</v>
      </c>
      <c r="F111" s="312"/>
      <c r="G111" s="1747">
        <v>0</v>
      </c>
      <c r="H111" s="312"/>
      <c r="I111" s="1747">
        <v>-91.775000000000006</v>
      </c>
      <c r="J111" s="312"/>
      <c r="K111" s="1748">
        <f t="shared" si="6"/>
        <v>8.3290000000000006</v>
      </c>
      <c r="L111" s="1287"/>
      <c r="M111" s="1982"/>
    </row>
    <row r="112" spans="1:15">
      <c r="A112" s="139" t="s">
        <v>707</v>
      </c>
      <c r="B112" s="842"/>
      <c r="C112" s="1753">
        <f>ROUND(SUM(C106:C111),3)</f>
        <v>225.607</v>
      </c>
      <c r="D112" s="140"/>
      <c r="E112" s="1753">
        <f>ROUND(SUM(E106:E111),3)</f>
        <v>2295.4490000000001</v>
      </c>
      <c r="F112" s="140"/>
      <c r="G112" s="1753">
        <f>ROUND(SUM(G106:G111),3)</f>
        <v>6.9219999999999997</v>
      </c>
      <c r="H112" s="140"/>
      <c r="I112" s="1753">
        <f>ROUND(SUM(I106:I111),3)</f>
        <v>-2348.502</v>
      </c>
      <c r="J112" s="140"/>
      <c r="K112" s="1753">
        <f>ROUND(SUM(K106:K111),3)</f>
        <v>165.63200000000001</v>
      </c>
      <c r="L112" s="1287"/>
      <c r="M112" s="1982" t="s">
        <v>103</v>
      </c>
      <c r="O112" s="1982" t="s">
        <v>103</v>
      </c>
    </row>
    <row r="113" spans="1:13">
      <c r="A113" s="139"/>
      <c r="B113" s="842"/>
      <c r="C113" s="139"/>
      <c r="D113" s="140"/>
      <c r="E113" s="139"/>
      <c r="F113" s="140"/>
      <c r="G113" s="139"/>
      <c r="H113" s="140"/>
      <c r="I113" s="139"/>
      <c r="J113" s="140"/>
      <c r="K113" s="139"/>
      <c r="L113" s="1287"/>
      <c r="M113" s="1982"/>
    </row>
    <row r="114" spans="1:13">
      <c r="A114" s="313"/>
      <c r="B114" s="313"/>
      <c r="C114" s="313"/>
      <c r="D114" s="313"/>
      <c r="E114" s="313"/>
      <c r="F114" s="313"/>
      <c r="G114" s="313"/>
      <c r="H114" s="313"/>
      <c r="I114" s="313"/>
      <c r="J114" s="313"/>
      <c r="K114" s="313" t="s">
        <v>103</v>
      </c>
      <c r="L114" s="1287"/>
      <c r="M114" s="1982"/>
    </row>
    <row r="115" spans="1:13">
      <c r="A115" s="843" t="s">
        <v>708</v>
      </c>
      <c r="B115" s="313"/>
      <c r="K115" s="315"/>
      <c r="L115" s="1287"/>
      <c r="M115" s="1982"/>
    </row>
    <row r="116" spans="1:13">
      <c r="A116" s="313" t="s">
        <v>709</v>
      </c>
      <c r="B116" s="312"/>
      <c r="C116" s="1747">
        <v>0</v>
      </c>
      <c r="D116" s="312"/>
      <c r="E116" s="1747">
        <v>0.152</v>
      </c>
      <c r="F116" s="312"/>
      <c r="G116" s="1747">
        <v>861.23800000000006</v>
      </c>
      <c r="H116" s="312"/>
      <c r="I116" s="1747">
        <v>861.08600000000001</v>
      </c>
      <c r="J116" s="312"/>
      <c r="K116" s="1748">
        <f>ROUND(SUM(C116)+SUM(E116)-SUM(G116)+SUM(I116),3)</f>
        <v>0</v>
      </c>
      <c r="L116" s="1287"/>
      <c r="M116" s="1982"/>
    </row>
    <row r="117" spans="1:13">
      <c r="A117" s="313" t="s">
        <v>710</v>
      </c>
      <c r="B117" s="314"/>
      <c r="C117" s="1747">
        <v>51.8</v>
      </c>
      <c r="D117" s="312"/>
      <c r="E117" s="1747">
        <v>150.756</v>
      </c>
      <c r="F117" s="312"/>
      <c r="G117" s="1747">
        <v>185.339</v>
      </c>
      <c r="H117" s="312"/>
      <c r="I117" s="1747">
        <v>0</v>
      </c>
      <c r="J117" s="2025"/>
      <c r="K117" s="1755">
        <f t="shared" ref="K117:K131" si="7">ROUND(SUM(C117)+SUM(E117)-SUM(G117)+SUM(I117),3)</f>
        <v>17.216999999999999</v>
      </c>
      <c r="L117" s="1287"/>
      <c r="M117" s="1982"/>
    </row>
    <row r="118" spans="1:13">
      <c r="A118" s="313" t="s">
        <v>711</v>
      </c>
      <c r="B118" s="313"/>
      <c r="C118" s="1747">
        <v>142.47</v>
      </c>
      <c r="D118" s="312"/>
      <c r="E118" s="1747">
        <v>0.502</v>
      </c>
      <c r="F118" s="312"/>
      <c r="G118" s="1747">
        <v>9.1690000000000005</v>
      </c>
      <c r="H118" s="312"/>
      <c r="I118" s="1747">
        <v>1.5389999999999999</v>
      </c>
      <c r="J118" s="312"/>
      <c r="K118" s="1748">
        <f t="shared" si="7"/>
        <v>135.34200000000001</v>
      </c>
      <c r="L118" s="1287"/>
      <c r="M118" s="1982"/>
    </row>
    <row r="119" spans="1:13">
      <c r="A119" s="313" t="s">
        <v>712</v>
      </c>
      <c r="B119" s="313"/>
      <c r="C119" s="1747">
        <v>17.526</v>
      </c>
      <c r="D119" s="312"/>
      <c r="E119" s="1747">
        <v>1.0620000000000001</v>
      </c>
      <c r="F119" s="312"/>
      <c r="G119" s="1747">
        <v>0</v>
      </c>
      <c r="H119" s="312"/>
      <c r="I119" s="1747">
        <v>0</v>
      </c>
      <c r="J119" s="312"/>
      <c r="K119" s="1748">
        <f t="shared" si="7"/>
        <v>18.588000000000001</v>
      </c>
      <c r="L119" s="1287"/>
      <c r="M119" s="1982"/>
    </row>
    <row r="120" spans="1:13">
      <c r="A120" s="313" t="s">
        <v>713</v>
      </c>
      <c r="B120" s="313"/>
      <c r="C120" s="1747">
        <v>-246.31</v>
      </c>
      <c r="D120" s="312"/>
      <c r="E120" s="1747">
        <v>0</v>
      </c>
      <c r="F120" s="312"/>
      <c r="G120" s="1747">
        <v>30.481999999999999</v>
      </c>
      <c r="H120" s="312"/>
      <c r="I120" s="1747">
        <v>0</v>
      </c>
      <c r="J120" s="312"/>
      <c r="K120" s="1748">
        <f t="shared" si="7"/>
        <v>-276.79199999999997</v>
      </c>
      <c r="L120" s="1287"/>
      <c r="M120" s="1982"/>
    </row>
    <row r="121" spans="1:13">
      <c r="A121" s="313" t="s">
        <v>714</v>
      </c>
      <c r="B121" s="313"/>
      <c r="C121" s="1747">
        <v>1.7999999999999999E-2</v>
      </c>
      <c r="D121" s="312"/>
      <c r="E121" s="1747">
        <v>0</v>
      </c>
      <c r="F121" s="312"/>
      <c r="G121" s="1747">
        <v>0</v>
      </c>
      <c r="H121" s="312"/>
      <c r="I121" s="1747">
        <v>0</v>
      </c>
      <c r="J121" s="312"/>
      <c r="K121" s="1748">
        <f t="shared" si="7"/>
        <v>1.7999999999999999E-2</v>
      </c>
      <c r="L121" s="1287"/>
      <c r="M121" s="1982"/>
    </row>
    <row r="122" spans="1:13">
      <c r="A122" s="313" t="s">
        <v>715</v>
      </c>
      <c r="B122" s="313"/>
      <c r="C122" s="1747">
        <v>523.93499999999995</v>
      </c>
      <c r="D122" s="312"/>
      <c r="E122" s="1747">
        <v>28.763999999999999</v>
      </c>
      <c r="F122" s="312"/>
      <c r="G122" s="1747">
        <v>33.957000000000001</v>
      </c>
      <c r="H122" s="312"/>
      <c r="I122" s="1747">
        <v>0</v>
      </c>
      <c r="J122" s="312"/>
      <c r="K122" s="1748">
        <f t="shared" si="7"/>
        <v>518.74199999999996</v>
      </c>
      <c r="L122" s="1287"/>
      <c r="M122" s="1982"/>
    </row>
    <row r="123" spans="1:13">
      <c r="A123" s="313" t="s">
        <v>716</v>
      </c>
      <c r="B123" s="313"/>
      <c r="C123" s="1747">
        <v>0</v>
      </c>
      <c r="D123" s="312"/>
      <c r="E123" s="1747">
        <v>0</v>
      </c>
      <c r="F123" s="312"/>
      <c r="G123" s="1747">
        <v>0</v>
      </c>
      <c r="H123" s="312"/>
      <c r="I123" s="1747">
        <v>0</v>
      </c>
      <c r="J123" s="312"/>
      <c r="K123" s="1748">
        <f t="shared" si="7"/>
        <v>0</v>
      </c>
      <c r="L123" s="1287"/>
      <c r="M123" s="1982"/>
    </row>
    <row r="124" spans="1:13">
      <c r="A124" s="313" t="s">
        <v>717</v>
      </c>
      <c r="B124" s="313"/>
      <c r="C124" s="1747">
        <v>0</v>
      </c>
      <c r="D124" s="312"/>
      <c r="E124" s="1747">
        <v>0</v>
      </c>
      <c r="F124" s="312"/>
      <c r="G124" s="1747">
        <v>0</v>
      </c>
      <c r="H124" s="312"/>
      <c r="I124" s="1747">
        <v>0</v>
      </c>
      <c r="J124" s="312"/>
      <c r="K124" s="1748">
        <f t="shared" si="7"/>
        <v>0</v>
      </c>
      <c r="L124" s="1287"/>
      <c r="M124" s="1982"/>
    </row>
    <row r="125" spans="1:13">
      <c r="A125" s="313" t="s">
        <v>718</v>
      </c>
      <c r="B125" s="313"/>
      <c r="C125" s="1747">
        <v>0</v>
      </c>
      <c r="D125" s="312"/>
      <c r="E125" s="1747">
        <v>0</v>
      </c>
      <c r="F125" s="312"/>
      <c r="G125" s="1747">
        <v>0</v>
      </c>
      <c r="H125" s="312"/>
      <c r="I125" s="1747">
        <v>0</v>
      </c>
      <c r="J125" s="312"/>
      <c r="K125" s="1748">
        <f t="shared" si="7"/>
        <v>0</v>
      </c>
      <c r="L125" s="1287"/>
      <c r="M125" s="1982"/>
    </row>
    <row r="126" spans="1:13">
      <c r="A126" s="313" t="s">
        <v>719</v>
      </c>
      <c r="B126" s="313"/>
      <c r="C126" s="1747">
        <v>0</v>
      </c>
      <c r="D126" s="312"/>
      <c r="E126" s="1747">
        <v>0</v>
      </c>
      <c r="F126" s="312"/>
      <c r="G126" s="1747">
        <v>0</v>
      </c>
      <c r="H126" s="312"/>
      <c r="I126" s="1747">
        <v>0</v>
      </c>
      <c r="J126" s="312"/>
      <c r="K126" s="1748">
        <f t="shared" si="7"/>
        <v>0</v>
      </c>
      <c r="L126" s="1287"/>
      <c r="M126" s="1982"/>
    </row>
    <row r="127" spans="1:13">
      <c r="A127" s="313" t="s">
        <v>720</v>
      </c>
      <c r="B127" s="313"/>
      <c r="C127" s="1747">
        <v>0</v>
      </c>
      <c r="D127" s="312"/>
      <c r="E127" s="1747">
        <v>0</v>
      </c>
      <c r="F127" s="312"/>
      <c r="G127" s="1747">
        <v>0</v>
      </c>
      <c r="H127" s="312"/>
      <c r="I127" s="1747">
        <v>0</v>
      </c>
      <c r="J127" s="312"/>
      <c r="K127" s="1748">
        <f t="shared" si="7"/>
        <v>0</v>
      </c>
      <c r="L127" s="1287"/>
      <c r="M127" s="1982"/>
    </row>
    <row r="128" spans="1:13">
      <c r="A128" s="313" t="s">
        <v>721</v>
      </c>
      <c r="B128" s="313"/>
      <c r="C128" s="1747">
        <v>0</v>
      </c>
      <c r="D128" s="312"/>
      <c r="E128" s="1747">
        <v>0</v>
      </c>
      <c r="F128" s="312"/>
      <c r="G128" s="1747">
        <v>0</v>
      </c>
      <c r="H128" s="312"/>
      <c r="I128" s="1747">
        <v>0</v>
      </c>
      <c r="J128" s="312"/>
      <c r="K128" s="1748">
        <f t="shared" si="7"/>
        <v>0</v>
      </c>
      <c r="L128" s="1287"/>
      <c r="M128" s="1982"/>
    </row>
    <row r="129" spans="1:13">
      <c r="A129" s="313" t="s">
        <v>722</v>
      </c>
      <c r="B129" s="313"/>
      <c r="C129" s="1747">
        <v>0</v>
      </c>
      <c r="D129" s="312"/>
      <c r="E129" s="1747">
        <v>0</v>
      </c>
      <c r="F129" s="312"/>
      <c r="G129" s="1747">
        <v>0</v>
      </c>
      <c r="H129" s="312"/>
      <c r="I129" s="1747">
        <v>0</v>
      </c>
      <c r="J129" s="312"/>
      <c r="K129" s="1748">
        <f t="shared" si="7"/>
        <v>0</v>
      </c>
      <c r="L129" s="1287"/>
      <c r="M129" s="1982"/>
    </row>
    <row r="130" spans="1:13">
      <c r="A130" s="313" t="s">
        <v>723</v>
      </c>
      <c r="B130" s="313"/>
      <c r="C130" s="1747">
        <v>0</v>
      </c>
      <c r="D130" s="312"/>
      <c r="E130" s="1747">
        <v>0</v>
      </c>
      <c r="F130" s="312"/>
      <c r="G130" s="1747">
        <v>0</v>
      </c>
      <c r="H130" s="312"/>
      <c r="I130" s="1747">
        <v>0</v>
      </c>
      <c r="J130" s="312"/>
      <c r="K130" s="1748">
        <f t="shared" si="7"/>
        <v>0</v>
      </c>
      <c r="L130" s="1287"/>
      <c r="M130" s="1982"/>
    </row>
    <row r="131" spans="1:13">
      <c r="A131" s="313" t="s">
        <v>724</v>
      </c>
      <c r="B131" s="313"/>
      <c r="C131" s="1747">
        <v>0</v>
      </c>
      <c r="D131" s="312"/>
      <c r="E131" s="1747">
        <v>0</v>
      </c>
      <c r="F131" s="312"/>
      <c r="G131" s="1747">
        <v>0</v>
      </c>
      <c r="H131" s="312"/>
      <c r="I131" s="1747">
        <v>0</v>
      </c>
      <c r="J131" s="312"/>
      <c r="K131" s="1748">
        <f t="shared" si="7"/>
        <v>0</v>
      </c>
      <c r="L131" s="1287"/>
      <c r="M131" s="1982"/>
    </row>
    <row r="132" spans="1:13">
      <c r="A132" s="313" t="s">
        <v>725</v>
      </c>
      <c r="B132" s="313"/>
      <c r="C132" s="1986"/>
      <c r="D132"/>
      <c r="E132" s="1748"/>
      <c r="F132" s="312"/>
      <c r="G132" s="1748"/>
      <c r="H132" s="312"/>
      <c r="I132" s="1748"/>
      <c r="J132" s="313"/>
      <c r="K132" s="1752"/>
      <c r="L132" s="1287"/>
      <c r="M132" s="1982"/>
    </row>
    <row r="133" spans="1:13">
      <c r="A133" s="313" t="s">
        <v>726</v>
      </c>
      <c r="B133" s="313"/>
      <c r="C133" s="1747">
        <v>0</v>
      </c>
      <c r="D133" s="312"/>
      <c r="E133" s="1747">
        <v>0</v>
      </c>
      <c r="F133" s="312"/>
      <c r="G133" s="1747">
        <v>0</v>
      </c>
      <c r="H133" s="312"/>
      <c r="I133" s="1747">
        <v>0</v>
      </c>
      <c r="J133" s="312"/>
      <c r="K133" s="1748">
        <f t="shared" ref="K133:K154" si="8">ROUND(SUM(C133)+SUM(E133)-SUM(G133)+SUM(I133),3)</f>
        <v>0</v>
      </c>
      <c r="L133" s="1287"/>
      <c r="M133" s="1982"/>
    </row>
    <row r="134" spans="1:13">
      <c r="A134" s="313" t="s">
        <v>727</v>
      </c>
      <c r="B134" s="313"/>
      <c r="C134" s="1747">
        <v>0</v>
      </c>
      <c r="D134" s="312"/>
      <c r="E134" s="1747">
        <v>0</v>
      </c>
      <c r="F134" s="312"/>
      <c r="G134" s="1747">
        <v>0</v>
      </c>
      <c r="H134" s="312"/>
      <c r="I134" s="1747">
        <v>0</v>
      </c>
      <c r="J134" s="312"/>
      <c r="K134" s="1748">
        <f t="shared" si="8"/>
        <v>0</v>
      </c>
      <c r="L134" s="1287"/>
      <c r="M134" s="1982"/>
    </row>
    <row r="135" spans="1:13">
      <c r="A135" s="313" t="s">
        <v>728</v>
      </c>
      <c r="B135" s="313"/>
      <c r="C135" s="1747">
        <v>0</v>
      </c>
      <c r="D135" s="312"/>
      <c r="E135" s="1747">
        <v>0</v>
      </c>
      <c r="F135" s="312"/>
      <c r="G135" s="1747">
        <v>0</v>
      </c>
      <c r="H135" s="312"/>
      <c r="I135" s="1747">
        <v>0</v>
      </c>
      <c r="J135" s="312"/>
      <c r="K135" s="1748">
        <f t="shared" si="8"/>
        <v>0</v>
      </c>
      <c r="L135" s="1287"/>
      <c r="M135" s="1982"/>
    </row>
    <row r="136" spans="1:13">
      <c r="A136" s="313" t="s">
        <v>729</v>
      </c>
      <c r="B136" s="313"/>
      <c r="C136" s="1747">
        <v>0</v>
      </c>
      <c r="D136" s="312"/>
      <c r="E136" s="1747">
        <v>0</v>
      </c>
      <c r="F136" s="312"/>
      <c r="G136" s="1747">
        <v>0</v>
      </c>
      <c r="H136" s="312"/>
      <c r="I136" s="1747">
        <v>0</v>
      </c>
      <c r="J136" s="312"/>
      <c r="K136" s="1748">
        <f t="shared" si="8"/>
        <v>0</v>
      </c>
      <c r="L136" s="1287"/>
      <c r="M136" s="1982"/>
    </row>
    <row r="137" spans="1:13">
      <c r="A137" s="313" t="s">
        <v>730</v>
      </c>
      <c r="B137" s="313"/>
      <c r="C137" s="1747">
        <v>0</v>
      </c>
      <c r="D137" s="312"/>
      <c r="E137" s="1747">
        <v>0</v>
      </c>
      <c r="F137" s="312"/>
      <c r="G137" s="1747">
        <v>0</v>
      </c>
      <c r="H137" s="312"/>
      <c r="I137" s="1747">
        <v>0</v>
      </c>
      <c r="J137" s="312"/>
      <c r="K137" s="1748">
        <f>ROUND(SUM(C137)+SUM(E137)-SUM(G137)+SUM(I137),3)</f>
        <v>0</v>
      </c>
      <c r="L137" s="1287"/>
      <c r="M137" s="1982"/>
    </row>
    <row r="138" spans="1:13">
      <c r="A138" s="313" t="s">
        <v>731</v>
      </c>
      <c r="B138" s="313"/>
      <c r="C138" s="1747">
        <v>0</v>
      </c>
      <c r="D138" s="312"/>
      <c r="E138" s="1747">
        <v>0</v>
      </c>
      <c r="F138" s="312"/>
      <c r="G138" s="1747">
        <v>0</v>
      </c>
      <c r="H138" s="312"/>
      <c r="I138" s="1747">
        <v>0</v>
      </c>
      <c r="J138" s="312"/>
      <c r="K138" s="1748">
        <f t="shared" si="8"/>
        <v>0</v>
      </c>
      <c r="L138" s="1287"/>
      <c r="M138" s="1982"/>
    </row>
    <row r="139" spans="1:13">
      <c r="A139" s="313" t="s">
        <v>732</v>
      </c>
      <c r="B139" s="313"/>
      <c r="C139" s="1747">
        <v>0</v>
      </c>
      <c r="D139" s="312"/>
      <c r="E139" s="1747">
        <v>0</v>
      </c>
      <c r="F139" s="312"/>
      <c r="G139" s="1747">
        <v>0</v>
      </c>
      <c r="H139" s="312"/>
      <c r="I139" s="1747">
        <v>0</v>
      </c>
      <c r="J139" s="312"/>
      <c r="K139" s="1748">
        <f t="shared" si="8"/>
        <v>0</v>
      </c>
      <c r="L139" s="1287"/>
      <c r="M139" s="1982"/>
    </row>
    <row r="140" spans="1:13">
      <c r="A140" s="313" t="s">
        <v>733</v>
      </c>
      <c r="B140" s="313"/>
      <c r="C140" s="1747">
        <v>-352.83100000000002</v>
      </c>
      <c r="D140" s="312"/>
      <c r="E140" s="1747">
        <v>211.78899999999999</v>
      </c>
      <c r="F140" s="312"/>
      <c r="G140" s="1747">
        <v>199.203</v>
      </c>
      <c r="H140" s="312"/>
      <c r="I140" s="1747">
        <v>0</v>
      </c>
      <c r="J140" s="312"/>
      <c r="K140" s="1755">
        <f t="shared" si="8"/>
        <v>-340.245</v>
      </c>
      <c r="L140" s="1287"/>
      <c r="M140" s="1982"/>
    </row>
    <row r="141" spans="1:13">
      <c r="A141" s="313" t="s">
        <v>734</v>
      </c>
      <c r="B141" s="313"/>
      <c r="C141" s="1747">
        <v>1.2589999999999999</v>
      </c>
      <c r="D141" s="312"/>
      <c r="E141" s="1747">
        <v>5.0000000000000001E-3</v>
      </c>
      <c r="F141" s="312"/>
      <c r="G141" s="1747">
        <v>0</v>
      </c>
      <c r="H141" s="312"/>
      <c r="I141" s="1747">
        <v>0</v>
      </c>
      <c r="J141" s="312"/>
      <c r="K141" s="1748">
        <f t="shared" si="8"/>
        <v>1.264</v>
      </c>
      <c r="L141" s="1287"/>
      <c r="M141" s="1982"/>
    </row>
    <row r="142" spans="1:13">
      <c r="A142" s="314" t="s">
        <v>735</v>
      </c>
      <c r="B142" s="313"/>
      <c r="C142" s="1747">
        <v>-62.192</v>
      </c>
      <c r="D142" s="312"/>
      <c r="E142" s="1747">
        <v>2.0019999999999998</v>
      </c>
      <c r="F142" s="312"/>
      <c r="G142" s="1747">
        <v>7.97</v>
      </c>
      <c r="H142" s="312"/>
      <c r="I142" s="1747">
        <v>-0.75600000000000001</v>
      </c>
      <c r="J142" s="312"/>
      <c r="K142" s="1748">
        <f t="shared" si="8"/>
        <v>-68.915999999999997</v>
      </c>
      <c r="L142" s="1287"/>
      <c r="M142" s="1982"/>
    </row>
    <row r="143" spans="1:13">
      <c r="A143" s="313" t="s">
        <v>736</v>
      </c>
      <c r="B143" s="313"/>
      <c r="C143" s="1747">
        <v>0.628</v>
      </c>
      <c r="D143" s="312"/>
      <c r="E143" s="1747">
        <v>2E-3</v>
      </c>
      <c r="F143" s="312"/>
      <c r="G143" s="1747">
        <v>0</v>
      </c>
      <c r="H143" s="312"/>
      <c r="I143" s="1747">
        <v>0</v>
      </c>
      <c r="J143" s="312"/>
      <c r="K143" s="1748">
        <f t="shared" si="8"/>
        <v>0.63</v>
      </c>
      <c r="L143" s="1287"/>
      <c r="M143" s="1982"/>
    </row>
    <row r="144" spans="1:13">
      <c r="A144" s="313" t="s">
        <v>737</v>
      </c>
      <c r="B144" s="313"/>
      <c r="C144" s="1747">
        <v>-16.207999999999998</v>
      </c>
      <c r="D144" s="312"/>
      <c r="E144" s="1747">
        <v>0</v>
      </c>
      <c r="F144" s="312"/>
      <c r="G144" s="1747">
        <v>2.3610000000000002</v>
      </c>
      <c r="H144" s="312"/>
      <c r="I144" s="1747">
        <v>0</v>
      </c>
      <c r="J144" s="312"/>
      <c r="K144" s="1748">
        <f t="shared" si="8"/>
        <v>-18.568999999999999</v>
      </c>
      <c r="L144" s="1287"/>
      <c r="M144" s="1982"/>
    </row>
    <row r="145" spans="1:13">
      <c r="A145" s="313" t="s">
        <v>738</v>
      </c>
      <c r="B145" s="313"/>
      <c r="C145" s="1747">
        <v>-12.942</v>
      </c>
      <c r="D145" s="312"/>
      <c r="E145" s="1747">
        <v>0</v>
      </c>
      <c r="F145" s="312"/>
      <c r="G145" s="1747">
        <v>0</v>
      </c>
      <c r="H145" s="312"/>
      <c r="I145" s="1747">
        <v>0</v>
      </c>
      <c r="J145" s="312"/>
      <c r="K145" s="1748">
        <f t="shared" si="8"/>
        <v>-12.942</v>
      </c>
      <c r="L145" s="1287"/>
      <c r="M145" s="1982"/>
    </row>
    <row r="146" spans="1:13">
      <c r="A146" s="313" t="s">
        <v>739</v>
      </c>
      <c r="B146" s="313"/>
      <c r="C146" s="1747">
        <v>-1032.5170000000001</v>
      </c>
      <c r="D146" s="312"/>
      <c r="E146" s="1747">
        <v>0</v>
      </c>
      <c r="F146" s="312"/>
      <c r="G146" s="1747">
        <v>261.27300000000002</v>
      </c>
      <c r="H146" s="312"/>
      <c r="I146" s="1747">
        <v>0</v>
      </c>
      <c r="J146" s="312"/>
      <c r="K146" s="1748">
        <f t="shared" si="8"/>
        <v>-1293.79</v>
      </c>
      <c r="L146" s="1287"/>
      <c r="M146" s="1982"/>
    </row>
    <row r="147" spans="1:13">
      <c r="A147" s="313" t="s">
        <v>740</v>
      </c>
      <c r="B147" s="313"/>
      <c r="C147" s="1747">
        <v>38.613</v>
      </c>
      <c r="D147" s="312"/>
      <c r="E147" s="1747">
        <v>11.636000000000001</v>
      </c>
      <c r="F147" s="312"/>
      <c r="G147" s="1747">
        <v>3.1E-2</v>
      </c>
      <c r="H147" s="312"/>
      <c r="I147" s="1747">
        <v>0</v>
      </c>
      <c r="J147" s="312"/>
      <c r="K147" s="1748">
        <f t="shared" si="8"/>
        <v>50.218000000000004</v>
      </c>
      <c r="L147" s="1287"/>
      <c r="M147" s="1982"/>
    </row>
    <row r="148" spans="1:13">
      <c r="A148" s="313" t="s">
        <v>741</v>
      </c>
      <c r="B148" s="313"/>
      <c r="C148" s="1747">
        <v>-12.016</v>
      </c>
      <c r="D148" s="312"/>
      <c r="E148" s="1747">
        <v>0</v>
      </c>
      <c r="F148" s="312"/>
      <c r="G148" s="1747">
        <v>0</v>
      </c>
      <c r="H148" s="312"/>
      <c r="I148" s="1747">
        <v>0</v>
      </c>
      <c r="J148" s="312"/>
      <c r="K148" s="1748">
        <f t="shared" si="8"/>
        <v>-12.016</v>
      </c>
      <c r="L148" s="1287"/>
      <c r="M148" s="1982"/>
    </row>
    <row r="149" spans="1:13">
      <c r="A149" s="313" t="s">
        <v>742</v>
      </c>
      <c r="B149" s="313"/>
      <c r="C149" s="1747">
        <v>-43.731000000000002</v>
      </c>
      <c r="D149" s="312"/>
      <c r="E149" s="1747">
        <v>7.8570000000000002</v>
      </c>
      <c r="F149" s="312"/>
      <c r="G149" s="1747">
        <v>6.2949999999999999</v>
      </c>
      <c r="H149" s="312"/>
      <c r="I149" s="1747">
        <v>0.81100000000000005</v>
      </c>
      <c r="J149" s="312"/>
      <c r="K149" s="1748">
        <f t="shared" si="8"/>
        <v>-41.357999999999997</v>
      </c>
      <c r="L149" s="1287"/>
      <c r="M149" s="1982"/>
    </row>
    <row r="150" spans="1:13">
      <c r="A150" s="313" t="s">
        <v>743</v>
      </c>
      <c r="B150" s="313"/>
      <c r="C150" s="1747">
        <v>0.123</v>
      </c>
      <c r="D150" s="312"/>
      <c r="E150" s="1747">
        <v>1E-3</v>
      </c>
      <c r="F150" s="312"/>
      <c r="G150" s="1747">
        <v>0</v>
      </c>
      <c r="H150" s="312"/>
      <c r="I150" s="1747">
        <v>0</v>
      </c>
      <c r="J150" s="312"/>
      <c r="K150" s="1748">
        <f t="shared" si="8"/>
        <v>0.124</v>
      </c>
      <c r="L150" s="1287"/>
      <c r="M150" s="1982"/>
    </row>
    <row r="151" spans="1:13">
      <c r="A151" s="313" t="s">
        <v>744</v>
      </c>
      <c r="B151" s="313"/>
      <c r="C151" s="1747">
        <v>-836.03099999999995</v>
      </c>
      <c r="D151" s="312"/>
      <c r="E151" s="1747">
        <v>0.58299999999999996</v>
      </c>
      <c r="F151" s="312"/>
      <c r="G151" s="1747">
        <v>52.323999999999998</v>
      </c>
      <c r="H151" s="312"/>
      <c r="I151" s="1747">
        <v>0</v>
      </c>
      <c r="J151" s="312"/>
      <c r="K151" s="1748">
        <f t="shared" si="8"/>
        <v>-887.77200000000005</v>
      </c>
      <c r="L151" s="1287"/>
      <c r="M151" s="1982"/>
    </row>
    <row r="152" spans="1:13">
      <c r="A152" s="313" t="s">
        <v>745</v>
      </c>
      <c r="B152" s="313"/>
      <c r="C152" s="1747">
        <v>-439.995</v>
      </c>
      <c r="D152" s="312"/>
      <c r="E152" s="1747">
        <v>0.01</v>
      </c>
      <c r="F152" s="312"/>
      <c r="G152" s="1747">
        <v>25.463000000000001</v>
      </c>
      <c r="H152" s="312"/>
      <c r="I152" s="1747">
        <v>0</v>
      </c>
      <c r="J152" s="312"/>
      <c r="K152" s="1748">
        <f t="shared" si="8"/>
        <v>-465.44799999999998</v>
      </c>
      <c r="L152" s="1287"/>
      <c r="M152" s="1982"/>
    </row>
    <row r="153" spans="1:13">
      <c r="A153" s="313" t="s">
        <v>746</v>
      </c>
      <c r="B153" s="313"/>
      <c r="C153" s="1747">
        <v>198.92699999999999</v>
      </c>
      <c r="D153" s="312"/>
      <c r="E153" s="1747">
        <v>0.71299999999999997</v>
      </c>
      <c r="F153" s="312"/>
      <c r="G153" s="1747">
        <v>2.7970000000000002</v>
      </c>
      <c r="H153" s="312"/>
      <c r="I153" s="1747">
        <v>0</v>
      </c>
      <c r="J153" s="312"/>
      <c r="K153" s="1748">
        <f t="shared" si="8"/>
        <v>196.84299999999999</v>
      </c>
      <c r="L153" s="1287"/>
      <c r="M153" s="1982"/>
    </row>
    <row r="154" spans="1:13">
      <c r="A154" s="313" t="s">
        <v>747</v>
      </c>
      <c r="B154" s="313"/>
      <c r="C154" s="1747">
        <v>73.906000000000006</v>
      </c>
      <c r="D154" s="312"/>
      <c r="E154" s="1747">
        <v>0</v>
      </c>
      <c r="F154" s="312"/>
      <c r="G154" s="1747">
        <v>7.3620000000000001</v>
      </c>
      <c r="H154" s="312"/>
      <c r="I154" s="1747">
        <v>0</v>
      </c>
      <c r="J154" s="312"/>
      <c r="K154" s="1748">
        <f t="shared" si="8"/>
        <v>66.543999999999997</v>
      </c>
      <c r="L154" s="1287"/>
      <c r="M154" s="1982"/>
    </row>
    <row r="155" spans="1:13">
      <c r="A155" s="139" t="s">
        <v>748</v>
      </c>
      <c r="B155" s="313"/>
      <c r="C155" s="1753">
        <f>ROUND(SUM(C116:C154),3)</f>
        <v>-2005.568</v>
      </c>
      <c r="D155" s="139"/>
      <c r="E155" s="1753">
        <f>ROUND(SUM(E116:E154),3)</f>
        <v>415.834</v>
      </c>
      <c r="F155" s="139"/>
      <c r="G155" s="1753">
        <f>ROUND(SUM(G116:G154),3)</f>
        <v>1685.2639999999999</v>
      </c>
      <c r="H155" s="139"/>
      <c r="I155" s="1753">
        <f>ROUND(SUM(I116:I154),3)</f>
        <v>862.68</v>
      </c>
      <c r="J155" s="139"/>
      <c r="K155" s="1753">
        <f>ROUND(SUM(K116:K154),3)</f>
        <v>-2412.3180000000002</v>
      </c>
      <c r="L155" s="1287"/>
      <c r="M155" s="1982" t="s">
        <v>103</v>
      </c>
    </row>
    <row r="156" spans="1:13">
      <c r="A156" s="139"/>
      <c r="B156" s="313"/>
      <c r="C156" s="313"/>
      <c r="D156" s="313"/>
      <c r="E156" s="1157"/>
      <c r="F156" s="1157"/>
      <c r="G156" s="1157"/>
      <c r="H156" s="1157"/>
      <c r="I156" s="1157"/>
      <c r="J156" s="313"/>
      <c r="K156" s="313"/>
      <c r="L156" s="1287"/>
      <c r="M156" s="1982"/>
    </row>
    <row r="157" spans="1:13" ht="16.5" thickBot="1">
      <c r="A157" s="139" t="s">
        <v>749</v>
      </c>
      <c r="B157" s="140"/>
      <c r="C157" s="1756">
        <f>ROUND(SUM(C23+C103+C112+C155),3)</f>
        <v>71891.112999999998</v>
      </c>
      <c r="D157" s="140"/>
      <c r="E157" s="1756">
        <f>ROUND(SUM(E23+E103+E112+E155),3)</f>
        <v>16411.264999999999</v>
      </c>
      <c r="F157" s="1757"/>
      <c r="G157" s="1756">
        <f>ROUND(SUM(G23+G103+G112+G155),3)</f>
        <v>20305.611000000001</v>
      </c>
      <c r="H157" s="1757"/>
      <c r="I157" s="1756">
        <f>ROUND(SUM(I23+I103+I112+I155),3)</f>
        <v>-3.0569999999999999</v>
      </c>
      <c r="J157" s="140"/>
      <c r="K157" s="1756">
        <f>ROUND(SUM(K23+K103+K112+K155),3)</f>
        <v>67993.710000000006</v>
      </c>
      <c r="L157" s="2073"/>
      <c r="M157" s="1982" t="s">
        <v>103</v>
      </c>
    </row>
    <row r="158" spans="1:13" ht="16.5"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t="s">
        <v>103</v>
      </c>
    </row>
    <row r="160" spans="1:13">
      <c r="A160" s="138"/>
      <c r="B160" s="313"/>
      <c r="C160" s="313"/>
      <c r="D160" s="313"/>
      <c r="E160" s="1158" t="s">
        <v>103</v>
      </c>
      <c r="F160" s="313"/>
      <c r="G160" s="313" t="s">
        <v>103</v>
      </c>
      <c r="H160" s="313"/>
      <c r="I160" s="1157"/>
      <c r="J160" s="313"/>
      <c r="K160" s="892" t="s">
        <v>103</v>
      </c>
    </row>
    <row r="161" spans="1:11">
      <c r="A161" s="313" t="s">
        <v>103</v>
      </c>
      <c r="B161" s="313"/>
      <c r="C161" s="313"/>
      <c r="D161" s="313"/>
      <c r="E161" s="313"/>
      <c r="F161" s="313"/>
      <c r="G161" s="315" t="s">
        <v>103</v>
      </c>
      <c r="H161" s="313"/>
      <c r="I161" s="313"/>
      <c r="J161" s="313"/>
      <c r="K161" s="313" t="s">
        <v>103</v>
      </c>
    </row>
    <row r="162" spans="1:11">
      <c r="A162" s="313"/>
      <c r="B162" s="313"/>
      <c r="C162" s="313"/>
      <c r="D162" s="313"/>
      <c r="E162" s="313"/>
      <c r="F162" s="313"/>
      <c r="G162" s="313"/>
      <c r="H162" s="313"/>
      <c r="I162" s="313"/>
      <c r="J162" s="313"/>
      <c r="K162" s="313" t="s">
        <v>103</v>
      </c>
    </row>
    <row r="163" spans="1:11">
      <c r="A163" s="317"/>
      <c r="B163" s="313"/>
      <c r="C163" s="313"/>
      <c r="D163" s="313"/>
      <c r="E163" s="313"/>
      <c r="F163" s="313"/>
      <c r="G163" s="313"/>
      <c r="H163" s="313"/>
      <c r="I163" s="318"/>
      <c r="J163" s="313"/>
      <c r="K163" s="313" t="s">
        <v>103</v>
      </c>
    </row>
    <row r="164" spans="1:11">
      <c r="I164" s="1159"/>
      <c r="K164" s="839" t="s">
        <v>103</v>
      </c>
    </row>
    <row r="165" spans="1:11">
      <c r="I165" s="1159"/>
    </row>
    <row r="169" spans="1:11">
      <c r="I169"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88671875" defaultRowHeight="18"/>
  <cols>
    <col min="1" max="1" width="55.88671875" style="697" customWidth="1"/>
    <col min="2" max="2" width="6.109375" style="697" customWidth="1"/>
    <col min="3" max="3" width="20.88671875" style="697" customWidth="1"/>
    <col min="4" max="4" width="1.88671875" style="697" customWidth="1"/>
    <col min="5" max="5" width="20.88671875" style="697" customWidth="1"/>
    <col min="6" max="6" width="1.88671875" style="697" customWidth="1"/>
    <col min="7" max="7" width="20.88671875" style="697" customWidth="1"/>
    <col min="8" max="8" width="1.88671875" style="697" customWidth="1"/>
    <col min="9" max="9" width="20.88671875" style="697" customWidth="1"/>
    <col min="10" max="10" width="1.88671875" style="697" customWidth="1"/>
    <col min="11" max="11" width="20.88671875" style="697" customWidth="1"/>
    <col min="12" max="12" width="1.88671875" style="697" customWidth="1"/>
    <col min="13" max="13" width="9.88671875" style="697" bestFit="1" customWidth="1"/>
    <col min="14" max="16384" width="8.88671875" style="697"/>
  </cols>
  <sheetData>
    <row r="1" spans="1:11">
      <c r="A1" s="270" t="s">
        <v>97</v>
      </c>
    </row>
    <row r="2" spans="1:11">
      <c r="A2" s="850"/>
    </row>
    <row r="3" spans="1:11" s="142" customFormat="1" ht="18" customHeight="1">
      <c r="A3" s="146" t="s">
        <v>98</v>
      </c>
      <c r="B3" s="851"/>
      <c r="C3" s="851"/>
      <c r="D3" s="851"/>
      <c r="E3" s="1160"/>
      <c r="F3" s="1160"/>
      <c r="I3" s="146"/>
      <c r="J3" s="146"/>
      <c r="K3" s="149" t="s">
        <v>750</v>
      </c>
    </row>
    <row r="4" spans="1:11" s="142" customFormat="1" ht="18" customHeight="1">
      <c r="A4" s="146" t="s">
        <v>203</v>
      </c>
      <c r="B4" s="851"/>
      <c r="C4" s="851"/>
      <c r="D4" s="851"/>
      <c r="E4" s="1160"/>
      <c r="F4" s="1160"/>
      <c r="I4" s="146"/>
      <c r="J4" s="146"/>
      <c r="K4" s="146"/>
    </row>
    <row r="5" spans="1:11" s="142" customFormat="1" ht="18" customHeight="1">
      <c r="A5" s="152" t="s">
        <v>751</v>
      </c>
      <c r="B5" s="851"/>
      <c r="C5" s="851"/>
      <c r="D5" s="851"/>
      <c r="E5" s="1160"/>
      <c r="F5" s="1160"/>
      <c r="I5" s="146"/>
      <c r="J5" s="146"/>
      <c r="K5" s="146"/>
    </row>
    <row r="6" spans="1:11" s="142" customFormat="1" ht="18" customHeight="1">
      <c r="A6" s="152" t="s">
        <v>752</v>
      </c>
      <c r="B6" s="851"/>
      <c r="C6" s="851"/>
      <c r="D6" s="851"/>
      <c r="E6" s="1160"/>
      <c r="F6" s="1160"/>
      <c r="I6" s="146"/>
      <c r="J6" s="146"/>
      <c r="K6" s="146"/>
    </row>
    <row r="7" spans="1:11" s="142" customFormat="1" ht="18" customHeight="1">
      <c r="A7" s="152" t="str">
        <f>'Sch 1 '!A7</f>
        <v>FISCAL YEAR 2025-2026</v>
      </c>
      <c r="B7" s="851"/>
      <c r="C7" s="851"/>
      <c r="D7" s="851"/>
      <c r="E7" s="1160"/>
      <c r="F7" s="1160"/>
      <c r="I7" s="146"/>
      <c r="J7" s="146"/>
      <c r="K7" s="146"/>
    </row>
    <row r="8" spans="1:11" s="142" customFormat="1" ht="18" customHeight="1">
      <c r="A8" s="152" t="str">
        <f>'Sch 1 '!A8</f>
        <v>FOR THE MONTH OF NOVEMBER 2025</v>
      </c>
      <c r="B8" s="851"/>
      <c r="C8" s="851"/>
      <c r="D8" s="851"/>
      <c r="E8" s="1160" t="s">
        <v>103</v>
      </c>
      <c r="G8" s="1160"/>
      <c r="I8" s="146"/>
      <c r="J8" s="146"/>
      <c r="K8" s="146"/>
    </row>
    <row r="9" spans="1:11" s="142" customFormat="1" ht="18" customHeight="1">
      <c r="A9" s="146" t="s">
        <v>102</v>
      </c>
      <c r="B9" s="851"/>
      <c r="C9" s="851"/>
      <c r="D9" s="851"/>
      <c r="E9" s="1160"/>
      <c r="F9" s="1160"/>
      <c r="I9" s="146"/>
      <c r="J9" s="146"/>
      <c r="K9" s="146"/>
    </row>
    <row r="10" spans="1:11" s="142" customFormat="1">
      <c r="A10" s="146"/>
      <c r="B10" s="146"/>
      <c r="D10" s="146"/>
    </row>
    <row r="11" spans="1:11" s="142" customFormat="1">
      <c r="A11" s="146"/>
      <c r="B11" s="146"/>
      <c r="C11" s="146"/>
      <c r="D11" s="146"/>
      <c r="E11" s="146"/>
      <c r="F11" s="146"/>
      <c r="G11" s="146"/>
      <c r="H11" s="146"/>
      <c r="I11" s="146"/>
      <c r="J11" s="146"/>
      <c r="K11" s="146"/>
    </row>
    <row r="12" spans="1:11" s="142" customFormat="1">
      <c r="A12" s="146"/>
      <c r="B12" s="146"/>
      <c r="C12" s="162"/>
      <c r="D12" s="146"/>
      <c r="E12" s="146"/>
      <c r="F12" s="146"/>
      <c r="G12" s="146"/>
      <c r="H12" s="146"/>
      <c r="I12" s="162" t="s">
        <v>753</v>
      </c>
      <c r="J12" s="146"/>
      <c r="K12" s="162"/>
    </row>
    <row r="13" spans="1:11" s="142" customFormat="1">
      <c r="A13" s="146"/>
      <c r="B13" s="146"/>
      <c r="C13" s="162" t="s">
        <v>612</v>
      </c>
      <c r="D13" s="146"/>
      <c r="E13" s="146"/>
      <c r="F13" s="146"/>
      <c r="G13" s="146"/>
      <c r="H13" s="146"/>
      <c r="I13" s="162" t="s">
        <v>754</v>
      </c>
      <c r="J13" s="146"/>
      <c r="K13" s="162" t="s">
        <v>612</v>
      </c>
    </row>
    <row r="14" spans="1:11" s="142" customFormat="1">
      <c r="A14" s="161" t="s">
        <v>755</v>
      </c>
      <c r="B14" s="146"/>
      <c r="C14" s="1161" t="str">
        <f>'Sch 1 '!C11</f>
        <v>NOVEMBER 1, 2025</v>
      </c>
      <c r="D14" s="146"/>
      <c r="E14" s="162" t="s">
        <v>614</v>
      </c>
      <c r="F14" s="146"/>
      <c r="G14" s="162" t="s">
        <v>615</v>
      </c>
      <c r="H14" s="146"/>
      <c r="I14" s="162" t="s">
        <v>616</v>
      </c>
      <c r="J14" s="146"/>
      <c r="K14" s="376" t="str">
        <f>'Sch 1 '!K11</f>
        <v>NOVEMBER 30, 2025</v>
      </c>
    </row>
    <row r="15" spans="1:11" s="142" customFormat="1" ht="12" customHeight="1">
      <c r="C15" s="1162"/>
      <c r="E15" s="1094"/>
      <c r="G15" s="1094"/>
      <c r="I15" s="1094"/>
      <c r="K15" s="1094"/>
    </row>
    <row r="16" spans="1:11" s="142" customFormat="1">
      <c r="A16" s="153" t="s">
        <v>593</v>
      </c>
      <c r="E16" s="150"/>
    </row>
    <row r="17" spans="1:12" s="142" customFormat="1" ht="9.6" customHeight="1">
      <c r="E17" s="150"/>
    </row>
    <row r="18" spans="1:12" s="142" customFormat="1" ht="16.5" customHeight="1">
      <c r="A18" s="956" t="s">
        <v>756</v>
      </c>
      <c r="C18" s="1734">
        <v>403.48399999999998</v>
      </c>
      <c r="D18" s="1688"/>
      <c r="E18" s="1734">
        <v>6.423</v>
      </c>
      <c r="F18" s="1688"/>
      <c r="G18" s="1734">
        <v>8.7899999999999991</v>
      </c>
      <c r="H18" s="1688"/>
      <c r="I18" s="1734">
        <v>0</v>
      </c>
      <c r="J18" s="1688"/>
      <c r="K18" s="596">
        <f>ROUND(SUM(C18)+SUM(E18)-SUM(G18)+SUM(I18),3)</f>
        <v>401.11700000000002</v>
      </c>
      <c r="L18" s="301"/>
    </row>
    <row r="19" spans="1:12" s="142" customFormat="1" ht="16.350000000000001" customHeight="1">
      <c r="A19" s="142" t="s">
        <v>757</v>
      </c>
      <c r="B19" s="143"/>
      <c r="C19" s="597">
        <v>0.27100000000000002</v>
      </c>
      <c r="D19" s="595"/>
      <c r="E19" s="597">
        <v>1.6999999999999998E-2</v>
      </c>
      <c r="F19" s="595"/>
      <c r="G19" s="597">
        <v>4.0000000000000001E-3</v>
      </c>
      <c r="H19" s="595"/>
      <c r="I19" s="597">
        <v>0</v>
      </c>
      <c r="J19" s="595"/>
      <c r="K19" s="598">
        <f t="shared" ref="K19:K25" si="0">ROUND(SUM(C19)+SUM(E19)-SUM(G19)+SUM(I19),3)</f>
        <v>0.28399999999999997</v>
      </c>
      <c r="L19" s="301"/>
    </row>
    <row r="20" spans="1:12" s="142" customFormat="1" ht="15.75" customHeight="1">
      <c r="A20" s="142" t="s">
        <v>758</v>
      </c>
      <c r="C20" s="597">
        <v>9.2140000000000004</v>
      </c>
      <c r="D20" s="595"/>
      <c r="E20" s="597">
        <v>0.22600000000000001</v>
      </c>
      <c r="F20" s="595"/>
      <c r="G20" s="597">
        <v>1.036</v>
      </c>
      <c r="H20" s="595"/>
      <c r="I20" s="597">
        <v>0</v>
      </c>
      <c r="J20" s="595"/>
      <c r="K20" s="598">
        <f>ROUND(SUM(C20)+SUM(E20)-SUM(G20)+SUM(I20),3)</f>
        <v>8.4039999999999999</v>
      </c>
      <c r="L20" s="301"/>
    </row>
    <row r="21" spans="1:12" s="142" customFormat="1" ht="16.350000000000001" customHeight="1">
      <c r="A21" s="142" t="s">
        <v>759</v>
      </c>
      <c r="C21" s="597">
        <v>2.6890000000000001</v>
      </c>
      <c r="D21" s="595"/>
      <c r="E21" s="597">
        <v>3.8329999999999997</v>
      </c>
      <c r="F21" s="595"/>
      <c r="G21" s="597">
        <v>3.6070000000000002</v>
      </c>
      <c r="H21" s="595"/>
      <c r="I21" s="597">
        <v>0</v>
      </c>
      <c r="J21" s="595"/>
      <c r="K21" s="598">
        <f t="shared" si="0"/>
        <v>2.915</v>
      </c>
      <c r="L21" s="301"/>
    </row>
    <row r="22" spans="1:12" s="142" customFormat="1" ht="16.350000000000001" customHeight="1">
      <c r="A22" s="142" t="s">
        <v>760</v>
      </c>
      <c r="C22" s="597">
        <v>12.617000000000001</v>
      </c>
      <c r="D22" s="595"/>
      <c r="E22" s="597">
        <v>1.861</v>
      </c>
      <c r="F22" s="595"/>
      <c r="G22" s="597">
        <v>2.6549999999999998</v>
      </c>
      <c r="H22" s="595"/>
      <c r="I22" s="597">
        <v>0</v>
      </c>
      <c r="J22" s="595"/>
      <c r="K22" s="598">
        <f t="shared" si="0"/>
        <v>11.823</v>
      </c>
      <c r="L22" s="301"/>
    </row>
    <row r="23" spans="1:12" s="142" customFormat="1" ht="16.350000000000001" customHeight="1">
      <c r="A23" s="142" t="s">
        <v>761</v>
      </c>
      <c r="C23" s="597">
        <v>1.93</v>
      </c>
      <c r="D23" s="595"/>
      <c r="E23" s="597">
        <v>7.0000000000000001E-3</v>
      </c>
      <c r="F23" s="595"/>
      <c r="G23" s="597">
        <v>0</v>
      </c>
      <c r="H23" s="595"/>
      <c r="I23" s="597">
        <v>0</v>
      </c>
      <c r="J23" s="595"/>
      <c r="K23" s="598">
        <f t="shared" si="0"/>
        <v>1.9370000000000001</v>
      </c>
      <c r="L23" s="301"/>
    </row>
    <row r="24" spans="1:12" s="142" customFormat="1" ht="16.350000000000001" customHeight="1">
      <c r="A24" s="142" t="s">
        <v>762</v>
      </c>
      <c r="C24" s="597">
        <v>2.5219999999999998</v>
      </c>
      <c r="D24" s="595"/>
      <c r="E24" s="597">
        <v>8.9999999999999993E-3</v>
      </c>
      <c r="F24" s="595"/>
      <c r="G24" s="597">
        <v>3.9E-2</v>
      </c>
      <c r="H24" s="595"/>
      <c r="I24" s="597">
        <v>0</v>
      </c>
      <c r="J24" s="595"/>
      <c r="K24" s="598">
        <f t="shared" si="0"/>
        <v>2.492</v>
      </c>
      <c r="L24" s="301"/>
    </row>
    <row r="25" spans="1:12" s="142" customFormat="1" ht="16.350000000000001" customHeight="1">
      <c r="A25" s="142" t="s">
        <v>763</v>
      </c>
      <c r="C25" s="597">
        <v>7.298</v>
      </c>
      <c r="D25" s="595"/>
      <c r="E25" s="597">
        <v>0.14099999999999999</v>
      </c>
      <c r="F25" s="595"/>
      <c r="G25" s="597">
        <v>7.5999999999999998E-2</v>
      </c>
      <c r="H25" s="595"/>
      <c r="I25" s="597">
        <v>0</v>
      </c>
      <c r="J25" s="595"/>
      <c r="K25" s="598">
        <f t="shared" si="0"/>
        <v>7.3630000000000004</v>
      </c>
      <c r="L25" s="301"/>
    </row>
    <row r="26" spans="1:12" s="142" customFormat="1" ht="16.350000000000001" customHeight="1">
      <c r="A26" s="885" t="s">
        <v>764</v>
      </c>
      <c r="C26" s="597">
        <v>105.405</v>
      </c>
      <c r="D26" s="595"/>
      <c r="E26" s="597">
        <v>298.096</v>
      </c>
      <c r="F26" s="595"/>
      <c r="G26" s="597">
        <v>297.44900000000001</v>
      </c>
      <c r="H26" s="595"/>
      <c r="I26" s="597">
        <v>0</v>
      </c>
      <c r="J26" s="595"/>
      <c r="K26" s="598">
        <f>ROUND(SUM(C26)+SUM(E26)-SUM(G26)+SUM(I26),3)</f>
        <v>106.05200000000001</v>
      </c>
      <c r="L26" s="301"/>
    </row>
    <row r="27" spans="1:12" s="142" customFormat="1" ht="16.350000000000001" customHeight="1">
      <c r="A27" s="150" t="s">
        <v>765</v>
      </c>
      <c r="C27" s="597">
        <v>520.90099999999995</v>
      </c>
      <c r="D27" s="595"/>
      <c r="E27" s="597">
        <v>320.8</v>
      </c>
      <c r="F27" s="595"/>
      <c r="G27" s="597">
        <v>261.899</v>
      </c>
      <c r="H27" s="595"/>
      <c r="I27" s="597">
        <v>0</v>
      </c>
      <c r="J27" s="595"/>
      <c r="K27" s="598">
        <f>ROUND(SUM(C27)+SUM(E27)-SUM(G27)+SUM(I27),3)</f>
        <v>579.80200000000002</v>
      </c>
      <c r="L27" s="301"/>
    </row>
    <row r="28" spans="1:12" s="142" customFormat="1" ht="20.100000000000001" customHeight="1">
      <c r="A28" s="146" t="s">
        <v>766</v>
      </c>
      <c r="C28" s="1095">
        <f>ROUND(SUM(C18:C27),3)</f>
        <v>1066.3309999999999</v>
      </c>
      <c r="D28" s="298"/>
      <c r="E28" s="1095">
        <f>ROUND(SUM(E18:E27),3)</f>
        <v>631.41300000000001</v>
      </c>
      <c r="F28" s="298"/>
      <c r="G28" s="1095">
        <f>ROUND(SUM(G18:G27),3)</f>
        <v>575.55499999999995</v>
      </c>
      <c r="H28" s="298"/>
      <c r="I28" s="1095">
        <f>ROUND(SUM(I18:I27),3)</f>
        <v>0</v>
      </c>
      <c r="J28" s="298"/>
      <c r="K28" s="1095">
        <f>ROUND(SUM(K18:K27),3)</f>
        <v>1122.1890000000001</v>
      </c>
      <c r="L28" s="301"/>
    </row>
    <row r="29" spans="1:12" s="142" customFormat="1" ht="15" customHeight="1">
      <c r="C29" s="1096"/>
      <c r="D29" s="144"/>
      <c r="E29" s="1096"/>
      <c r="F29" s="144"/>
      <c r="G29" s="1096"/>
      <c r="H29" s="144"/>
      <c r="I29" s="144"/>
      <c r="J29" s="144"/>
      <c r="K29" s="1096"/>
      <c r="L29" s="301"/>
    </row>
    <row r="30" spans="1:12" s="142" customFormat="1" ht="15" customHeight="1">
      <c r="C30" s="144"/>
      <c r="D30" s="1744" t="s">
        <v>611</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600</v>
      </c>
      <c r="C32" s="144"/>
      <c r="D32" s="144"/>
      <c r="E32" s="144"/>
      <c r="F32" s="144"/>
      <c r="G32" s="144"/>
      <c r="H32" s="144"/>
      <c r="I32" s="144"/>
      <c r="J32" s="144"/>
      <c r="K32" s="144"/>
      <c r="L32" s="301"/>
    </row>
    <row r="33" spans="1:15" s="142" customFormat="1" ht="9.6" customHeight="1">
      <c r="A33" s="153"/>
      <c r="C33" s="144"/>
      <c r="D33" s="144"/>
      <c r="E33" s="144"/>
      <c r="F33" s="144"/>
      <c r="G33" s="144"/>
      <c r="H33" s="144"/>
      <c r="I33" s="144"/>
      <c r="J33" s="144"/>
      <c r="K33" s="144"/>
      <c r="L33" s="301"/>
    </row>
    <row r="34" spans="1:15" s="142" customFormat="1" ht="16.350000000000001" customHeight="1">
      <c r="A34" s="142" t="s">
        <v>767</v>
      </c>
      <c r="C34" s="597">
        <v>34.121000000000002</v>
      </c>
      <c r="D34" s="595"/>
      <c r="E34" s="597">
        <v>36.106000000000002</v>
      </c>
      <c r="F34" s="595"/>
      <c r="G34" s="597">
        <v>42.253</v>
      </c>
      <c r="H34" s="595"/>
      <c r="I34" s="597">
        <v>0.49199999999999999</v>
      </c>
      <c r="J34" s="595"/>
      <c r="K34" s="598">
        <f t="shared" ref="K34:K41" si="1">ROUND(SUM(C34)+SUM(E34)-SUM(G34)+SUM(I34),3)</f>
        <v>28.466000000000001</v>
      </c>
      <c r="L34" s="301"/>
      <c r="M34" s="144"/>
    </row>
    <row r="35" spans="1:15" s="142" customFormat="1" ht="16.350000000000001" customHeight="1">
      <c r="A35" s="142" t="s">
        <v>768</v>
      </c>
      <c r="C35" s="597">
        <v>8.9030000000000005</v>
      </c>
      <c r="D35" s="595"/>
      <c r="E35" s="597">
        <v>25.108000000000001</v>
      </c>
      <c r="F35" s="595"/>
      <c r="G35" s="597">
        <v>15.717000000000001</v>
      </c>
      <c r="H35" s="595"/>
      <c r="I35" s="597">
        <v>2.6019999999999999</v>
      </c>
      <c r="J35" s="595"/>
      <c r="K35" s="598">
        <f t="shared" si="1"/>
        <v>20.896000000000001</v>
      </c>
      <c r="L35" s="301"/>
      <c r="M35" s="144"/>
    </row>
    <row r="36" spans="1:15" s="142" customFormat="1" ht="16.350000000000001" customHeight="1">
      <c r="A36" s="142" t="s">
        <v>769</v>
      </c>
      <c r="C36" s="597">
        <v>0.58199999999999996</v>
      </c>
      <c r="D36" s="595"/>
      <c r="E36" s="597">
        <v>0.1</v>
      </c>
      <c r="F36" s="595"/>
      <c r="G36" s="597">
        <v>3.2000000000000001E-2</v>
      </c>
      <c r="H36" s="595"/>
      <c r="I36" s="597">
        <v>0</v>
      </c>
      <c r="J36" s="595"/>
      <c r="K36" s="598">
        <f t="shared" si="1"/>
        <v>0.65</v>
      </c>
      <c r="L36" s="301"/>
      <c r="M36" s="144"/>
    </row>
    <row r="37" spans="1:15" s="142" customFormat="1" ht="16.350000000000001" customHeight="1">
      <c r="A37" s="142" t="s">
        <v>770</v>
      </c>
      <c r="C37" s="597">
        <v>0.06</v>
      </c>
      <c r="D37" s="595"/>
      <c r="E37" s="597">
        <v>4.0000000000000001E-3</v>
      </c>
      <c r="F37" s="595"/>
      <c r="G37" s="597">
        <v>0</v>
      </c>
      <c r="H37" s="595"/>
      <c r="I37" s="597">
        <v>0</v>
      </c>
      <c r="J37" s="595"/>
      <c r="K37" s="598">
        <f t="shared" si="1"/>
        <v>6.4000000000000001E-2</v>
      </c>
      <c r="L37" s="301"/>
      <c r="M37" s="144"/>
    </row>
    <row r="38" spans="1:15" s="142" customFormat="1" ht="16.350000000000001" customHeight="1">
      <c r="A38" s="142" t="s">
        <v>771</v>
      </c>
      <c r="C38" s="597">
        <v>0.84499999999999997</v>
      </c>
      <c r="D38" s="595"/>
      <c r="E38" s="597">
        <v>4.0000000000000001E-3</v>
      </c>
      <c r="F38" s="595"/>
      <c r="G38" s="597">
        <v>0.13200000000000001</v>
      </c>
      <c r="H38" s="595"/>
      <c r="I38" s="597">
        <v>-3.0000000000000001E-3</v>
      </c>
      <c r="J38" s="595"/>
      <c r="K38" s="598">
        <f t="shared" si="1"/>
        <v>0.71399999999999997</v>
      </c>
      <c r="L38" s="301"/>
      <c r="M38" s="144"/>
    </row>
    <row r="39" spans="1:15" s="142" customFormat="1" ht="16.350000000000001" customHeight="1">
      <c r="A39" s="142" t="s">
        <v>772</v>
      </c>
      <c r="C39" s="597">
        <v>-64.358000000000004</v>
      </c>
      <c r="D39" s="595"/>
      <c r="E39" s="597">
        <v>0</v>
      </c>
      <c r="F39" s="595"/>
      <c r="G39" s="597">
        <v>4.3159999999999998</v>
      </c>
      <c r="H39" s="595"/>
      <c r="I39" s="597">
        <v>-1.6E-2</v>
      </c>
      <c r="J39" s="595"/>
      <c r="K39" s="598">
        <f t="shared" si="1"/>
        <v>-68.69</v>
      </c>
      <c r="L39" s="301"/>
      <c r="M39" s="144" t="s">
        <v>103</v>
      </c>
    </row>
    <row r="40" spans="1:15" s="142" customFormat="1" ht="16.350000000000001" customHeight="1">
      <c r="A40" s="142" t="s">
        <v>773</v>
      </c>
      <c r="C40" s="597">
        <v>-10.78</v>
      </c>
      <c r="D40" s="595"/>
      <c r="E40" s="597">
        <v>14.250999999999999</v>
      </c>
      <c r="F40" s="595"/>
      <c r="G40" s="597">
        <v>1.5760000000000001</v>
      </c>
      <c r="H40" s="595"/>
      <c r="I40" s="597">
        <v>-1.2E-2</v>
      </c>
      <c r="J40" s="595"/>
      <c r="K40" s="598">
        <f t="shared" si="1"/>
        <v>1.883</v>
      </c>
      <c r="L40" s="301"/>
      <c r="M40" s="144" t="s">
        <v>103</v>
      </c>
    </row>
    <row r="41" spans="1:15" s="142" customFormat="1" ht="16.350000000000001" customHeight="1">
      <c r="A41" s="142" t="s">
        <v>774</v>
      </c>
      <c r="C41" s="597">
        <v>7.9790000000000001</v>
      </c>
      <c r="D41" s="595"/>
      <c r="E41" s="597">
        <v>1.4410000000000001</v>
      </c>
      <c r="F41" s="595"/>
      <c r="G41" s="597">
        <v>3.9940000000000002</v>
      </c>
      <c r="H41" s="595"/>
      <c r="I41" s="597">
        <v>-6.0000000000000001E-3</v>
      </c>
      <c r="J41" s="595"/>
      <c r="K41" s="598">
        <f t="shared" si="1"/>
        <v>5.42</v>
      </c>
      <c r="L41" s="301"/>
      <c r="M41" s="144"/>
    </row>
    <row r="42" spans="1:15" s="142" customFormat="1" ht="20.100000000000001" customHeight="1">
      <c r="A42" s="146" t="s">
        <v>775</v>
      </c>
      <c r="C42" s="1095">
        <f>ROUND(SUM(C34:C41),3)</f>
        <v>-22.648</v>
      </c>
      <c r="D42" s="299"/>
      <c r="E42" s="1095">
        <f>ROUND(SUM(E34:E41),3)</f>
        <v>77.013999999999996</v>
      </c>
      <c r="F42" s="299"/>
      <c r="G42" s="1095">
        <f>ROUND(SUM(G34:G41),3)</f>
        <v>68.02</v>
      </c>
      <c r="H42" s="299"/>
      <c r="I42" s="1095">
        <f>ROUND(SUM(I34:I41),3)</f>
        <v>3.0569999999999999</v>
      </c>
      <c r="J42" s="299"/>
      <c r="K42" s="1095">
        <f>ROUND(SUM(K34:K41),3)</f>
        <v>-10.597</v>
      </c>
      <c r="L42" s="301"/>
    </row>
    <row r="43" spans="1:15" s="142" customFormat="1" ht="15" customHeight="1">
      <c r="A43" s="146"/>
      <c r="C43" s="1987"/>
      <c r="D43" s="698"/>
      <c r="E43" s="1097"/>
      <c r="F43" s="698"/>
      <c r="G43" s="1097"/>
      <c r="H43" s="698"/>
      <c r="I43" s="1163"/>
      <c r="J43" s="698"/>
      <c r="K43" s="1097"/>
      <c r="L43" s="301"/>
    </row>
    <row r="44" spans="1:15" s="142" customFormat="1" ht="15" customHeight="1">
      <c r="A44" s="146"/>
      <c r="C44" s="1163"/>
      <c r="D44" s="698"/>
      <c r="E44" s="698"/>
      <c r="F44" s="698"/>
      <c r="G44" s="698" t="s">
        <v>103</v>
      </c>
      <c r="H44" s="698"/>
      <c r="I44" s="1163"/>
      <c r="J44" s="698"/>
      <c r="K44" s="698"/>
      <c r="L44" s="301"/>
    </row>
    <row r="45" spans="1:15" s="142" customFormat="1" ht="20.100000000000001" customHeight="1" thickBot="1">
      <c r="A45" s="146" t="s">
        <v>206</v>
      </c>
      <c r="B45" s="143"/>
      <c r="C45" s="699">
        <f>ROUND(SUM(C42)+SUM(C28),3)</f>
        <v>1043.683</v>
      </c>
      <c r="D45" s="302"/>
      <c r="E45" s="699">
        <f>ROUND(SUM(E42)+SUM(E28),3)</f>
        <v>708.42700000000002</v>
      </c>
      <c r="F45" s="302"/>
      <c r="G45" s="699">
        <f>ROUND(SUM(G42)+SUM(G28),3)</f>
        <v>643.57500000000005</v>
      </c>
      <c r="H45" s="302"/>
      <c r="I45" s="699">
        <f>ROUND(SUM(I42)+SUM(I28),3)</f>
        <v>3.0569999999999999</v>
      </c>
      <c r="J45" s="302"/>
      <c r="K45" s="699">
        <f>ROUND(SUM(K42)+SUM(K28),3)</f>
        <v>1111.5920000000001</v>
      </c>
      <c r="L45" s="301"/>
    </row>
    <row r="46" spans="1:15" s="142" customFormat="1" ht="18.75" thickTop="1">
      <c r="C46" s="700"/>
      <c r="D46" s="698"/>
      <c r="E46" s="700" t="s">
        <v>103</v>
      </c>
      <c r="F46" s="698"/>
      <c r="G46" s="700"/>
      <c r="H46" s="698"/>
      <c r="I46" s="297"/>
      <c r="J46" s="698"/>
      <c r="K46" s="700"/>
    </row>
    <row r="47" spans="1:15" s="142" customFormat="1">
      <c r="A47" s="852"/>
      <c r="B47" s="697"/>
      <c r="C47" s="701"/>
      <c r="D47" s="701"/>
      <c r="E47" s="1164" t="s">
        <v>103</v>
      </c>
      <c r="F47" s="1164"/>
      <c r="G47" s="1165"/>
      <c r="H47" s="1164" t="s">
        <v>103</v>
      </c>
      <c r="I47" s="1166" t="s">
        <v>103</v>
      </c>
      <c r="J47" s="701"/>
      <c r="K47" s="853"/>
      <c r="L47" s="697"/>
      <c r="M47" s="697"/>
      <c r="N47" s="697"/>
      <c r="O47" s="697"/>
    </row>
    <row r="48" spans="1:15" s="142" customFormat="1">
      <c r="A48" s="697"/>
      <c r="B48" s="697"/>
      <c r="C48" s="701"/>
      <c r="D48" s="701"/>
      <c r="E48" s="304" t="s">
        <v>103</v>
      </c>
      <c r="F48" s="304"/>
      <c r="G48" s="304"/>
      <c r="H48" s="304"/>
      <c r="I48" s="304" t="s">
        <v>103</v>
      </c>
      <c r="J48" s="304"/>
      <c r="K48" s="304"/>
      <c r="L48" s="697"/>
      <c r="M48" s="697"/>
      <c r="N48" s="697"/>
      <c r="O48" s="697"/>
    </row>
    <row r="49" spans="1:15" s="142" customFormat="1">
      <c r="A49" s="697"/>
      <c r="B49" s="697"/>
      <c r="C49" s="701"/>
      <c r="D49" s="701"/>
      <c r="E49" s="701" t="s">
        <v>103</v>
      </c>
      <c r="F49" s="701"/>
      <c r="G49" s="1167"/>
      <c r="H49" s="697"/>
      <c r="I49" s="1168" t="s">
        <v>103</v>
      </c>
      <c r="J49" s="701"/>
      <c r="K49" s="701"/>
      <c r="L49" s="697"/>
      <c r="M49" s="697"/>
      <c r="N49" s="697"/>
      <c r="O49" s="697"/>
    </row>
    <row r="50" spans="1:15" s="142" customFormat="1">
      <c r="A50" s="697"/>
      <c r="B50" s="697"/>
      <c r="C50" s="701"/>
      <c r="D50" s="701"/>
      <c r="E50" s="304" t="s">
        <v>103</v>
      </c>
      <c r="F50" s="701"/>
      <c r="G50" s="701"/>
      <c r="H50" s="697"/>
      <c r="I50" s="1168" t="s">
        <v>103</v>
      </c>
      <c r="J50" s="701"/>
      <c r="K50" s="701"/>
      <c r="L50" s="697"/>
      <c r="M50" s="697"/>
      <c r="N50" s="697"/>
      <c r="O50" s="697"/>
    </row>
    <row r="51" spans="1:15" s="142" customFormat="1">
      <c r="A51" s="697"/>
      <c r="B51" s="697"/>
      <c r="C51" s="701"/>
      <c r="D51" s="701"/>
      <c r="E51" s="304" t="s">
        <v>103</v>
      </c>
      <c r="F51" s="701"/>
      <c r="G51" s="701"/>
      <c r="H51" s="697"/>
      <c r="I51" s="1168" t="s">
        <v>103</v>
      </c>
      <c r="J51" s="701"/>
      <c r="K51" s="701"/>
      <c r="L51" s="697"/>
      <c r="M51" s="697"/>
      <c r="N51" s="697"/>
      <c r="O51" s="697"/>
    </row>
    <row r="52" spans="1:15" s="142" customFormat="1">
      <c r="A52" s="697"/>
      <c r="B52" s="697"/>
      <c r="C52" s="701"/>
      <c r="D52" s="701"/>
      <c r="E52" s="701"/>
      <c r="F52" s="701"/>
      <c r="G52" s="701"/>
      <c r="H52" s="697"/>
      <c r="I52" s="1168" t="s">
        <v>103</v>
      </c>
      <c r="J52" s="701"/>
      <c r="K52" s="701"/>
      <c r="L52" s="697"/>
      <c r="M52" s="697"/>
      <c r="N52" s="697"/>
      <c r="O52" s="697"/>
    </row>
    <row r="53" spans="1:15" s="142" customFormat="1">
      <c r="B53" s="697"/>
      <c r="C53" s="701"/>
      <c r="D53" s="701"/>
      <c r="E53" s="701"/>
      <c r="F53" s="701"/>
      <c r="G53" s="701"/>
      <c r="H53" s="697"/>
      <c r="I53" s="1168" t="s">
        <v>103</v>
      </c>
      <c r="J53" s="701"/>
      <c r="K53" s="701"/>
      <c r="L53" s="697"/>
      <c r="M53" s="697"/>
      <c r="N53" s="697"/>
      <c r="O53" s="697"/>
    </row>
    <row r="54" spans="1:15" s="142" customFormat="1">
      <c r="A54" s="697"/>
      <c r="B54" s="697"/>
      <c r="C54" s="701"/>
      <c r="D54" s="701"/>
      <c r="E54" s="701"/>
      <c r="F54" s="701"/>
      <c r="G54" s="701"/>
      <c r="H54" s="697"/>
      <c r="I54" s="697"/>
      <c r="J54" s="701"/>
      <c r="K54" s="701"/>
      <c r="L54" s="697"/>
      <c r="M54" s="697"/>
      <c r="N54" s="697"/>
      <c r="O54" s="697"/>
    </row>
    <row r="55" spans="1:15" s="142" customFormat="1">
      <c r="A55" s="697"/>
      <c r="B55" s="697"/>
      <c r="C55" s="701"/>
      <c r="D55" s="701"/>
      <c r="E55" s="701"/>
      <c r="F55" s="701"/>
      <c r="G55" s="701"/>
      <c r="H55" s="697"/>
      <c r="I55" s="697"/>
      <c r="J55" s="701"/>
      <c r="K55" s="701"/>
      <c r="L55" s="697"/>
      <c r="M55" s="697"/>
      <c r="N55" s="697"/>
      <c r="O55" s="697"/>
    </row>
    <row r="56" spans="1:15" s="142" customFormat="1">
      <c r="A56" s="697"/>
      <c r="B56" s="697"/>
      <c r="C56" s="701"/>
      <c r="D56" s="701"/>
      <c r="E56" s="701"/>
      <c r="F56" s="701"/>
      <c r="G56" s="701"/>
      <c r="H56" s="697"/>
      <c r="I56" s="697"/>
      <c r="J56" s="701"/>
      <c r="K56" s="701"/>
      <c r="L56" s="697"/>
      <c r="M56" s="697"/>
      <c r="N56" s="697"/>
      <c r="O56" s="697"/>
    </row>
    <row r="57" spans="1:15" s="142" customFormat="1">
      <c r="A57" s="697"/>
      <c r="B57" s="697"/>
      <c r="C57" s="701"/>
      <c r="D57" s="701"/>
      <c r="E57" s="701"/>
      <c r="F57" s="701"/>
      <c r="G57" s="701"/>
      <c r="H57" s="697"/>
      <c r="I57" s="697"/>
      <c r="J57" s="701"/>
      <c r="K57" s="701"/>
      <c r="L57" s="697"/>
      <c r="M57" s="697"/>
      <c r="N57" s="697"/>
      <c r="O57" s="697"/>
    </row>
    <row r="58" spans="1:15" s="142" customFormat="1">
      <c r="A58" s="697"/>
      <c r="B58" s="697"/>
      <c r="C58" s="701"/>
      <c r="D58" s="701"/>
      <c r="E58" s="701"/>
      <c r="F58" s="701"/>
      <c r="G58" s="701"/>
      <c r="H58" s="697"/>
      <c r="I58" s="697"/>
      <c r="J58" s="701"/>
      <c r="K58" s="701"/>
      <c r="L58" s="697"/>
      <c r="M58" s="697"/>
      <c r="N58" s="697"/>
      <c r="O58" s="697"/>
    </row>
    <row r="59" spans="1:15" s="142" customFormat="1">
      <c r="A59" s="697"/>
      <c r="B59" s="697"/>
      <c r="C59" s="701"/>
      <c r="D59" s="701"/>
      <c r="E59" s="701"/>
      <c r="F59" s="701"/>
      <c r="G59" s="701"/>
      <c r="H59" s="697"/>
      <c r="I59" s="697"/>
      <c r="J59" s="701"/>
      <c r="K59" s="701"/>
      <c r="L59" s="697"/>
      <c r="M59" s="697"/>
      <c r="N59" s="697"/>
      <c r="O59" s="697"/>
    </row>
    <row r="60" spans="1:15" s="142" customFormat="1">
      <c r="A60" s="697"/>
      <c r="B60" s="697"/>
      <c r="C60" s="701"/>
      <c r="D60" s="701"/>
      <c r="E60" s="701"/>
      <c r="F60" s="701"/>
      <c r="G60" s="701"/>
      <c r="H60" s="697"/>
      <c r="I60" s="697"/>
      <c r="J60" s="701"/>
      <c r="K60" s="701"/>
      <c r="L60" s="697"/>
      <c r="M60" s="697"/>
      <c r="N60" s="697"/>
      <c r="O60" s="697"/>
    </row>
    <row r="61" spans="1:15" s="142" customFormat="1">
      <c r="A61" s="697"/>
      <c r="B61" s="697"/>
      <c r="C61" s="701"/>
      <c r="D61" s="701"/>
      <c r="E61" s="701"/>
      <c r="F61" s="701"/>
      <c r="G61" s="701"/>
      <c r="H61" s="697"/>
      <c r="I61" s="697"/>
      <c r="J61" s="701"/>
      <c r="K61" s="701"/>
      <c r="L61" s="697"/>
      <c r="M61" s="697"/>
      <c r="N61" s="697"/>
      <c r="O61" s="697"/>
    </row>
    <row r="62" spans="1:15" s="142" customFormat="1">
      <c r="A62" s="697"/>
      <c r="B62" s="697"/>
      <c r="C62" s="701"/>
      <c r="D62" s="701"/>
      <c r="E62" s="701"/>
      <c r="F62" s="701"/>
      <c r="G62" s="701"/>
      <c r="H62" s="697"/>
      <c r="I62" s="697"/>
      <c r="J62" s="701"/>
      <c r="K62" s="701"/>
      <c r="L62" s="697"/>
      <c r="M62" s="697"/>
      <c r="N62" s="697"/>
      <c r="O62" s="697"/>
    </row>
    <row r="63" spans="1:15" s="142" customFormat="1">
      <c r="A63" s="697"/>
      <c r="B63" s="697"/>
      <c r="C63" s="701"/>
      <c r="D63" s="701"/>
      <c r="E63" s="701"/>
      <c r="F63" s="701"/>
      <c r="G63" s="701"/>
      <c r="H63" s="697"/>
      <c r="I63" s="697"/>
      <c r="J63" s="701"/>
      <c r="K63" s="701"/>
      <c r="L63" s="697"/>
      <c r="M63" s="697"/>
      <c r="N63" s="697"/>
      <c r="O63" s="697"/>
    </row>
    <row r="64" spans="1:15" s="142" customFormat="1">
      <c r="A64" s="697"/>
      <c r="B64" s="697"/>
      <c r="C64" s="701"/>
      <c r="D64" s="701"/>
      <c r="E64" s="701"/>
      <c r="F64" s="701"/>
      <c r="G64" s="701"/>
      <c r="H64" s="697"/>
      <c r="I64" s="697"/>
      <c r="J64" s="701"/>
      <c r="K64" s="701"/>
      <c r="L64" s="697"/>
      <c r="M64" s="697"/>
      <c r="N64" s="697"/>
      <c r="O64" s="697"/>
    </row>
    <row r="65" spans="1:15" s="142" customFormat="1">
      <c r="A65" s="697"/>
      <c r="B65" s="697"/>
      <c r="C65" s="701"/>
      <c r="D65" s="701"/>
      <c r="E65" s="701"/>
      <c r="F65" s="701"/>
      <c r="G65" s="701"/>
      <c r="H65" s="697"/>
      <c r="I65" s="697"/>
      <c r="J65" s="701"/>
      <c r="K65" s="701"/>
      <c r="L65" s="697"/>
      <c r="M65" s="697"/>
      <c r="N65" s="697"/>
      <c r="O65" s="697"/>
    </row>
    <row r="66" spans="1:15" s="142" customFormat="1">
      <c r="A66" s="697"/>
      <c r="B66" s="697"/>
      <c r="C66" s="701"/>
      <c r="D66" s="701"/>
      <c r="E66" s="701"/>
      <c r="F66" s="701"/>
      <c r="G66" s="701"/>
      <c r="H66" s="697"/>
      <c r="I66" s="697"/>
      <c r="J66" s="701"/>
      <c r="K66" s="701"/>
      <c r="L66" s="697"/>
      <c r="M66" s="697"/>
      <c r="N66" s="697"/>
      <c r="O66" s="697"/>
    </row>
    <row r="67" spans="1:15" s="142" customFormat="1">
      <c r="A67" s="697"/>
      <c r="B67" s="697"/>
      <c r="C67" s="701"/>
      <c r="D67" s="701"/>
      <c r="E67" s="701"/>
      <c r="F67" s="701"/>
      <c r="G67" s="701"/>
      <c r="H67" s="697"/>
      <c r="I67" s="697"/>
      <c r="J67" s="701"/>
      <c r="K67" s="701"/>
      <c r="L67" s="697"/>
      <c r="M67" s="697"/>
      <c r="N67" s="697"/>
      <c r="O67" s="697"/>
    </row>
    <row r="68" spans="1:15" s="142" customFormat="1">
      <c r="A68" s="697"/>
      <c r="B68" s="697"/>
      <c r="C68" s="701"/>
      <c r="D68" s="701"/>
      <c r="E68" s="701"/>
      <c r="F68" s="701"/>
      <c r="G68" s="701"/>
      <c r="H68" s="697"/>
      <c r="I68" s="697"/>
      <c r="J68" s="701"/>
      <c r="K68" s="701"/>
      <c r="L68" s="697"/>
      <c r="M68" s="697"/>
      <c r="N68" s="697"/>
      <c r="O68" s="697"/>
    </row>
    <row r="69" spans="1:15" s="142" customFormat="1">
      <c r="A69" s="697"/>
      <c r="B69" s="697"/>
      <c r="C69" s="701"/>
      <c r="D69" s="701"/>
      <c r="E69" s="701"/>
      <c r="F69" s="701"/>
      <c r="G69" s="701"/>
      <c r="H69" s="697"/>
      <c r="I69" s="697"/>
      <c r="J69" s="701"/>
      <c r="K69" s="701"/>
      <c r="L69" s="697"/>
      <c r="M69" s="697"/>
      <c r="N69" s="697"/>
      <c r="O69" s="697"/>
    </row>
    <row r="70" spans="1:15" s="142" customFormat="1">
      <c r="A70" s="697"/>
      <c r="B70" s="697"/>
      <c r="C70" s="701"/>
      <c r="D70" s="701"/>
      <c r="E70" s="701"/>
      <c r="F70" s="701"/>
      <c r="G70" s="701"/>
      <c r="H70" s="697"/>
      <c r="I70" s="697"/>
      <c r="J70" s="701"/>
      <c r="K70" s="701"/>
      <c r="L70" s="697"/>
      <c r="M70" s="697"/>
      <c r="N70" s="697"/>
      <c r="O70" s="697"/>
    </row>
    <row r="71" spans="1:15" s="142" customFormat="1">
      <c r="A71" s="697"/>
      <c r="B71" s="697"/>
      <c r="C71" s="701"/>
      <c r="D71" s="701"/>
      <c r="E71" s="701"/>
      <c r="F71" s="701"/>
      <c r="G71" s="701"/>
      <c r="H71" s="697"/>
      <c r="I71" s="697"/>
      <c r="J71" s="701"/>
      <c r="K71" s="701"/>
      <c r="L71" s="697"/>
      <c r="M71" s="697"/>
      <c r="N71" s="697"/>
      <c r="O71" s="697"/>
    </row>
    <row r="72" spans="1:15" s="142" customFormat="1">
      <c r="A72" s="697"/>
      <c r="B72" s="697"/>
      <c r="C72" s="701"/>
      <c r="D72" s="701"/>
      <c r="E72" s="701"/>
      <c r="F72" s="701"/>
      <c r="G72" s="701"/>
      <c r="H72" s="697"/>
      <c r="I72" s="697"/>
      <c r="J72" s="701"/>
      <c r="K72" s="701"/>
      <c r="L72" s="697"/>
      <c r="M72" s="697"/>
      <c r="N72" s="697"/>
      <c r="O72" s="697"/>
    </row>
    <row r="73" spans="1:15" s="142" customFormat="1">
      <c r="A73" s="697"/>
      <c r="B73" s="697"/>
      <c r="C73" s="701"/>
      <c r="D73" s="701"/>
      <c r="E73" s="701"/>
      <c r="F73" s="701"/>
      <c r="G73" s="701"/>
      <c r="H73" s="697"/>
      <c r="I73" s="697"/>
      <c r="J73" s="701"/>
      <c r="K73" s="701"/>
      <c r="L73" s="697"/>
      <c r="M73" s="697"/>
      <c r="N73" s="697"/>
      <c r="O73" s="697"/>
    </row>
    <row r="74" spans="1:15" s="142" customFormat="1">
      <c r="A74" s="697"/>
      <c r="B74" s="697"/>
      <c r="C74" s="701"/>
      <c r="D74" s="701"/>
      <c r="E74" s="701"/>
      <c r="F74" s="701"/>
      <c r="G74" s="701"/>
      <c r="H74" s="697"/>
      <c r="I74" s="697"/>
      <c r="J74" s="701"/>
      <c r="K74" s="701"/>
      <c r="L74" s="697"/>
      <c r="M74" s="697"/>
      <c r="N74" s="697"/>
      <c r="O74" s="697"/>
    </row>
    <row r="75" spans="1:15" s="142" customFormat="1">
      <c r="A75" s="697"/>
      <c r="B75" s="697"/>
      <c r="C75" s="701"/>
      <c r="D75" s="701"/>
      <c r="E75" s="701"/>
      <c r="F75" s="701"/>
      <c r="G75" s="701"/>
      <c r="H75" s="697"/>
      <c r="I75" s="697"/>
      <c r="J75" s="701"/>
      <c r="K75" s="701"/>
      <c r="L75" s="697"/>
      <c r="M75" s="697"/>
      <c r="N75" s="697"/>
      <c r="O75" s="697"/>
    </row>
    <row r="76" spans="1:15" s="142" customFormat="1">
      <c r="A76" s="697"/>
      <c r="B76" s="697"/>
      <c r="C76" s="701"/>
      <c r="D76" s="701"/>
      <c r="E76" s="701"/>
      <c r="F76" s="701"/>
      <c r="G76" s="701"/>
      <c r="H76" s="697"/>
      <c r="I76" s="697"/>
      <c r="J76" s="701"/>
      <c r="K76" s="701"/>
      <c r="L76" s="697"/>
      <c r="M76" s="697"/>
      <c r="N76" s="697"/>
      <c r="O76" s="697"/>
    </row>
    <row r="77" spans="1:15" s="142" customFormat="1">
      <c r="A77" s="697"/>
      <c r="B77" s="697"/>
      <c r="C77" s="701"/>
      <c r="D77" s="701"/>
      <c r="E77" s="701"/>
      <c r="F77" s="701"/>
      <c r="G77" s="701"/>
      <c r="H77" s="697"/>
      <c r="I77" s="697"/>
      <c r="J77" s="701"/>
      <c r="K77" s="701"/>
      <c r="L77" s="697"/>
      <c r="M77" s="697"/>
      <c r="N77" s="697"/>
      <c r="O77" s="697"/>
    </row>
    <row r="78" spans="1:15" s="142" customFormat="1">
      <c r="A78" s="697"/>
      <c r="B78" s="697"/>
      <c r="C78" s="701"/>
      <c r="D78" s="701"/>
      <c r="E78" s="701"/>
      <c r="F78" s="701"/>
      <c r="G78" s="701"/>
      <c r="H78" s="697"/>
      <c r="I78" s="697"/>
      <c r="J78" s="701"/>
      <c r="K78" s="701"/>
      <c r="L78" s="697"/>
      <c r="M78" s="697"/>
      <c r="N78" s="697"/>
      <c r="O78" s="697"/>
    </row>
    <row r="79" spans="1:15" s="142" customFormat="1">
      <c r="A79" s="697"/>
      <c r="B79" s="697"/>
      <c r="C79" s="701"/>
      <c r="D79" s="701"/>
      <c r="E79" s="701"/>
      <c r="F79" s="701"/>
      <c r="G79" s="701"/>
      <c r="H79" s="697"/>
      <c r="I79" s="697"/>
      <c r="J79" s="701"/>
      <c r="K79" s="701"/>
      <c r="L79" s="697"/>
      <c r="M79" s="697"/>
      <c r="N79" s="697"/>
      <c r="O79" s="697"/>
    </row>
    <row r="80" spans="1:15" s="142" customFormat="1">
      <c r="A80" s="697"/>
      <c r="B80" s="697"/>
      <c r="C80" s="701"/>
      <c r="D80" s="701"/>
      <c r="E80" s="701"/>
      <c r="F80" s="701"/>
      <c r="G80" s="701"/>
      <c r="H80" s="697"/>
      <c r="I80" s="697"/>
      <c r="J80" s="701"/>
      <c r="K80" s="701"/>
      <c r="L80" s="697"/>
      <c r="M80" s="697"/>
      <c r="N80" s="697"/>
      <c r="O80" s="697"/>
    </row>
    <row r="81" spans="1:15" s="142" customFormat="1">
      <c r="A81" s="697"/>
      <c r="B81" s="697"/>
      <c r="C81" s="701"/>
      <c r="D81" s="701"/>
      <c r="E81" s="701"/>
      <c r="F81" s="701"/>
      <c r="G81" s="701"/>
      <c r="H81" s="697"/>
      <c r="I81" s="697"/>
      <c r="J81" s="701"/>
      <c r="K81" s="701"/>
      <c r="L81" s="697"/>
      <c r="M81" s="697"/>
      <c r="N81" s="697"/>
      <c r="O81" s="697"/>
    </row>
    <row r="82" spans="1:15" s="142" customFormat="1">
      <c r="A82" s="697"/>
      <c r="B82" s="697"/>
      <c r="C82" s="701"/>
      <c r="D82" s="701"/>
      <c r="E82" s="701"/>
      <c r="F82" s="701"/>
      <c r="G82" s="701"/>
      <c r="H82" s="697"/>
      <c r="I82" s="697"/>
      <c r="J82" s="701"/>
      <c r="K82" s="701"/>
      <c r="L82" s="697"/>
      <c r="M82" s="697"/>
      <c r="N82" s="697"/>
      <c r="O82" s="697"/>
    </row>
    <row r="83" spans="1:15" s="142" customFormat="1">
      <c r="A83" s="697"/>
      <c r="B83" s="697"/>
      <c r="C83" s="701"/>
      <c r="D83" s="701"/>
      <c r="E83" s="701"/>
      <c r="F83" s="701"/>
      <c r="G83" s="701"/>
      <c r="H83" s="697"/>
      <c r="I83" s="697"/>
      <c r="J83" s="701"/>
      <c r="K83" s="701"/>
      <c r="L83" s="697"/>
      <c r="M83" s="697"/>
      <c r="N83" s="697"/>
      <c r="O83" s="697"/>
    </row>
    <row r="84" spans="1:15" s="142" customFormat="1">
      <c r="A84" s="697"/>
      <c r="B84" s="697"/>
      <c r="C84" s="701"/>
      <c r="D84" s="701"/>
      <c r="E84" s="701"/>
      <c r="F84" s="701"/>
      <c r="G84" s="701"/>
      <c r="H84" s="697"/>
      <c r="I84" s="697"/>
      <c r="J84" s="701"/>
      <c r="K84" s="701"/>
      <c r="L84" s="697"/>
      <c r="M84" s="697"/>
      <c r="N84" s="697"/>
      <c r="O84" s="697"/>
    </row>
    <row r="85" spans="1:15" s="142" customFormat="1">
      <c r="A85" s="697"/>
      <c r="B85" s="697"/>
      <c r="C85" s="701"/>
      <c r="D85" s="701"/>
      <c r="E85" s="701"/>
      <c r="F85" s="701"/>
      <c r="G85" s="701"/>
      <c r="H85" s="697"/>
      <c r="I85" s="697"/>
      <c r="J85" s="701"/>
      <c r="K85" s="701"/>
      <c r="L85" s="697"/>
      <c r="M85" s="697"/>
      <c r="N85" s="697"/>
      <c r="O85" s="697"/>
    </row>
    <row r="86" spans="1:15" s="142" customFormat="1">
      <c r="A86" s="697"/>
      <c r="B86" s="697"/>
      <c r="C86" s="701"/>
      <c r="D86" s="701"/>
      <c r="E86" s="701"/>
      <c r="F86" s="701"/>
      <c r="G86" s="701"/>
      <c r="H86" s="697"/>
      <c r="I86" s="697"/>
      <c r="J86" s="701"/>
      <c r="K86" s="701"/>
      <c r="L86" s="697"/>
      <c r="M86" s="697"/>
      <c r="N86" s="697"/>
      <c r="O86" s="697"/>
    </row>
    <row r="87" spans="1:15" s="142" customFormat="1">
      <c r="A87" s="697"/>
      <c r="B87" s="697"/>
      <c r="C87" s="701"/>
      <c r="D87" s="701"/>
      <c r="E87" s="701"/>
      <c r="F87" s="701"/>
      <c r="G87" s="701"/>
      <c r="H87" s="697"/>
      <c r="I87" s="697"/>
      <c r="J87" s="701"/>
      <c r="K87" s="701"/>
      <c r="L87" s="697"/>
      <c r="M87" s="697"/>
      <c r="N87" s="697"/>
      <c r="O87" s="697"/>
    </row>
    <row r="88" spans="1:15" s="142" customFormat="1">
      <c r="A88" s="697"/>
      <c r="B88" s="697"/>
      <c r="C88" s="701"/>
      <c r="D88" s="701"/>
      <c r="E88" s="701"/>
      <c r="F88" s="701"/>
      <c r="G88" s="701"/>
      <c r="H88" s="697"/>
      <c r="I88" s="697"/>
      <c r="J88" s="701"/>
      <c r="K88" s="701"/>
      <c r="L88" s="697"/>
      <c r="M88" s="697"/>
      <c r="N88" s="697"/>
      <c r="O88" s="697"/>
    </row>
    <row r="89" spans="1:15" s="142" customFormat="1">
      <c r="A89" s="697"/>
      <c r="B89" s="697"/>
      <c r="C89" s="701"/>
      <c r="D89" s="701"/>
      <c r="E89" s="701"/>
      <c r="F89" s="701"/>
      <c r="G89" s="701"/>
      <c r="H89" s="697"/>
      <c r="I89" s="697"/>
      <c r="J89" s="701"/>
      <c r="K89" s="701"/>
      <c r="L89" s="697"/>
      <c r="M89" s="697"/>
      <c r="N89" s="697"/>
      <c r="O89" s="697"/>
    </row>
    <row r="90" spans="1:15" s="142" customFormat="1">
      <c r="A90" s="697"/>
      <c r="B90" s="697"/>
      <c r="C90" s="701"/>
      <c r="D90" s="701"/>
      <c r="E90" s="701"/>
      <c r="F90" s="701"/>
      <c r="G90" s="701"/>
      <c r="H90" s="697"/>
      <c r="I90" s="697"/>
      <c r="J90" s="701"/>
      <c r="K90" s="701"/>
      <c r="L90" s="697"/>
      <c r="M90" s="697"/>
      <c r="N90" s="697"/>
      <c r="O90" s="697"/>
    </row>
    <row r="91" spans="1:15" s="142" customFormat="1">
      <c r="A91" s="697"/>
      <c r="B91" s="697"/>
      <c r="C91" s="701"/>
      <c r="D91" s="701"/>
      <c r="E91" s="701"/>
      <c r="F91" s="701"/>
      <c r="G91" s="701"/>
      <c r="H91" s="697"/>
      <c r="I91" s="697"/>
      <c r="J91" s="701"/>
      <c r="K91" s="701"/>
      <c r="L91" s="697"/>
      <c r="M91" s="697"/>
      <c r="N91" s="697"/>
      <c r="O91" s="697"/>
    </row>
    <row r="92" spans="1:15" s="142" customFormat="1">
      <c r="A92" s="697"/>
      <c r="B92" s="697"/>
      <c r="C92" s="701"/>
      <c r="D92" s="701"/>
      <c r="E92" s="701"/>
      <c r="F92" s="701"/>
      <c r="G92" s="701"/>
      <c r="H92" s="697"/>
      <c r="I92" s="697"/>
      <c r="J92" s="701"/>
      <c r="K92" s="701"/>
      <c r="L92" s="697"/>
      <c r="M92" s="697"/>
      <c r="N92" s="697"/>
      <c r="O92" s="697"/>
    </row>
    <row r="93" spans="1:15" s="142" customFormat="1">
      <c r="A93" s="697"/>
      <c r="B93" s="697"/>
      <c r="C93" s="701"/>
      <c r="D93" s="701"/>
      <c r="E93" s="701"/>
      <c r="F93" s="701"/>
      <c r="G93" s="701"/>
      <c r="H93" s="697"/>
      <c r="I93" s="697"/>
      <c r="J93" s="701"/>
      <c r="K93" s="701"/>
      <c r="L93" s="697"/>
      <c r="M93" s="697"/>
      <c r="N93" s="697"/>
      <c r="O93" s="697"/>
    </row>
    <row r="94" spans="1:15" s="142" customFormat="1">
      <c r="A94" s="697"/>
      <c r="B94" s="697"/>
      <c r="C94" s="701"/>
      <c r="D94" s="701"/>
      <c r="E94" s="701"/>
      <c r="F94" s="701"/>
      <c r="G94" s="701"/>
      <c r="H94" s="697"/>
      <c r="I94" s="697"/>
      <c r="J94" s="701"/>
      <c r="K94" s="701"/>
      <c r="L94" s="697"/>
      <c r="M94" s="697"/>
      <c r="N94" s="697"/>
      <c r="O94" s="697"/>
    </row>
    <row r="95" spans="1:15" s="142" customFormat="1">
      <c r="A95" s="697"/>
      <c r="B95" s="697"/>
      <c r="C95" s="701"/>
      <c r="D95" s="701"/>
      <c r="E95" s="701"/>
      <c r="F95" s="701"/>
      <c r="G95" s="701"/>
      <c r="H95" s="697"/>
      <c r="I95" s="697"/>
      <c r="J95" s="701"/>
      <c r="K95" s="701"/>
      <c r="L95" s="697"/>
      <c r="M95" s="697"/>
      <c r="N95" s="697"/>
      <c r="O95" s="697"/>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88671875" defaultRowHeight="12.75"/>
  <cols>
    <col min="1" max="1" width="56.109375" style="145" customWidth="1"/>
    <col min="2" max="2" width="6.88671875" style="145" customWidth="1"/>
    <col min="3" max="3" width="9.88671875" style="145" customWidth="1"/>
    <col min="4" max="4" width="20.88671875" style="145" customWidth="1"/>
    <col min="5" max="5" width="1.88671875" style="145" customWidth="1"/>
    <col min="6" max="6" width="20.88671875" style="145" customWidth="1"/>
    <col min="7" max="7" width="1.88671875" style="145" customWidth="1"/>
    <col min="8" max="8" width="20.88671875" style="145" customWidth="1"/>
    <col min="9" max="9" width="1.88671875" style="145" customWidth="1"/>
    <col min="10" max="10" width="20.88671875" style="145" customWidth="1"/>
    <col min="11" max="11" width="1.88671875" style="145" customWidth="1"/>
    <col min="12" max="12" width="20.88671875" style="145" customWidth="1"/>
    <col min="13" max="13" width="2.44140625" style="145" customWidth="1"/>
    <col min="14" max="14" width="9.109375" style="145" bestFit="1" customWidth="1"/>
    <col min="15" max="16384" width="8.88671875" style="145"/>
  </cols>
  <sheetData>
    <row r="1" spans="1:14" ht="15">
      <c r="A1" s="270"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NOVEMBER 2025</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76" t="str">
        <f>'Sch 1 '!C11</f>
        <v>NOVEMBER 1, 2025</v>
      </c>
      <c r="E12" s="146"/>
      <c r="F12" s="162" t="s">
        <v>614</v>
      </c>
      <c r="G12" s="146"/>
      <c r="H12" s="162" t="s">
        <v>615</v>
      </c>
      <c r="I12" s="146"/>
      <c r="J12" s="162" t="s">
        <v>616</v>
      </c>
      <c r="K12" s="146"/>
      <c r="L12" s="376" t="str">
        <f>'Sch 1 '!K11</f>
        <v>NOVEMBER 30, 2025</v>
      </c>
      <c r="M12" s="148"/>
    </row>
    <row r="13" spans="1:14" ht="9.75" customHeight="1">
      <c r="A13" s="146" t="s">
        <v>103</v>
      </c>
      <c r="B13" s="146"/>
      <c r="C13" s="146"/>
      <c r="D13" s="1098" t="s">
        <v>103</v>
      </c>
      <c r="E13" s="146"/>
      <c r="F13" s="1098" t="s">
        <v>103</v>
      </c>
      <c r="G13" s="146"/>
      <c r="H13" s="1098" t="s">
        <v>103</v>
      </c>
      <c r="I13" s="146"/>
      <c r="J13" s="1098" t="s">
        <v>103</v>
      </c>
      <c r="K13" s="146" t="s">
        <v>103</v>
      </c>
      <c r="L13" s="1098"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779</v>
      </c>
      <c r="B16" s="150"/>
      <c r="C16" s="150"/>
      <c r="D16" s="1734">
        <v>-2.3559999999999999</v>
      </c>
      <c r="E16" s="1688"/>
      <c r="F16" s="1734">
        <v>13.659000000000001</v>
      </c>
      <c r="G16" s="1688"/>
      <c r="H16" s="1734">
        <v>13.893000000000001</v>
      </c>
      <c r="I16" s="1688"/>
      <c r="J16" s="1734">
        <v>0</v>
      </c>
      <c r="K16" s="595"/>
      <c r="L16" s="596">
        <f>ROUND(SUM(D16)+SUM(F16)-SUM(H16)+SUM(J16),3)</f>
        <v>-2.59</v>
      </c>
      <c r="M16" s="154"/>
      <c r="N16" s="1743"/>
    </row>
    <row r="17" spans="1:14" ht="15.75" customHeight="1">
      <c r="A17" s="150" t="s">
        <v>780</v>
      </c>
      <c r="B17" s="150"/>
      <c r="C17" s="150"/>
      <c r="D17" s="1988">
        <v>1940.3920000000001</v>
      </c>
      <c r="E17" s="595"/>
      <c r="F17" s="1735">
        <v>6.8710000000000004</v>
      </c>
      <c r="G17" s="595"/>
      <c r="H17" s="1735">
        <v>0</v>
      </c>
      <c r="I17" s="595"/>
      <c r="J17" s="1735">
        <v>0</v>
      </c>
      <c r="K17" s="595"/>
      <c r="L17" s="1736">
        <f>ROUND(SUM(D17)+SUM(F17)-SUM(H17)+SUM(J17),3)</f>
        <v>1947.2629999999999</v>
      </c>
      <c r="M17" s="154"/>
      <c r="N17" s="1743"/>
    </row>
    <row r="18" spans="1:14" ht="20.100000000000001" customHeight="1">
      <c r="A18" s="146" t="s">
        <v>781</v>
      </c>
      <c r="B18" s="150"/>
      <c r="C18" s="150"/>
      <c r="D18" s="298">
        <f>ROUND(SUM(D16:D17),3)</f>
        <v>1938.0360000000001</v>
      </c>
      <c r="E18" s="299"/>
      <c r="F18" s="298">
        <f>ROUND(SUM(F16:F17),3)</f>
        <v>20.53</v>
      </c>
      <c r="G18" s="299"/>
      <c r="H18" s="298">
        <f>ROUND(SUM(H16:H17),3)</f>
        <v>13.893000000000001</v>
      </c>
      <c r="I18" s="299"/>
      <c r="J18" s="1737">
        <f>ROUND(SUM(J16:J17),3)</f>
        <v>0</v>
      </c>
      <c r="K18" s="299"/>
      <c r="L18" s="298">
        <f>ROUND(SUM(L16:L17),3)</f>
        <v>1944.673</v>
      </c>
      <c r="M18" s="155"/>
      <c r="N18" s="1743"/>
    </row>
    <row r="19" spans="1:14" ht="12" customHeight="1">
      <c r="A19" s="146"/>
      <c r="B19" s="150"/>
      <c r="C19" s="150"/>
      <c r="D19" s="1096"/>
      <c r="E19" s="144"/>
      <c r="F19" s="1096"/>
      <c r="G19" s="144"/>
      <c r="H19" s="1096"/>
      <c r="I19" s="144"/>
      <c r="J19" s="144"/>
      <c r="K19" s="144"/>
      <c r="L19" s="1096"/>
      <c r="M19" s="154"/>
      <c r="N19" s="1743"/>
    </row>
    <row r="20" spans="1:14" ht="18" customHeight="1">
      <c r="A20" s="153" t="s">
        <v>606</v>
      </c>
      <c r="B20" s="146"/>
      <c r="C20" s="146"/>
      <c r="D20" s="299"/>
      <c r="E20" s="299"/>
      <c r="F20" s="299"/>
      <c r="G20" s="299"/>
      <c r="H20" s="299"/>
      <c r="I20" s="299"/>
      <c r="J20" s="299"/>
      <c r="K20" s="299"/>
      <c r="L20" s="299"/>
      <c r="M20" s="148"/>
      <c r="N20" s="1743"/>
    </row>
    <row r="21" spans="1:14" ht="7.5" customHeight="1">
      <c r="A21" s="146"/>
      <c r="B21" s="146"/>
      <c r="C21" s="146"/>
      <c r="D21" s="299"/>
      <c r="E21" s="299"/>
      <c r="F21" s="299"/>
      <c r="G21" s="299"/>
      <c r="H21" s="299"/>
      <c r="I21" s="299"/>
      <c r="J21" s="299"/>
      <c r="K21" s="299"/>
      <c r="L21" s="144"/>
      <c r="M21" s="148"/>
      <c r="N21" s="1743"/>
    </row>
    <row r="22" spans="1:14" ht="17.850000000000001" customHeight="1">
      <c r="A22" s="300" t="s">
        <v>782</v>
      </c>
      <c r="B22" s="146"/>
      <c r="C22" s="146"/>
      <c r="D22" s="597">
        <v>27.265999999999998</v>
      </c>
      <c r="E22" s="595"/>
      <c r="F22" s="597">
        <v>9.7000000000000003E-2</v>
      </c>
      <c r="G22" s="595"/>
      <c r="H22" s="597">
        <v>6.8000000000000005E-2</v>
      </c>
      <c r="I22" s="595"/>
      <c r="J22" s="597">
        <v>0</v>
      </c>
      <c r="K22" s="595"/>
      <c r="L22" s="598">
        <f>ROUND(SUM(D22)+SUM(F22)-SUM(H22)+SUM(J22),3)</f>
        <v>27.295000000000002</v>
      </c>
      <c r="M22" s="148"/>
      <c r="N22" s="1743"/>
    </row>
    <row r="23" spans="1:14" ht="16.5" customHeight="1">
      <c r="A23" s="300" t="s">
        <v>783</v>
      </c>
      <c r="B23" s="146"/>
      <c r="C23" s="163"/>
      <c r="D23" s="597">
        <v>4.1159999999999997</v>
      </c>
      <c r="E23" s="595"/>
      <c r="F23" s="597">
        <v>1.4999999999999999E-2</v>
      </c>
      <c r="G23" s="595"/>
      <c r="H23" s="597">
        <v>5.0000000000000001E-3</v>
      </c>
      <c r="I23" s="595"/>
      <c r="J23" s="597">
        <v>0</v>
      </c>
      <c r="K23" s="595"/>
      <c r="L23" s="598">
        <f>ROUND(SUM(D23)+SUM(F23)-SUM(H23)+SUM(J23),3)</f>
        <v>4.1260000000000003</v>
      </c>
      <c r="M23" s="148"/>
      <c r="N23" s="1743"/>
    </row>
    <row r="24" spans="1:14" ht="15.75" customHeight="1">
      <c r="A24" s="300" t="s">
        <v>784</v>
      </c>
      <c r="B24" s="146"/>
      <c r="C24" s="146"/>
      <c r="D24" s="1735">
        <v>14.506</v>
      </c>
      <c r="E24" s="595"/>
      <c r="F24" s="1735">
        <v>0.10299999999999999</v>
      </c>
      <c r="G24" s="595"/>
      <c r="H24" s="1735">
        <v>1.6E-2</v>
      </c>
      <c r="I24" s="595"/>
      <c r="J24" s="1735">
        <v>0</v>
      </c>
      <c r="K24" s="595"/>
      <c r="L24" s="1736">
        <f>ROUND(SUM(D24)+SUM(F24)-SUM(H24)+SUM(J24),3)</f>
        <v>14.593</v>
      </c>
      <c r="M24" s="148"/>
      <c r="N24" s="1743"/>
    </row>
    <row r="25" spans="1:14" ht="20.100000000000001" customHeight="1">
      <c r="A25" s="152" t="s">
        <v>785</v>
      </c>
      <c r="B25" s="146"/>
      <c r="C25" s="163"/>
      <c r="D25" s="1738">
        <f>ROUND(SUM(D22:D24),3)</f>
        <v>45.887999999999998</v>
      </c>
      <c r="E25" s="299"/>
      <c r="F25" s="1738">
        <f>ROUND(SUM(F22:F24),3)</f>
        <v>0.215</v>
      </c>
      <c r="G25" s="299"/>
      <c r="H25" s="1738">
        <f>ROUND(SUM(H22:H24),3)</f>
        <v>8.8999999999999996E-2</v>
      </c>
      <c r="I25" s="299"/>
      <c r="J25" s="1738">
        <f>ROUND(SUM(J22:J24),3)</f>
        <v>0</v>
      </c>
      <c r="K25" s="299"/>
      <c r="L25" s="1738">
        <f>ROUND(SUM(L22:L24),3)</f>
        <v>46.014000000000003</v>
      </c>
      <c r="M25" s="156"/>
      <c r="N25" s="1743"/>
    </row>
    <row r="26" spans="1:14" ht="12" customHeight="1">
      <c r="A26" s="146"/>
      <c r="B26" s="146"/>
      <c r="C26" s="146"/>
      <c r="D26" s="299"/>
      <c r="E26" s="299"/>
      <c r="F26" s="299"/>
      <c r="G26" s="299"/>
      <c r="H26" s="299"/>
      <c r="I26" s="299"/>
      <c r="J26" s="299"/>
      <c r="K26" s="299"/>
      <c r="L26" s="299"/>
      <c r="M26" s="148"/>
      <c r="N26" s="1743"/>
    </row>
    <row r="27" spans="1:14" ht="18">
      <c r="A27" s="153" t="s">
        <v>786</v>
      </c>
      <c r="B27" s="146"/>
      <c r="C27" s="146"/>
      <c r="D27" s="299"/>
      <c r="E27" s="299"/>
      <c r="F27" s="299"/>
      <c r="G27" s="299"/>
      <c r="H27" s="299"/>
      <c r="I27" s="299"/>
      <c r="J27" s="299"/>
      <c r="K27" s="299"/>
      <c r="L27" s="299"/>
      <c r="M27" s="148"/>
      <c r="N27" s="1743"/>
    </row>
    <row r="28" spans="1:14" ht="7.5" customHeight="1">
      <c r="A28" s="150" t="s">
        <v>103</v>
      </c>
      <c r="B28" s="150"/>
      <c r="C28" s="150"/>
      <c r="D28" s="144"/>
      <c r="E28" s="144"/>
      <c r="F28" s="144"/>
      <c r="G28" s="144"/>
      <c r="H28" s="144"/>
      <c r="I28" s="144"/>
      <c r="J28" s="144"/>
      <c r="K28" s="144"/>
      <c r="L28" s="144"/>
      <c r="M28" s="148"/>
      <c r="N28" s="1743"/>
    </row>
    <row r="29" spans="1:14" ht="16.5" customHeight="1">
      <c r="A29" s="150" t="s">
        <v>787</v>
      </c>
      <c r="B29" s="150"/>
      <c r="C29" s="150" t="s">
        <v>103</v>
      </c>
      <c r="D29" s="597">
        <v>6.0090000000000003</v>
      </c>
      <c r="E29" s="595"/>
      <c r="F29" s="597">
        <v>0.75800000000000001</v>
      </c>
      <c r="G29" s="595"/>
      <c r="H29" s="597">
        <v>1.4810000000000001</v>
      </c>
      <c r="I29" s="595"/>
      <c r="J29" s="597">
        <v>0</v>
      </c>
      <c r="K29" s="595"/>
      <c r="L29" s="598">
        <f t="shared" ref="L29:L44" si="0">ROUND(SUM(D29)+SUM(F29)-SUM(H29)+SUM(J29),3)</f>
        <v>5.2859999999999996</v>
      </c>
      <c r="M29" s="154"/>
      <c r="N29" s="1743"/>
    </row>
    <row r="30" spans="1:14" ht="15.75" customHeight="1">
      <c r="A30" s="300" t="s">
        <v>788</v>
      </c>
      <c r="B30" s="150"/>
      <c r="C30" s="150"/>
      <c r="D30" s="597">
        <v>0.745</v>
      </c>
      <c r="E30" s="595"/>
      <c r="F30" s="597">
        <v>3.0000000000000001E-3</v>
      </c>
      <c r="G30" s="595"/>
      <c r="H30" s="597">
        <v>0</v>
      </c>
      <c r="I30" s="595"/>
      <c r="J30" s="597">
        <v>0</v>
      </c>
      <c r="K30" s="595"/>
      <c r="L30" s="598">
        <f t="shared" si="0"/>
        <v>0.748</v>
      </c>
      <c r="M30" s="154"/>
      <c r="N30" s="1743"/>
    </row>
    <row r="31" spans="1:14" ht="16.5" customHeight="1">
      <c r="A31" s="150" t="s">
        <v>789</v>
      </c>
      <c r="B31" s="150"/>
      <c r="C31" s="150"/>
      <c r="D31" s="597">
        <v>1321.874</v>
      </c>
      <c r="E31" s="595"/>
      <c r="F31" s="597">
        <v>1128.348</v>
      </c>
      <c r="G31" s="595"/>
      <c r="H31" s="597">
        <v>1290.405</v>
      </c>
      <c r="I31" s="595"/>
      <c r="J31" s="597">
        <v>0</v>
      </c>
      <c r="K31" s="595"/>
      <c r="L31" s="598">
        <f t="shared" si="0"/>
        <v>1159.817</v>
      </c>
      <c r="M31" s="154"/>
      <c r="N31" s="1743"/>
    </row>
    <row r="32" spans="1:14" ht="16.5" customHeight="1">
      <c r="A32" s="150" t="s">
        <v>790</v>
      </c>
      <c r="B32" s="150"/>
      <c r="C32" s="150" t="s">
        <v>103</v>
      </c>
      <c r="D32" s="597">
        <v>15.443</v>
      </c>
      <c r="E32" s="595"/>
      <c r="F32" s="597">
        <v>122.181</v>
      </c>
      <c r="G32" s="595"/>
      <c r="H32" s="597">
        <v>122.52</v>
      </c>
      <c r="I32" s="595"/>
      <c r="J32" s="597">
        <v>0</v>
      </c>
      <c r="K32" s="595"/>
      <c r="L32" s="598">
        <f>ROUND(SUM(D32)+SUM(F32)-SUM(H32)+SUM(J32),3)</f>
        <v>15.103999999999999</v>
      </c>
      <c r="M32" s="154"/>
      <c r="N32" s="1743"/>
    </row>
    <row r="33" spans="1:14" ht="16.5" customHeight="1">
      <c r="A33" s="150" t="s">
        <v>791</v>
      </c>
      <c r="B33" s="150"/>
      <c r="C33" s="150"/>
      <c r="D33" s="597">
        <v>27.831</v>
      </c>
      <c r="E33" s="595"/>
      <c r="F33" s="597">
        <v>461.85899999999998</v>
      </c>
      <c r="G33" s="595"/>
      <c r="H33" s="597">
        <v>460.387</v>
      </c>
      <c r="I33" s="595"/>
      <c r="J33" s="597">
        <v>0</v>
      </c>
      <c r="K33" s="595"/>
      <c r="L33" s="598">
        <f t="shared" si="0"/>
        <v>29.303000000000001</v>
      </c>
      <c r="M33" s="154"/>
      <c r="N33" s="1743"/>
    </row>
    <row r="34" spans="1:14" ht="16.5" customHeight="1">
      <c r="A34" s="150" t="s">
        <v>792</v>
      </c>
      <c r="B34" s="150"/>
      <c r="C34" s="150" t="s">
        <v>103</v>
      </c>
      <c r="D34" s="597">
        <v>30.306999999999999</v>
      </c>
      <c r="E34" s="595"/>
      <c r="F34" s="597">
        <v>5.7809999999999997</v>
      </c>
      <c r="G34" s="595"/>
      <c r="H34" s="597">
        <v>6.8159999999999998</v>
      </c>
      <c r="I34" s="595"/>
      <c r="J34" s="597">
        <v>0</v>
      </c>
      <c r="K34" s="595"/>
      <c r="L34" s="598">
        <f t="shared" si="0"/>
        <v>29.271999999999998</v>
      </c>
      <c r="M34" s="154"/>
      <c r="N34" s="1743"/>
    </row>
    <row r="35" spans="1:14" ht="15.75" customHeight="1">
      <c r="A35" s="150" t="s">
        <v>793</v>
      </c>
      <c r="B35" s="150"/>
      <c r="C35" s="150"/>
      <c r="D35" s="597">
        <v>2.0790000000000002</v>
      </c>
      <c r="E35" s="595"/>
      <c r="F35" s="597">
        <v>0.81899999999999995</v>
      </c>
      <c r="G35" s="595"/>
      <c r="H35" s="597">
        <v>0.91100000000000003</v>
      </c>
      <c r="I35" s="595"/>
      <c r="J35" s="597">
        <v>0</v>
      </c>
      <c r="K35" s="595"/>
      <c r="L35" s="598">
        <f t="shared" si="0"/>
        <v>1.9870000000000001</v>
      </c>
      <c r="M35" s="154"/>
      <c r="N35" s="1743"/>
    </row>
    <row r="36" spans="1:14" ht="15.75" customHeight="1">
      <c r="A36" s="150" t="s">
        <v>794</v>
      </c>
      <c r="B36" s="150"/>
      <c r="C36" s="150"/>
      <c r="D36" s="597">
        <v>702.31500000000005</v>
      </c>
      <c r="E36" s="595"/>
      <c r="F36" s="597">
        <v>111.804</v>
      </c>
      <c r="G36" s="595"/>
      <c r="H36" s="597">
        <v>103.898</v>
      </c>
      <c r="I36" s="595"/>
      <c r="J36" s="597">
        <v>0</v>
      </c>
      <c r="K36" s="595"/>
      <c r="L36" s="598">
        <f t="shared" si="0"/>
        <v>710.221</v>
      </c>
      <c r="M36" s="158"/>
      <c r="N36" s="1743"/>
    </row>
    <row r="37" spans="1:14" ht="16.5" customHeight="1">
      <c r="A37" s="150" t="s">
        <v>795</v>
      </c>
      <c r="B37" s="150"/>
      <c r="C37" s="150"/>
      <c r="D37" s="597">
        <v>2.1000000000000001E-2</v>
      </c>
      <c r="E37" s="595"/>
      <c r="F37" s="597">
        <v>0</v>
      </c>
      <c r="G37" s="595"/>
      <c r="H37" s="597">
        <v>0</v>
      </c>
      <c r="I37" s="595"/>
      <c r="J37" s="597">
        <v>0</v>
      </c>
      <c r="K37" s="595"/>
      <c r="L37" s="598">
        <f t="shared" si="0"/>
        <v>2.1000000000000001E-2</v>
      </c>
      <c r="M37" s="154"/>
      <c r="N37" s="1743"/>
    </row>
    <row r="38" spans="1:14" ht="16.5" customHeight="1">
      <c r="A38" s="150" t="s">
        <v>796</v>
      </c>
      <c r="B38" s="150"/>
      <c r="C38" s="150"/>
      <c r="D38" s="597">
        <v>1098.6289999999999</v>
      </c>
      <c r="E38" s="595"/>
      <c r="F38" s="597">
        <v>344.43299999999999</v>
      </c>
      <c r="G38" s="595"/>
      <c r="H38" s="597">
        <v>437.80099999999999</v>
      </c>
      <c r="I38" s="595"/>
      <c r="J38" s="597">
        <v>0</v>
      </c>
      <c r="K38" s="595"/>
      <c r="L38" s="598">
        <f t="shared" si="0"/>
        <v>1005.261</v>
      </c>
      <c r="M38" s="154"/>
      <c r="N38" s="1743"/>
    </row>
    <row r="39" spans="1:14" ht="16.5" customHeight="1">
      <c r="A39" s="150" t="s">
        <v>797</v>
      </c>
      <c r="B39" s="150"/>
      <c r="C39" s="150"/>
      <c r="D39" s="597">
        <v>34.167000000000002</v>
      </c>
      <c r="E39" s="595"/>
      <c r="F39" s="597">
        <v>0.77700000000000002</v>
      </c>
      <c r="G39" s="595"/>
      <c r="H39" s="597">
        <v>0.77700000000000002</v>
      </c>
      <c r="I39" s="595"/>
      <c r="J39" s="597">
        <v>0</v>
      </c>
      <c r="K39" s="595"/>
      <c r="L39" s="598">
        <f t="shared" si="0"/>
        <v>34.167000000000002</v>
      </c>
      <c r="M39" s="154"/>
      <c r="N39" s="1743"/>
    </row>
    <row r="40" spans="1:14" ht="16.5" customHeight="1">
      <c r="A40" s="150" t="s">
        <v>798</v>
      </c>
      <c r="B40" s="150"/>
      <c r="C40" s="150"/>
      <c r="D40" s="597">
        <v>291.96600000000001</v>
      </c>
      <c r="E40" s="595"/>
      <c r="F40" s="597">
        <v>9878.9380000000001</v>
      </c>
      <c r="G40" s="595"/>
      <c r="H40" s="597">
        <v>9931.09</v>
      </c>
      <c r="I40" s="595"/>
      <c r="J40" s="597">
        <v>0</v>
      </c>
      <c r="K40" s="595"/>
      <c r="L40" s="598">
        <f t="shared" si="0"/>
        <v>239.81399999999999</v>
      </c>
      <c r="M40" s="154"/>
      <c r="N40" s="1743"/>
    </row>
    <row r="41" spans="1:14" ht="15.75" customHeight="1">
      <c r="A41" s="150" t="s">
        <v>799</v>
      </c>
      <c r="B41" s="150"/>
      <c r="C41" s="150"/>
      <c r="D41" s="597">
        <v>0</v>
      </c>
      <c r="E41" s="595"/>
      <c r="F41" s="597">
        <v>0</v>
      </c>
      <c r="G41" s="595"/>
      <c r="H41" s="597">
        <v>0</v>
      </c>
      <c r="I41" s="595"/>
      <c r="J41" s="597">
        <v>0</v>
      </c>
      <c r="K41" s="595"/>
      <c r="L41" s="598">
        <f t="shared" si="0"/>
        <v>0</v>
      </c>
      <c r="M41" s="154"/>
      <c r="N41" s="1743"/>
    </row>
    <row r="42" spans="1:14" ht="15.75" customHeight="1">
      <c r="A42" s="150" t="s">
        <v>800</v>
      </c>
      <c r="B42" s="150"/>
      <c r="C42" s="150"/>
      <c r="D42" s="597">
        <v>126.319</v>
      </c>
      <c r="E42" s="595"/>
      <c r="F42" s="597">
        <v>-10.683</v>
      </c>
      <c r="G42" s="595"/>
      <c r="H42" s="597">
        <v>0</v>
      </c>
      <c r="I42" s="595"/>
      <c r="J42" s="597">
        <v>0</v>
      </c>
      <c r="K42" s="595"/>
      <c r="L42" s="598">
        <f t="shared" si="0"/>
        <v>115.636</v>
      </c>
      <c r="M42" s="154"/>
      <c r="N42" s="1743"/>
    </row>
    <row r="43" spans="1:14" ht="15.75" customHeight="1">
      <c r="A43" s="150" t="s">
        <v>801</v>
      </c>
      <c r="B43" s="150"/>
      <c r="C43" s="150"/>
      <c r="D43" s="597">
        <v>-3.5049999999999999</v>
      </c>
      <c r="E43" s="595"/>
      <c r="F43" s="597">
        <v>19.533999999999999</v>
      </c>
      <c r="G43" s="595"/>
      <c r="H43" s="597">
        <v>18.888999999999999</v>
      </c>
      <c r="I43" s="595"/>
      <c r="J43" s="597">
        <v>0</v>
      </c>
      <c r="K43" s="595"/>
      <c r="L43" s="598">
        <f t="shared" si="0"/>
        <v>-2.86</v>
      </c>
      <c r="M43" s="154"/>
      <c r="N43" s="1743"/>
    </row>
    <row r="44" spans="1:14" ht="18" customHeight="1">
      <c r="A44" s="150" t="s">
        <v>802</v>
      </c>
      <c r="B44" s="150"/>
      <c r="C44" s="150"/>
      <c r="D44" s="597">
        <v>0</v>
      </c>
      <c r="E44" s="595"/>
      <c r="F44" s="597">
        <v>0</v>
      </c>
      <c r="G44" s="595"/>
      <c r="H44" s="597">
        <v>0</v>
      </c>
      <c r="I44" s="595"/>
      <c r="J44" s="597">
        <v>0</v>
      </c>
      <c r="K44" s="595"/>
      <c r="L44" s="598">
        <f t="shared" si="0"/>
        <v>0</v>
      </c>
      <c r="M44" s="154"/>
      <c r="N44" s="1743"/>
    </row>
    <row r="45" spans="1:14" ht="20.100000000000001" customHeight="1">
      <c r="A45" s="146" t="s">
        <v>803</v>
      </c>
      <c r="B45" s="150"/>
      <c r="C45" s="150"/>
      <c r="D45" s="1739">
        <f>ROUND(SUM(D29:D44),3)</f>
        <v>3654.2</v>
      </c>
      <c r="E45" s="298"/>
      <c r="F45" s="1739">
        <f>ROUND(SUM(F29:F44),3)</f>
        <v>12064.552</v>
      </c>
      <c r="G45" s="298"/>
      <c r="H45" s="1739">
        <f>ROUND(SUM(H29:H44),3)</f>
        <v>12374.975</v>
      </c>
      <c r="I45" s="298"/>
      <c r="J45" s="1739">
        <f>ROUND(SUM(J29:J44),3)</f>
        <v>0</v>
      </c>
      <c r="K45" s="298"/>
      <c r="L45" s="1739">
        <f>ROUND(SUM(L29:L44),3)</f>
        <v>3343.777</v>
      </c>
      <c r="M45" s="155"/>
      <c r="N45" s="1743"/>
    </row>
    <row r="46" spans="1:14" ht="12" customHeight="1">
      <c r="A46" s="146"/>
      <c r="B46" s="150"/>
      <c r="C46" s="150"/>
      <c r="D46" s="1096" t="s">
        <v>103</v>
      </c>
      <c r="E46" s="144"/>
      <c r="F46" s="1096" t="s">
        <v>103</v>
      </c>
      <c r="G46" s="144"/>
      <c r="H46" s="1096" t="s">
        <v>103</v>
      </c>
      <c r="I46" s="144"/>
      <c r="J46" s="144" t="s">
        <v>103</v>
      </c>
      <c r="K46" s="144"/>
      <c r="L46" s="1096" t="s">
        <v>103</v>
      </c>
      <c r="M46" s="154"/>
      <c r="N46" s="1743"/>
    </row>
    <row r="47" spans="1:14" ht="12" customHeight="1">
      <c r="A47" s="146"/>
      <c r="B47" s="150"/>
      <c r="C47" s="150"/>
      <c r="D47" s="301"/>
      <c r="E47" s="301"/>
      <c r="F47" s="301"/>
      <c r="G47" s="301"/>
      <c r="H47" s="301"/>
      <c r="I47" s="301"/>
      <c r="J47" s="301"/>
      <c r="K47" s="301"/>
      <c r="L47" s="301"/>
      <c r="M47" s="154"/>
      <c r="N47" s="1743"/>
    </row>
    <row r="48" spans="1:14" ht="18.75" thickBot="1">
      <c r="A48" s="146" t="s">
        <v>804</v>
      </c>
      <c r="B48" s="150"/>
      <c r="C48" s="163"/>
      <c r="D48" s="1740">
        <f>ROUND(D18+D25+D45,3)</f>
        <v>5638.1239999999998</v>
      </c>
      <c r="E48" s="302"/>
      <c r="F48" s="1740">
        <f>ROUND(F18+F25+F45,3)</f>
        <v>12085.297</v>
      </c>
      <c r="G48" s="302"/>
      <c r="H48" s="1740">
        <f>ROUND(H18+H25+H45,3)</f>
        <v>12388.957</v>
      </c>
      <c r="I48" s="1741"/>
      <c r="J48" s="1740">
        <f>ROUND(J18+J25+J45,3)</f>
        <v>0</v>
      </c>
      <c r="K48" s="302"/>
      <c r="L48" s="1740">
        <f>ROUND(L18+L25+L45,3)</f>
        <v>5334.4639999999999</v>
      </c>
      <c r="M48" s="155"/>
      <c r="N48" s="1743"/>
    </row>
    <row r="49" spans="1:13" ht="12" customHeight="1" thickTop="1">
      <c r="A49" s="150"/>
      <c r="B49" s="150"/>
      <c r="C49" s="150"/>
      <c r="D49" s="1742" t="s">
        <v>103</v>
      </c>
      <c r="E49" s="297"/>
      <c r="F49" s="1742" t="s">
        <v>103</v>
      </c>
      <c r="G49" s="297"/>
      <c r="H49" s="1742" t="s">
        <v>103</v>
      </c>
      <c r="I49" s="297"/>
      <c r="J49" s="297" t="s">
        <v>103</v>
      </c>
      <c r="K49" s="297"/>
      <c r="L49" s="1742"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7"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8">
      <c r="A57" s="150"/>
      <c r="B57" s="150"/>
      <c r="C57" s="150"/>
      <c r="D57" s="150"/>
      <c r="E57" s="150"/>
      <c r="F57" s="150"/>
      <c r="G57" s="150"/>
      <c r="H57" s="150"/>
      <c r="I57" s="150"/>
      <c r="J57" s="150"/>
      <c r="K57" s="150"/>
      <c r="L57" s="150"/>
      <c r="M57" s="150"/>
    </row>
    <row r="58" spans="1:13" ht="18">
      <c r="A58" s="150"/>
      <c r="B58" s="150"/>
      <c r="C58" s="150"/>
      <c r="D58" s="150"/>
      <c r="E58" s="150"/>
      <c r="F58" s="150"/>
      <c r="G58" s="150"/>
      <c r="H58" s="150"/>
      <c r="I58" s="150"/>
      <c r="J58" s="150"/>
      <c r="K58" s="150"/>
      <c r="L58" s="150"/>
      <c r="M58" s="150"/>
    </row>
    <row r="59" spans="1:13" ht="18">
      <c r="A59" s="150"/>
      <c r="B59" s="150"/>
      <c r="C59" s="150"/>
      <c r="D59" s="150"/>
      <c r="E59" s="150"/>
      <c r="F59" s="150"/>
      <c r="G59" s="150"/>
      <c r="H59" s="150"/>
      <c r="I59" s="150"/>
      <c r="J59" s="150"/>
      <c r="K59" s="150"/>
      <c r="L59" s="150"/>
      <c r="M59" s="150"/>
    </row>
    <row r="60" spans="1:13" ht="18">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8">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8">
      <c r="A66" s="150"/>
      <c r="B66" s="150"/>
      <c r="C66" s="150"/>
      <c r="D66" s="150"/>
      <c r="E66" s="150"/>
      <c r="F66" s="150"/>
      <c r="G66" s="150"/>
      <c r="H66" s="150"/>
      <c r="I66" s="150"/>
      <c r="J66" s="150"/>
      <c r="K66" s="150"/>
      <c r="L66" s="150"/>
      <c r="M66" s="150"/>
    </row>
    <row r="67" spans="1:13" ht="20.100000000000001" customHeight="1">
      <c r="A67" s="150"/>
      <c r="B67" s="150"/>
      <c r="C67" s="163"/>
      <c r="D67" s="164"/>
      <c r="E67" s="163"/>
      <c r="F67" s="1169"/>
      <c r="G67" s="163"/>
      <c r="H67" s="1170"/>
      <c r="I67" s="163"/>
      <c r="J67" s="165"/>
      <c r="K67" s="163"/>
      <c r="L67" s="164"/>
      <c r="M67" s="150"/>
    </row>
    <row r="68" spans="1:13" ht="20.100000000000001" customHeight="1">
      <c r="A68" s="150"/>
      <c r="B68" s="150"/>
      <c r="C68" s="150"/>
      <c r="D68" s="164"/>
      <c r="E68" s="150"/>
      <c r="F68" s="150"/>
      <c r="G68" s="150"/>
      <c r="H68" s="1170"/>
      <c r="I68" s="150"/>
      <c r="J68" s="165"/>
      <c r="K68" s="150"/>
      <c r="L68" s="164"/>
      <c r="M68" s="150"/>
    </row>
    <row r="69" spans="1:13" ht="20.100000000000001" customHeight="1">
      <c r="A69" s="150"/>
      <c r="B69" s="150"/>
      <c r="C69" s="150"/>
      <c r="D69" s="164"/>
      <c r="E69" s="150"/>
      <c r="F69" s="150"/>
      <c r="G69" s="150"/>
      <c r="H69" s="1171"/>
      <c r="I69" s="150"/>
      <c r="J69" s="165"/>
      <c r="K69" s="150"/>
      <c r="L69" s="164"/>
      <c r="M69" s="150"/>
    </row>
    <row r="70" spans="1:13" ht="20.100000000000001" customHeight="1">
      <c r="A70" s="150"/>
      <c r="B70" s="150"/>
      <c r="C70" s="150"/>
      <c r="D70" s="164"/>
      <c r="E70" s="150"/>
      <c r="F70" s="150"/>
      <c r="G70" s="150"/>
      <c r="H70" s="1170"/>
      <c r="I70" s="150"/>
      <c r="J70" s="165"/>
      <c r="K70" s="150"/>
      <c r="L70" s="164"/>
      <c r="M70" s="150"/>
    </row>
    <row r="71" spans="1:13" ht="20.100000000000001" customHeight="1">
      <c r="A71" s="150"/>
      <c r="B71" s="150"/>
      <c r="C71" s="150"/>
      <c r="D71" s="164"/>
      <c r="E71" s="150"/>
      <c r="F71" s="150"/>
      <c r="G71" s="150"/>
      <c r="H71" s="1170"/>
      <c r="I71" s="150"/>
      <c r="J71" s="165"/>
      <c r="K71" s="150"/>
      <c r="L71" s="164"/>
      <c r="M71" s="150"/>
    </row>
    <row r="72" spans="1:13" ht="20.100000000000001" customHeight="1">
      <c r="A72" s="150"/>
      <c r="B72" s="150"/>
      <c r="C72" s="150"/>
      <c r="D72" s="164"/>
      <c r="E72" s="150"/>
      <c r="F72" s="150"/>
      <c r="G72" s="150"/>
      <c r="H72" s="1172"/>
      <c r="I72" s="150"/>
      <c r="J72" s="165"/>
      <c r="K72" s="150"/>
      <c r="L72" s="164"/>
      <c r="M72" s="150"/>
    </row>
    <row r="73" spans="1:13" ht="18">
      <c r="A73" s="304"/>
      <c r="B73" s="150"/>
      <c r="C73" s="150"/>
      <c r="D73" s="150"/>
      <c r="E73" s="150"/>
      <c r="F73" s="150"/>
      <c r="G73" s="150"/>
      <c r="H73" s="150"/>
      <c r="I73" s="150"/>
      <c r="J73" s="150"/>
      <c r="K73" s="150"/>
      <c r="L73" s="150"/>
      <c r="M73" s="150"/>
    </row>
    <row r="74" spans="1:13" ht="18">
      <c r="A74" s="166"/>
      <c r="B74" s="150"/>
      <c r="C74" s="150"/>
      <c r="D74" s="150"/>
      <c r="E74" s="150"/>
      <c r="F74" s="150"/>
      <c r="G74" s="150"/>
      <c r="H74" s="150"/>
      <c r="I74" s="150"/>
      <c r="J74" s="150"/>
      <c r="K74" s="150"/>
      <c r="L74" s="150"/>
      <c r="M74" s="150"/>
    </row>
    <row r="75" spans="1:13" ht="18">
      <c r="A75" s="150"/>
      <c r="B75" s="150"/>
      <c r="C75" s="150"/>
      <c r="D75" s="150"/>
      <c r="E75" s="150"/>
      <c r="F75" s="150"/>
      <c r="G75" s="150"/>
      <c r="H75" s="150"/>
      <c r="I75" s="150"/>
      <c r="J75" s="150"/>
      <c r="K75" s="150"/>
      <c r="L75" s="150"/>
      <c r="M75" s="150"/>
    </row>
    <row r="76" spans="1:13" ht="18">
      <c r="A76" s="150"/>
      <c r="B76" s="150"/>
      <c r="C76" s="150"/>
      <c r="D76" s="150"/>
      <c r="E76" s="150"/>
      <c r="F76" s="150"/>
      <c r="G76" s="150"/>
      <c r="H76" s="150"/>
      <c r="I76" s="150"/>
      <c r="J76" s="150"/>
      <c r="K76" s="150"/>
      <c r="L76" s="150"/>
      <c r="M76" s="150"/>
    </row>
    <row r="77" spans="1:13" ht="18">
      <c r="A77" s="150"/>
      <c r="B77" s="150"/>
      <c r="C77" s="150"/>
      <c r="D77" s="150"/>
      <c r="E77" s="150"/>
      <c r="F77" s="150"/>
      <c r="G77" s="150"/>
      <c r="H77" s="150"/>
      <c r="I77" s="150"/>
      <c r="J77" s="150"/>
      <c r="K77" s="150"/>
      <c r="L77" s="150"/>
      <c r="M77" s="150"/>
    </row>
    <row r="78" spans="1:13" ht="18">
      <c r="A78" s="150"/>
      <c r="B78" s="150"/>
      <c r="C78" s="150"/>
      <c r="D78" s="150"/>
      <c r="E78" s="150"/>
      <c r="F78" s="150"/>
      <c r="G78" s="150"/>
      <c r="H78" s="150"/>
      <c r="I78" s="150"/>
      <c r="J78" s="150"/>
      <c r="K78" s="150"/>
      <c r="L78" s="150"/>
      <c r="M78" s="150"/>
    </row>
    <row r="79" spans="1:13" ht="18">
      <c r="A79" s="150"/>
      <c r="B79" s="150"/>
      <c r="C79" s="150"/>
      <c r="D79" s="150"/>
      <c r="E79" s="150"/>
      <c r="F79" s="150"/>
      <c r="G79" s="150"/>
      <c r="H79" s="150"/>
      <c r="I79" s="150"/>
      <c r="J79" s="150"/>
      <c r="K79" s="150"/>
      <c r="L79" s="150"/>
      <c r="M79" s="150"/>
    </row>
    <row r="80" spans="1:13" ht="18">
      <c r="A80" s="304"/>
      <c r="B80" s="150"/>
      <c r="C80" s="150"/>
      <c r="D80" s="150"/>
      <c r="E80" s="150"/>
      <c r="F80" s="150"/>
      <c r="G80" s="150"/>
      <c r="H80" s="150"/>
      <c r="I80" s="150"/>
      <c r="J80" s="150"/>
      <c r="K80" s="150"/>
      <c r="L80" s="150"/>
      <c r="M80" s="150"/>
    </row>
    <row r="81" spans="1:13" s="150" customFormat="1" ht="18"/>
    <row r="82" spans="1:13" ht="18">
      <c r="A82" s="150"/>
      <c r="B82" s="150"/>
      <c r="C82" s="150"/>
      <c r="D82" s="150"/>
      <c r="E82" s="150"/>
      <c r="F82" s="150"/>
      <c r="G82" s="150"/>
      <c r="H82" s="150"/>
      <c r="I82" s="150"/>
      <c r="J82" s="150"/>
      <c r="K82" s="150"/>
      <c r="L82" s="150"/>
      <c r="M82" s="150"/>
    </row>
    <row r="83" spans="1:13" s="150" customFormat="1" ht="18"/>
    <row r="84" spans="1:13" s="150" customFormat="1" ht="18"/>
    <row r="85" spans="1:13" s="150" customFormat="1" ht="18"/>
    <row r="86" spans="1:13" ht="18">
      <c r="A86" s="150"/>
      <c r="B86" s="150"/>
      <c r="C86" s="150"/>
      <c r="D86" s="150"/>
      <c r="E86" s="150"/>
      <c r="F86" s="150"/>
      <c r="G86" s="150"/>
      <c r="H86" s="150"/>
      <c r="I86" s="150"/>
      <c r="J86" s="150"/>
      <c r="K86" s="150"/>
      <c r="L86" s="150"/>
      <c r="M86" s="150"/>
    </row>
    <row r="87" spans="1:13" s="150" customFormat="1" ht="18"/>
    <row r="88" spans="1:13" s="150" customFormat="1" ht="18"/>
    <row r="89" spans="1:13" s="150" customFormat="1" ht="18"/>
    <row r="90" spans="1:13" s="150" customFormat="1" ht="18"/>
    <row r="91" spans="1:13" s="150" customFormat="1" ht="18"/>
    <row r="92" spans="1:13" s="150" customFormat="1" ht="18"/>
    <row r="93" spans="1:13" s="150" customFormat="1" ht="18"/>
    <row r="94" spans="1:13" s="150" customFormat="1" ht="18"/>
    <row r="95" spans="1:13" s="150" customFormat="1" ht="18"/>
    <row r="96" spans="1:13" s="150" customFormat="1" ht="18"/>
    <row r="97" s="150" customFormat="1" ht="18"/>
    <row r="98" s="150" customFormat="1" ht="18"/>
    <row r="99" s="150" customFormat="1" ht="18"/>
    <row r="100" s="150" customFormat="1" ht="18"/>
    <row r="101" s="150" customFormat="1" ht="18"/>
    <row r="102" s="150" customFormat="1" ht="18"/>
    <row r="103" s="150" customFormat="1" ht="18"/>
    <row r="104" s="150" customFormat="1" ht="18"/>
    <row r="105" s="150" customFormat="1" ht="18"/>
    <row r="106" s="150" customFormat="1" ht="18"/>
    <row r="107" s="150" customFormat="1" ht="18"/>
    <row r="108" s="150" customFormat="1" ht="18"/>
    <row r="109" s="150" customFormat="1" ht="18"/>
    <row r="110" s="150" customFormat="1" ht="18"/>
    <row r="111" s="150" customFormat="1" ht="18"/>
    <row r="112" s="150" customFormat="1" ht="18"/>
    <row r="113" s="150" customFormat="1" ht="18"/>
    <row r="114" s="150" customFormat="1" ht="18"/>
    <row r="115" s="150" customFormat="1" ht="18"/>
    <row r="116" s="150" customFormat="1" ht="18"/>
    <row r="117" s="150" customFormat="1" ht="18"/>
    <row r="118" s="150" customFormat="1" ht="18"/>
    <row r="119" s="150" customFormat="1" ht="18"/>
    <row r="120" s="150" customFormat="1" ht="18"/>
    <row r="121" s="150" customFormat="1" ht="18"/>
    <row r="122" s="150" customFormat="1" ht="18"/>
    <row r="123" s="150" customFormat="1" ht="18"/>
    <row r="124" s="150" customFormat="1" ht="18"/>
    <row r="125" s="150" customFormat="1" ht="18"/>
    <row r="126" s="150" customFormat="1" ht="18"/>
    <row r="127" s="150" customFormat="1" ht="18"/>
    <row r="128" s="150" customFormat="1" ht="18"/>
    <row r="129" s="150" customFormat="1" ht="18"/>
    <row r="130" s="150" customFormat="1" ht="18"/>
    <row r="131" s="150" customFormat="1" ht="18"/>
    <row r="132" s="150" customFormat="1" ht="18"/>
    <row r="133" s="150" customFormat="1" ht="18"/>
    <row r="134" s="150" customFormat="1" ht="18"/>
    <row r="135" s="150" customFormat="1" ht="18"/>
    <row r="136" s="150"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zoomScaleNormal="90" workbookViewId="0"/>
  </sheetViews>
  <sheetFormatPr defaultColWidth="8.88671875" defaultRowHeight="12.75"/>
  <cols>
    <col min="1" max="1" width="53.5546875" style="636" customWidth="1"/>
    <col min="2" max="2" width="1.88671875" style="636" customWidth="1"/>
    <col min="3" max="3" width="2.88671875" style="636" customWidth="1"/>
    <col min="4" max="4" width="20.88671875" style="636" customWidth="1"/>
    <col min="5" max="5" width="5.88671875" style="636" customWidth="1"/>
    <col min="6" max="6" width="20.88671875" style="636" customWidth="1"/>
    <col min="7" max="7" width="5.88671875" style="636" customWidth="1"/>
    <col min="8" max="8" width="20.88671875" style="636" customWidth="1"/>
    <col min="9" max="9" width="5.88671875" style="636" customWidth="1"/>
    <col min="10" max="10" width="20.88671875" style="636" customWidth="1"/>
    <col min="11" max="11" width="1.109375" style="636" customWidth="1"/>
    <col min="12" max="16384" width="8.88671875" style="636"/>
  </cols>
  <sheetData>
    <row r="1" spans="1:10" ht="15">
      <c r="A1" s="270" t="s">
        <v>97</v>
      </c>
    </row>
    <row r="2" spans="1:10" ht="15">
      <c r="A2" s="469"/>
    </row>
    <row r="3" spans="1:10" ht="18">
      <c r="A3" s="637" t="s">
        <v>98</v>
      </c>
      <c r="B3" s="638"/>
      <c r="C3" s="638"/>
      <c r="D3" s="638"/>
      <c r="E3" s="638"/>
      <c r="F3" s="638"/>
      <c r="G3" s="637"/>
      <c r="H3" s="637"/>
      <c r="I3" s="637"/>
      <c r="J3" s="640" t="s">
        <v>805</v>
      </c>
    </row>
    <row r="4" spans="1:10" ht="18">
      <c r="A4" s="637" t="s">
        <v>806</v>
      </c>
      <c r="B4" s="638"/>
      <c r="C4" s="637"/>
      <c r="D4" s="638"/>
      <c r="E4" s="638"/>
      <c r="F4" s="638"/>
      <c r="G4" s="637"/>
      <c r="H4" s="637"/>
      <c r="I4" s="637"/>
      <c r="J4" s="637"/>
    </row>
    <row r="5" spans="1:10" ht="18">
      <c r="A5" s="637" t="s">
        <v>807</v>
      </c>
      <c r="B5" s="638"/>
      <c r="C5" s="637"/>
      <c r="D5" s="638"/>
      <c r="E5" s="638"/>
      <c r="F5" s="638"/>
      <c r="G5" s="637"/>
      <c r="H5" s="637"/>
      <c r="I5" s="637"/>
      <c r="J5" s="637"/>
    </row>
    <row r="6" spans="1:10" ht="18">
      <c r="A6" s="637" t="str">
        <f>'Sch 3 '!A7</f>
        <v>FISCAL YEAR 2025-2026</v>
      </c>
      <c r="B6" s="638"/>
      <c r="C6" s="637"/>
      <c r="D6" s="638"/>
      <c r="E6" s="638"/>
      <c r="F6" s="638"/>
      <c r="G6" s="637"/>
      <c r="H6" s="637"/>
      <c r="I6" s="637"/>
      <c r="J6" s="637"/>
    </row>
    <row r="7" spans="1:10" ht="18">
      <c r="A7" s="639" t="str">
        <f>'Sch 3 '!A8</f>
        <v>FOR THE MONTH OF NOVEMBER 2025</v>
      </c>
      <c r="B7" s="638"/>
      <c r="C7" s="637"/>
      <c r="D7" s="638"/>
      <c r="E7" s="638"/>
      <c r="F7" s="638"/>
      <c r="G7" s="637"/>
      <c r="H7" s="637"/>
      <c r="I7" s="637"/>
      <c r="J7" s="637"/>
    </row>
    <row r="8" spans="1:10" ht="18">
      <c r="A8" s="637" t="s">
        <v>102</v>
      </c>
      <c r="B8" s="638"/>
      <c r="C8" s="637"/>
      <c r="D8" s="638"/>
      <c r="E8" s="638"/>
      <c r="F8" s="638"/>
      <c r="G8" s="637"/>
      <c r="H8" s="637"/>
      <c r="I8" s="637"/>
      <c r="J8" s="637"/>
    </row>
    <row r="9" spans="1:10" ht="18">
      <c r="A9" s="637"/>
      <c r="B9" s="638"/>
      <c r="C9" s="637"/>
      <c r="D9" s="638"/>
      <c r="E9" s="638"/>
      <c r="F9" s="638"/>
      <c r="G9" s="637"/>
      <c r="H9" s="637"/>
      <c r="I9" s="637"/>
      <c r="J9" s="637"/>
    </row>
    <row r="10" spans="1:10" ht="18">
      <c r="A10" s="637"/>
      <c r="B10" s="637"/>
      <c r="C10" s="637"/>
      <c r="D10" s="637"/>
      <c r="E10" s="637"/>
      <c r="F10" s="637"/>
      <c r="G10" s="637"/>
      <c r="H10" s="637"/>
      <c r="I10" s="637"/>
      <c r="J10" s="637"/>
    </row>
    <row r="11" spans="1:10" ht="18">
      <c r="A11" s="637"/>
      <c r="B11" s="637"/>
      <c r="C11" s="637"/>
      <c r="D11" s="640"/>
      <c r="E11" s="637"/>
      <c r="F11" s="637"/>
      <c r="G11" s="637"/>
      <c r="H11" s="637"/>
      <c r="I11" s="637"/>
      <c r="J11" s="640"/>
    </row>
    <row r="12" spans="1:10" ht="18">
      <c r="A12" s="637"/>
      <c r="B12" s="637"/>
      <c r="C12" s="637"/>
      <c r="D12" s="640" t="s">
        <v>612</v>
      </c>
      <c r="E12" s="637"/>
      <c r="F12" s="637"/>
      <c r="G12" s="637"/>
      <c r="H12" s="637"/>
      <c r="I12" s="637"/>
      <c r="J12" s="640" t="s">
        <v>612</v>
      </c>
    </row>
    <row r="13" spans="1:10" ht="18">
      <c r="A13" s="641" t="s">
        <v>755</v>
      </c>
      <c r="B13" s="637"/>
      <c r="C13" s="637"/>
      <c r="D13" s="642" t="str">
        <f>'Sch 3 '!D12</f>
        <v>NOVEMBER 1, 2025</v>
      </c>
      <c r="E13" s="637"/>
      <c r="F13" s="640" t="s">
        <v>614</v>
      </c>
      <c r="G13" s="637"/>
      <c r="H13" s="640" t="s">
        <v>615</v>
      </c>
      <c r="I13" s="637"/>
      <c r="J13" s="642" t="str">
        <f>'Sch 3 '!L12</f>
        <v>NOVEMBER 30, 2025</v>
      </c>
    </row>
    <row r="14" spans="1:10" ht="18">
      <c r="A14" s="641"/>
      <c r="B14" s="637"/>
      <c r="C14" s="637"/>
      <c r="D14" s="643"/>
      <c r="E14" s="637"/>
      <c r="F14" s="643"/>
      <c r="G14" s="637"/>
      <c r="H14" s="644" t="s">
        <v>611</v>
      </c>
      <c r="I14" s="637"/>
      <c r="J14" s="643"/>
    </row>
    <row r="15" spans="1:10" ht="18">
      <c r="A15" s="645" t="s">
        <v>808</v>
      </c>
      <c r="B15" s="637"/>
      <c r="C15" s="637"/>
      <c r="D15" s="637"/>
      <c r="E15" s="637"/>
      <c r="F15" s="862"/>
      <c r="G15" s="637"/>
      <c r="H15" s="637"/>
      <c r="I15" s="637"/>
      <c r="J15" s="637"/>
    </row>
    <row r="16" spans="1:10" ht="25.35" customHeight="1">
      <c r="A16" s="638" t="s">
        <v>809</v>
      </c>
      <c r="B16" s="637"/>
      <c r="C16" s="638"/>
      <c r="D16" s="1734">
        <v>3.3620000000000001</v>
      </c>
      <c r="E16" s="1688"/>
      <c r="F16" s="1734">
        <v>1.0999999999999999E-2</v>
      </c>
      <c r="G16" s="1688"/>
      <c r="H16" s="1734">
        <v>0</v>
      </c>
      <c r="I16" s="646"/>
      <c r="J16" s="646">
        <f>ROUND(D16+F16-H16,3)</f>
        <v>3.3730000000000002</v>
      </c>
    </row>
    <row r="17" spans="1:14" ht="25.35" customHeight="1">
      <c r="A17" s="638" t="s">
        <v>810</v>
      </c>
      <c r="B17" s="638"/>
      <c r="C17" s="638"/>
      <c r="D17" s="597">
        <v>550.26</v>
      </c>
      <c r="E17" s="648"/>
      <c r="F17" s="597">
        <v>471.04399999999998</v>
      </c>
      <c r="G17" s="646"/>
      <c r="H17" s="597">
        <v>511.49100000000004</v>
      </c>
      <c r="I17" s="648"/>
      <c r="J17" s="649">
        <f>ROUND(D17+F17-H17,3)</f>
        <v>509.81299999999999</v>
      </c>
    </row>
    <row r="18" spans="1:14" ht="25.35" customHeight="1">
      <c r="A18" s="647" t="s">
        <v>811</v>
      </c>
      <c r="B18" s="638"/>
      <c r="C18" s="638"/>
      <c r="D18" s="597">
        <v>3939.9380000000001</v>
      </c>
      <c r="E18" s="648"/>
      <c r="F18" s="597">
        <v>4593.6480000000001</v>
      </c>
      <c r="G18" s="646"/>
      <c r="H18" s="597">
        <v>4193.0190000000002</v>
      </c>
      <c r="I18" s="648"/>
      <c r="J18" s="649">
        <f>ROUND(D18+F18-H18,3)</f>
        <v>4340.567</v>
      </c>
    </row>
    <row r="19" spans="1:14" ht="25.35" customHeight="1">
      <c r="A19" s="638" t="s">
        <v>812</v>
      </c>
      <c r="B19" s="638"/>
      <c r="C19" s="638"/>
      <c r="D19" s="597">
        <v>0</v>
      </c>
      <c r="E19" s="648"/>
      <c r="F19" s="597">
        <v>445.97500000000002</v>
      </c>
      <c r="G19" s="646"/>
      <c r="H19" s="597">
        <v>445.97500000000002</v>
      </c>
      <c r="I19" s="648"/>
      <c r="J19" s="649">
        <f>ROUND(D19+F19-H19,3)</f>
        <v>0</v>
      </c>
    </row>
    <row r="20" spans="1:14" ht="25.35" customHeight="1" thickBot="1">
      <c r="A20" s="650" t="s">
        <v>813</v>
      </c>
      <c r="B20" s="638"/>
      <c r="C20" s="638"/>
      <c r="D20" s="651">
        <f>ROUND(SUM(D16:D19),3)</f>
        <v>4493.5600000000004</v>
      </c>
      <c r="E20" s="863"/>
      <c r="F20" s="651">
        <f>ROUND(SUM(F16:F19),3)</f>
        <v>5510.6779999999999</v>
      </c>
      <c r="G20" s="863"/>
      <c r="H20" s="651">
        <f>ROUND(SUM(H16:H19),3)</f>
        <v>5150.4849999999997</v>
      </c>
      <c r="I20" s="863"/>
      <c r="J20" s="651">
        <f>ROUND(SUM(J16:J19),3)</f>
        <v>4853.7529999999997</v>
      </c>
      <c r="K20" s="652"/>
      <c r="L20" s="652"/>
      <c r="M20" s="652"/>
      <c r="N20" s="652"/>
    </row>
    <row r="21" spans="1:14" ht="18.75" thickTop="1">
      <c r="A21" s="638"/>
      <c r="B21" s="638"/>
      <c r="C21" s="638"/>
      <c r="D21" s="638"/>
      <c r="E21" s="638"/>
      <c r="F21" s="638"/>
      <c r="G21" s="638"/>
      <c r="H21" s="638"/>
      <c r="I21" s="638"/>
      <c r="J21" s="638"/>
    </row>
    <row r="22" spans="1:14" ht="18">
      <c r="A22" s="638"/>
      <c r="B22" s="638"/>
      <c r="C22" s="638"/>
      <c r="D22" s="638"/>
      <c r="E22" s="638"/>
      <c r="F22" s="638"/>
      <c r="G22" s="638"/>
      <c r="H22" s="638"/>
      <c r="I22" s="638"/>
      <c r="J22" s="638"/>
    </row>
    <row r="23" spans="1:14" ht="6.75" customHeight="1">
      <c r="A23" s="638"/>
      <c r="B23" s="638"/>
      <c r="C23" s="638"/>
      <c r="D23" s="638"/>
      <c r="E23" s="638"/>
      <c r="F23" s="638"/>
      <c r="G23" s="638"/>
      <c r="H23" s="638"/>
      <c r="I23" s="638"/>
      <c r="J23" s="638"/>
    </row>
    <row r="24" spans="1:14" ht="18">
      <c r="A24" s="691" t="s">
        <v>814</v>
      </c>
      <c r="B24" s="638"/>
      <c r="C24" s="638"/>
      <c r="D24" s="638"/>
      <c r="E24" s="638"/>
      <c r="F24" s="638" t="s">
        <v>103</v>
      </c>
      <c r="G24" s="638"/>
      <c r="H24" s="638"/>
      <c r="I24" s="638"/>
      <c r="J24" s="638"/>
    </row>
    <row r="25" spans="1:14" ht="6" customHeight="1"/>
    <row r="26" spans="1:14" ht="59.25" customHeight="1">
      <c r="A26" s="2106" t="s">
        <v>815</v>
      </c>
      <c r="B26" s="2106"/>
      <c r="C26" s="2106"/>
      <c r="D26" s="2106"/>
      <c r="E26" s="2106"/>
      <c r="F26" s="2106"/>
      <c r="G26" s="2106"/>
      <c r="H26" s="2106"/>
      <c r="I26" s="2106"/>
      <c r="J26" s="2106"/>
    </row>
    <row r="27" spans="1:14" ht="43.35" customHeight="1">
      <c r="A27" s="2107" t="s">
        <v>1564</v>
      </c>
      <c r="B27" s="2107"/>
      <c r="C27" s="2107"/>
      <c r="D27" s="2107"/>
      <c r="E27" s="2107"/>
      <c r="F27" s="2107"/>
      <c r="G27" s="2107"/>
      <c r="H27" s="2107"/>
      <c r="I27" s="2107"/>
      <c r="J27" s="2107"/>
    </row>
    <row r="28" spans="1:14" ht="18.75" customHeight="1">
      <c r="A28" s="2108"/>
      <c r="B28" s="2108"/>
      <c r="C28" s="2108"/>
      <c r="D28" s="2108"/>
      <c r="E28" s="2108"/>
      <c r="F28" s="2108"/>
      <c r="G28" s="2108"/>
      <c r="H28" s="2108"/>
      <c r="I28" s="2108"/>
      <c r="J28" s="2108"/>
    </row>
    <row r="29" spans="1:14" ht="20.25" customHeight="1">
      <c r="A29" s="1243"/>
      <c r="B29" s="446"/>
      <c r="C29" s="446"/>
      <c r="D29" s="446"/>
      <c r="E29" s="446"/>
      <c r="F29" s="446"/>
      <c r="G29" s="446"/>
      <c r="H29" s="446"/>
      <c r="I29" s="446"/>
      <c r="J29" s="446"/>
    </row>
    <row r="30" spans="1:14" ht="20.25" customHeight="1">
      <c r="A30" s="1243"/>
      <c r="B30" s="446"/>
      <c r="C30" s="446"/>
      <c r="D30" s="446"/>
      <c r="E30" s="446"/>
      <c r="F30" s="446"/>
      <c r="G30" s="446"/>
      <c r="H30" s="446"/>
      <c r="I30" s="446"/>
      <c r="J30" s="446"/>
    </row>
    <row r="31" spans="1:14" ht="20.25" customHeight="1">
      <c r="A31" s="1243"/>
      <c r="B31" s="446"/>
      <c r="C31" s="446"/>
      <c r="D31" s="446"/>
      <c r="E31" s="446"/>
      <c r="F31" s="446"/>
      <c r="G31" s="446"/>
      <c r="H31" s="446"/>
      <c r="I31" s="446"/>
      <c r="J31" s="446"/>
    </row>
    <row r="32" spans="1:14" ht="20.25" customHeight="1">
      <c r="A32" s="1243"/>
      <c r="B32" s="446"/>
      <c r="C32" s="446"/>
      <c r="D32" s="446"/>
      <c r="E32" s="446"/>
      <c r="F32" s="446"/>
      <c r="G32" s="446"/>
      <c r="H32" s="446"/>
      <c r="I32" s="446"/>
      <c r="J32" s="446"/>
    </row>
    <row r="33" spans="1:10" ht="20.25" customHeight="1">
      <c r="A33" s="1243"/>
      <c r="B33" s="446"/>
      <c r="C33" s="446"/>
      <c r="D33" s="446"/>
      <c r="E33" s="446"/>
      <c r="F33" s="446"/>
      <c r="G33" s="446"/>
      <c r="H33" s="446"/>
      <c r="I33" s="446"/>
      <c r="J33" s="446"/>
    </row>
    <row r="34" spans="1:10" ht="20.25" customHeight="1">
      <c r="A34" s="1243"/>
      <c r="B34" s="446"/>
      <c r="C34" s="446"/>
      <c r="D34" s="446"/>
      <c r="E34" s="446"/>
      <c r="F34" s="446"/>
      <c r="G34" s="446"/>
      <c r="H34" s="446"/>
      <c r="I34" s="446"/>
      <c r="J34" s="446"/>
    </row>
    <row r="35" spans="1:10" ht="20.25" customHeight="1">
      <c r="A35" s="1243"/>
      <c r="B35" s="446"/>
      <c r="C35" s="446"/>
      <c r="D35" s="446"/>
      <c r="E35" s="446"/>
      <c r="F35" s="446"/>
      <c r="G35" s="446"/>
      <c r="H35" s="446"/>
      <c r="I35" s="446"/>
      <c r="J35" s="446"/>
    </row>
    <row r="36" spans="1:10" ht="20.25" customHeight="1">
      <c r="A36" s="1243"/>
      <c r="B36" s="446"/>
      <c r="C36" s="446"/>
      <c r="D36" s="446"/>
      <c r="E36" s="446"/>
      <c r="F36" s="446"/>
      <c r="G36" s="446"/>
      <c r="H36" s="446"/>
      <c r="I36" s="446"/>
      <c r="J36" s="446"/>
    </row>
    <row r="37" spans="1:10" ht="20.25" customHeight="1">
      <c r="A37" s="1243"/>
      <c r="B37" s="446"/>
      <c r="C37" s="446"/>
      <c r="D37" s="446"/>
      <c r="E37" s="446"/>
      <c r="F37" s="446"/>
      <c r="G37" s="446"/>
      <c r="H37" s="446"/>
      <c r="I37" s="446"/>
      <c r="J37" s="446"/>
    </row>
    <row r="38" spans="1:10" ht="20.25" customHeight="1">
      <c r="A38" s="1243"/>
      <c r="B38" s="446"/>
      <c r="C38" s="446"/>
      <c r="D38" s="446"/>
      <c r="E38" s="446"/>
      <c r="F38" s="446"/>
      <c r="G38" s="446"/>
      <c r="H38" s="446"/>
      <c r="I38" s="446"/>
      <c r="J38" s="446"/>
    </row>
    <row r="39" spans="1:10" ht="20.25" customHeight="1">
      <c r="A39" s="1243"/>
      <c r="B39" s="446"/>
      <c r="C39" s="446"/>
      <c r="D39" s="446"/>
      <c r="E39" s="446"/>
      <c r="G39" s="446"/>
      <c r="H39" s="446"/>
      <c r="I39" s="446"/>
      <c r="J39" s="446"/>
    </row>
    <row r="40" spans="1:10" ht="21" customHeight="1">
      <c r="F40" s="446"/>
    </row>
    <row r="41" spans="1:10" ht="21" customHeight="1">
      <c r="A41" s="1243"/>
      <c r="B41" s="446"/>
      <c r="C41" s="446"/>
      <c r="D41" s="446"/>
      <c r="E41" s="446"/>
      <c r="F41" s="446"/>
      <c r="G41" s="446"/>
      <c r="H41" s="446"/>
      <c r="I41" s="446"/>
      <c r="J41" s="446"/>
    </row>
    <row r="42" spans="1:10" ht="18" customHeight="1">
      <c r="A42" s="653"/>
      <c r="C42" s="654"/>
      <c r="D42" s="655"/>
      <c r="E42" s="654"/>
      <c r="F42" s="655"/>
      <c r="G42" s="654"/>
      <c r="H42" s="655"/>
      <c r="I42" s="655"/>
    </row>
    <row r="43" spans="1:10" ht="18" customHeight="1">
      <c r="A43" s="656"/>
      <c r="D43" s="655"/>
      <c r="F43" s="657"/>
      <c r="G43" s="655"/>
      <c r="H43" s="655"/>
      <c r="I43" s="655"/>
    </row>
    <row r="44" spans="1:10" ht="18" customHeight="1">
      <c r="A44" s="656"/>
      <c r="D44" s="655"/>
      <c r="F44" s="657"/>
      <c r="G44" s="655"/>
      <c r="H44" s="655"/>
      <c r="I44" s="655"/>
    </row>
    <row r="45" spans="1:10" ht="18" customHeight="1">
      <c r="A45" s="656"/>
      <c r="D45" s="655"/>
      <c r="F45" s="657"/>
      <c r="G45" s="655"/>
      <c r="H45" s="655"/>
      <c r="I45" s="655"/>
    </row>
    <row r="46" spans="1:10" ht="18" customHeight="1">
      <c r="A46" s="656"/>
      <c r="D46" s="655"/>
      <c r="F46" s="655"/>
      <c r="G46" s="655"/>
      <c r="H46" s="658"/>
      <c r="I46" s="655"/>
    </row>
    <row r="47" spans="1:10" ht="18" customHeight="1">
      <c r="A47" s="659"/>
      <c r="D47" s="655"/>
      <c r="F47" s="655"/>
      <c r="G47" s="655"/>
      <c r="H47" s="655"/>
      <c r="I47" s="655"/>
    </row>
    <row r="48" spans="1:10" ht="18" customHeight="1">
      <c r="A48" s="660"/>
      <c r="D48" s="655"/>
      <c r="F48" s="658"/>
      <c r="G48" s="655"/>
      <c r="H48" s="655"/>
      <c r="I48" s="655"/>
    </row>
    <row r="49" spans="1:9" ht="18" customHeight="1">
      <c r="A49" s="656"/>
      <c r="D49" s="655"/>
      <c r="F49" s="657"/>
      <c r="G49" s="655"/>
      <c r="H49" s="655"/>
      <c r="I49" s="655"/>
    </row>
    <row r="50" spans="1:9" ht="18" customHeight="1">
      <c r="A50" s="656"/>
      <c r="D50" s="655"/>
      <c r="F50" s="661"/>
      <c r="G50" s="655"/>
      <c r="H50" s="658"/>
      <c r="I50" s="655"/>
    </row>
    <row r="51" spans="1:9" ht="18" customHeight="1">
      <c r="A51" s="659"/>
      <c r="C51" s="654"/>
      <c r="D51" s="662"/>
      <c r="E51" s="654"/>
      <c r="G51" s="654"/>
      <c r="H51" s="662"/>
      <c r="I51" s="655"/>
    </row>
  </sheetData>
  <mergeCells count="3">
    <mergeCell ref="A26:J26"/>
    <mergeCell ref="A27:J27"/>
    <mergeCell ref="A28:J28"/>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zoomScaleNormal="100" workbookViewId="0"/>
  </sheetViews>
  <sheetFormatPr defaultColWidth="8.88671875" defaultRowHeight="12.75"/>
  <cols>
    <col min="1" max="1" width="42" style="264" customWidth="1"/>
    <col min="2" max="2" width="2.109375" style="264" customWidth="1"/>
    <col min="3" max="3" width="17.109375" style="347" customWidth="1"/>
    <col min="4" max="4" width="2.109375" style="347" customWidth="1"/>
    <col min="5" max="5" width="12.5546875" style="347" customWidth="1"/>
    <col min="6" max="6" width="2.109375" style="347" customWidth="1"/>
    <col min="7" max="7" width="15.44140625" style="264" customWidth="1"/>
    <col min="8" max="8" width="2.109375" style="264" customWidth="1"/>
    <col min="9" max="9" width="16.109375" style="264" customWidth="1"/>
    <col min="10" max="10" width="2.109375" style="264" customWidth="1"/>
    <col min="11" max="11" width="15.5546875" style="265" customWidth="1"/>
    <col min="12" max="12" width="2.109375" style="264" customWidth="1"/>
    <col min="13" max="13" width="16.44140625" style="265" bestFit="1" customWidth="1"/>
    <col min="14" max="14" width="2.109375" style="264" customWidth="1"/>
    <col min="15" max="15" width="17.109375" style="347" customWidth="1"/>
    <col min="16" max="16" width="1.88671875" style="264" customWidth="1"/>
    <col min="17" max="17" width="1.109375" style="264" customWidth="1"/>
    <col min="18" max="18" width="2" style="264" customWidth="1"/>
    <col min="19" max="19" width="15.44140625" style="264" customWidth="1"/>
    <col min="20" max="20" width="2.109375" style="264" customWidth="1"/>
    <col min="21" max="21" width="16.44140625" style="264" bestFit="1" customWidth="1"/>
    <col min="22" max="16384" width="8.88671875" style="264"/>
  </cols>
  <sheetData>
    <row r="1" spans="1:21" ht="15">
      <c r="A1" s="392" t="s">
        <v>97</v>
      </c>
    </row>
    <row r="2" spans="1:21" ht="15">
      <c r="A2" s="270"/>
    </row>
    <row r="3" spans="1:21" ht="18">
      <c r="A3" s="263" t="s">
        <v>98</v>
      </c>
      <c r="U3" s="263" t="s">
        <v>816</v>
      </c>
    </row>
    <row r="4" spans="1:21" ht="18">
      <c r="A4" s="263" t="s">
        <v>543</v>
      </c>
      <c r="L4" s="264" t="s">
        <v>103</v>
      </c>
    </row>
    <row r="5" spans="1:21" ht="18">
      <c r="A5" s="263" t="s">
        <v>817</v>
      </c>
    </row>
    <row r="6" spans="1:21" ht="18">
      <c r="A6" s="573" t="str">
        <f>'Cashflow Governmental'!$A$6</f>
        <v>FISCAL YEAR 2025-2026</v>
      </c>
    </row>
    <row r="9" spans="1:21" ht="15.6" customHeight="1">
      <c r="C9" s="907"/>
      <c r="D9" s="907"/>
      <c r="F9" s="554"/>
      <c r="G9" s="2109" t="s">
        <v>1466</v>
      </c>
      <c r="H9" s="2109"/>
      <c r="I9" s="2109"/>
      <c r="J9" s="1173"/>
      <c r="K9" s="1174" t="s">
        <v>818</v>
      </c>
      <c r="L9" s="1174"/>
      <c r="M9" s="1174"/>
      <c r="N9" s="1175"/>
      <c r="O9" s="1175"/>
      <c r="P9" s="1175"/>
      <c r="Q9" s="1176"/>
      <c r="R9" s="1175"/>
      <c r="S9" s="1174" t="s">
        <v>819</v>
      </c>
      <c r="T9" s="1174"/>
      <c r="U9" s="1174"/>
    </row>
    <row r="10" spans="1:21">
      <c r="C10" s="555" t="s">
        <v>820</v>
      </c>
      <c r="D10" s="555"/>
      <c r="E10" s="555" t="s">
        <v>103</v>
      </c>
      <c r="F10" s="555"/>
      <c r="G10" s="1177"/>
      <c r="H10" s="554"/>
      <c r="I10" s="1178"/>
      <c r="J10" s="1175"/>
      <c r="K10" s="1178"/>
      <c r="L10" s="1178"/>
      <c r="M10" s="1178"/>
      <c r="N10" s="1175"/>
      <c r="O10" s="555" t="s">
        <v>820</v>
      </c>
      <c r="P10" s="1175"/>
      <c r="Q10" s="1179"/>
      <c r="R10" s="1175"/>
    </row>
    <row r="11" spans="1:21">
      <c r="C11" s="555" t="s">
        <v>821</v>
      </c>
      <c r="D11" s="555"/>
      <c r="E11" s="555" t="s">
        <v>103</v>
      </c>
      <c r="F11" s="555"/>
      <c r="G11" s="1178" t="s">
        <v>109</v>
      </c>
      <c r="H11" s="554"/>
      <c r="I11" s="556" t="str">
        <f>_xlfn.CONCAT(_xlfn.TEXTBEFORE('Exhibit A'!$F$11," ")," MONTHS ENDED")</f>
        <v>8 MONTHS ENDED</v>
      </c>
      <c r="J11" s="1175"/>
      <c r="K11" s="554" t="s">
        <v>822</v>
      </c>
      <c r="L11" s="1180" t="s">
        <v>103</v>
      </c>
      <c r="M11" s="554" t="str">
        <f>I11</f>
        <v>8 MONTHS ENDED</v>
      </c>
      <c r="N11" s="1175"/>
      <c r="O11" s="555" t="s">
        <v>821</v>
      </c>
      <c r="P11" s="1175"/>
      <c r="Q11" s="1179"/>
      <c r="R11" s="1175"/>
      <c r="S11" s="554" t="s">
        <v>822</v>
      </c>
      <c r="T11" s="1180" t="s">
        <v>103</v>
      </c>
      <c r="U11" s="554" t="str">
        <f>M11</f>
        <v>8 MONTHS ENDED</v>
      </c>
    </row>
    <row r="12" spans="1:21">
      <c r="A12" s="1099" t="s">
        <v>823</v>
      </c>
      <c r="C12" s="1100" t="str">
        <f>'Cashflow Governmental'!$C$14&amp;" 1, "&amp;'Cashflow Governmental'!$C$13</f>
        <v>APRIL 1, 2025</v>
      </c>
      <c r="D12" s="1293"/>
      <c r="E12" s="2068" t="s">
        <v>1545</v>
      </c>
      <c r="F12" s="1293"/>
      <c r="G12" s="1689" t="str">
        <f>_xlfn.TEXTBEFORE(Footnotes!$O$3," ")</f>
        <v>NOVEMBER</v>
      </c>
      <c r="H12" s="556"/>
      <c r="I12" s="1689" t="str">
        <f>_xlfn.TEXTAFTER('Exh D Governmental  '!A6," ",4)</f>
        <v>NOVEMBER 30, 2025</v>
      </c>
      <c r="J12" s="1175"/>
      <c r="K12" s="1689" t="str">
        <f>G12</f>
        <v>NOVEMBER</v>
      </c>
      <c r="L12" s="1175"/>
      <c r="M12" s="1181" t="str">
        <f>I12</f>
        <v>NOVEMBER 30, 2025</v>
      </c>
      <c r="N12" s="1175"/>
      <c r="O12" s="1181" t="str">
        <f>M12</f>
        <v>NOVEMBER 30, 2025</v>
      </c>
      <c r="P12" s="1175"/>
      <c r="Q12" s="1179"/>
      <c r="R12" s="1175"/>
      <c r="S12" s="1689" t="str">
        <f>G12</f>
        <v>NOVEMBER</v>
      </c>
      <c r="T12" s="1175"/>
      <c r="U12" s="1181" t="str">
        <f>O12</f>
        <v>NOVEMBER 30, 2025</v>
      </c>
    </row>
    <row r="13" spans="1:21">
      <c r="M13" s="1182"/>
      <c r="Q13" s="1183"/>
    </row>
    <row r="14" spans="1:21">
      <c r="A14" s="266" t="s">
        <v>824</v>
      </c>
      <c r="M14" s="1182"/>
      <c r="Q14" s="1183"/>
      <c r="S14" s="265"/>
    </row>
    <row r="15" spans="1:21" ht="12" customHeight="1">
      <c r="A15" s="266"/>
      <c r="M15" s="1182"/>
      <c r="O15" s="347" t="s">
        <v>103</v>
      </c>
      <c r="Q15" s="1183"/>
      <c r="S15" s="265"/>
    </row>
    <row r="16" spans="1:21">
      <c r="A16" s="264" t="s">
        <v>825</v>
      </c>
      <c r="B16" s="265"/>
      <c r="C16" s="1184">
        <v>3553180</v>
      </c>
      <c r="D16" s="1184"/>
      <c r="E16" s="1184">
        <v>0</v>
      </c>
      <c r="F16" s="1184"/>
      <c r="G16" s="1184">
        <v>0</v>
      </c>
      <c r="H16" s="565"/>
      <c r="I16" s="1184">
        <v>0</v>
      </c>
      <c r="J16" s="1184"/>
      <c r="K16" s="1184">
        <v>0</v>
      </c>
      <c r="L16" s="565"/>
      <c r="M16" s="1184">
        <v>0</v>
      </c>
      <c r="N16" s="565" t="s">
        <v>103</v>
      </c>
      <c r="O16" s="1184">
        <f>ROUND(SUM(C16)-SUM(M16)+SUM(I16),0)</f>
        <v>3553180</v>
      </c>
      <c r="Q16" s="1183"/>
      <c r="R16" s="265"/>
      <c r="S16" s="1184">
        <v>0</v>
      </c>
      <c r="T16" s="565"/>
      <c r="U16" s="1184">
        <v>43420</v>
      </c>
    </row>
    <row r="17" spans="1:21">
      <c r="G17" s="1714"/>
      <c r="H17" s="1713"/>
      <c r="I17" s="1714"/>
      <c r="K17" s="1714"/>
      <c r="M17" s="1714"/>
      <c r="Q17" s="1183"/>
      <c r="S17" s="1714"/>
      <c r="U17" s="1714"/>
    </row>
    <row r="18" spans="1:21">
      <c r="A18" s="264" t="s">
        <v>826</v>
      </c>
      <c r="G18" s="265"/>
      <c r="H18" s="1713"/>
      <c r="I18" s="265"/>
      <c r="L18" s="265"/>
      <c r="Q18" s="1183"/>
      <c r="S18" s="265"/>
      <c r="T18" s="265"/>
      <c r="U18" s="265"/>
    </row>
    <row r="19" spans="1:21" ht="12" customHeight="1">
      <c r="A19" s="264" t="s">
        <v>827</v>
      </c>
      <c r="C19" s="905">
        <v>947571</v>
      </c>
      <c r="D19" s="905"/>
      <c r="E19" s="905">
        <v>0</v>
      </c>
      <c r="F19" s="905"/>
      <c r="G19" s="905">
        <v>0</v>
      </c>
      <c r="H19" s="1715"/>
      <c r="I19" s="905">
        <v>0</v>
      </c>
      <c r="J19" s="905"/>
      <c r="K19" s="591">
        <v>0</v>
      </c>
      <c r="L19" s="905"/>
      <c r="M19" s="591">
        <v>0</v>
      </c>
      <c r="N19" s="1715" t="s">
        <v>103</v>
      </c>
      <c r="O19" s="905">
        <f>ROUND(SUM(C19)-SUM(M19)+SUM(I19),0)</f>
        <v>947571</v>
      </c>
      <c r="Q19" s="1183"/>
      <c r="R19" s="264" t="s">
        <v>103</v>
      </c>
      <c r="S19" s="591">
        <v>0</v>
      </c>
      <c r="T19" s="905"/>
      <c r="U19" s="591">
        <v>18113</v>
      </c>
    </row>
    <row r="20" spans="1:21">
      <c r="A20" s="264" t="s">
        <v>828</v>
      </c>
      <c r="C20" s="905">
        <v>192566576</v>
      </c>
      <c r="D20" s="905"/>
      <c r="E20" s="905">
        <v>-75715</v>
      </c>
      <c r="F20" s="905"/>
      <c r="G20" s="905">
        <v>0</v>
      </c>
      <c r="H20" s="1715"/>
      <c r="I20" s="905">
        <v>0</v>
      </c>
      <c r="J20" s="905"/>
      <c r="K20" s="591">
        <v>0</v>
      </c>
      <c r="L20" s="905"/>
      <c r="M20" s="591">
        <v>10476378</v>
      </c>
      <c r="N20" s="1715" t="s">
        <v>103</v>
      </c>
      <c r="O20" s="905">
        <f>ROUND(SUM(C20)-SUM(M20)+SUM(I20)+SUM(E20),0)</f>
        <v>182014483</v>
      </c>
      <c r="Q20" s="1183"/>
      <c r="S20" s="591">
        <v>0</v>
      </c>
      <c r="T20" s="905"/>
      <c r="U20" s="591">
        <v>3188590</v>
      </c>
    </row>
    <row r="21" spans="1:21">
      <c r="A21" s="264" t="s">
        <v>829</v>
      </c>
      <c r="C21" s="905">
        <v>4618750</v>
      </c>
      <c r="D21" s="905"/>
      <c r="E21" s="905">
        <v>0</v>
      </c>
      <c r="F21" s="905"/>
      <c r="G21" s="905">
        <v>0</v>
      </c>
      <c r="H21" s="1715"/>
      <c r="I21" s="905">
        <v>0</v>
      </c>
      <c r="J21" s="905"/>
      <c r="K21" s="591">
        <v>0</v>
      </c>
      <c r="L21" s="905"/>
      <c r="M21" s="591">
        <v>130830</v>
      </c>
      <c r="N21" s="1715" t="s">
        <v>103</v>
      </c>
      <c r="O21" s="905">
        <f>ROUND(SUM(C21)-SUM(M21)+SUM(I21),0)</f>
        <v>4487920</v>
      </c>
      <c r="Q21" s="1183"/>
      <c r="S21" s="591">
        <v>0</v>
      </c>
      <c r="T21" s="905"/>
      <c r="U21" s="591">
        <v>71680</v>
      </c>
    </row>
    <row r="22" spans="1:21">
      <c r="A22" s="264" t="s">
        <v>830</v>
      </c>
      <c r="C22" s="905">
        <v>23638204</v>
      </c>
      <c r="D22" s="905"/>
      <c r="E22" s="905">
        <v>0</v>
      </c>
      <c r="F22" s="905"/>
      <c r="G22" s="905">
        <v>0</v>
      </c>
      <c r="H22" s="1715"/>
      <c r="I22" s="905">
        <v>0</v>
      </c>
      <c r="J22" s="905"/>
      <c r="K22" s="591">
        <v>0</v>
      </c>
      <c r="L22" s="905"/>
      <c r="M22" s="591">
        <v>0</v>
      </c>
      <c r="N22" s="1715" t="s">
        <v>103</v>
      </c>
      <c r="O22" s="905">
        <f>ROUND(SUM(C22)-SUM(M22)+SUM(I22),0)</f>
        <v>23638204</v>
      </c>
      <c r="Q22" s="1183"/>
      <c r="S22" s="591">
        <v>0</v>
      </c>
      <c r="T22" s="905"/>
      <c r="U22" s="591">
        <v>440813</v>
      </c>
    </row>
    <row r="23" spans="1:21">
      <c r="C23" s="905"/>
      <c r="D23" s="905"/>
      <c r="E23" s="905"/>
      <c r="F23" s="905"/>
      <c r="G23" s="905"/>
      <c r="H23" s="1715"/>
      <c r="I23" s="905"/>
      <c r="J23" s="905"/>
      <c r="K23" s="905" t="s">
        <v>103</v>
      </c>
      <c r="L23" s="905"/>
      <c r="M23" s="905" t="s">
        <v>103</v>
      </c>
      <c r="N23" s="1715"/>
      <c r="O23" s="905"/>
      <c r="Q23" s="1183"/>
      <c r="S23" s="905" t="s">
        <v>103</v>
      </c>
      <c r="T23" s="905"/>
      <c r="U23" s="905" t="s">
        <v>103</v>
      </c>
    </row>
    <row r="24" spans="1:21">
      <c r="A24" s="264" t="s">
        <v>831</v>
      </c>
      <c r="C24" s="905" t="s">
        <v>103</v>
      </c>
      <c r="D24" s="905"/>
      <c r="E24" s="905"/>
      <c r="F24" s="905"/>
      <c r="G24" s="905" t="s">
        <v>103</v>
      </c>
      <c r="H24" s="905"/>
      <c r="I24" s="905" t="s">
        <v>103</v>
      </c>
      <c r="J24" s="905"/>
      <c r="K24" s="905" t="s">
        <v>103</v>
      </c>
      <c r="L24" s="905"/>
      <c r="M24" s="905" t="s">
        <v>103</v>
      </c>
      <c r="N24" s="905"/>
      <c r="O24" s="905" t="s">
        <v>103</v>
      </c>
      <c r="P24" s="591"/>
      <c r="Q24" s="2022"/>
      <c r="R24" s="591"/>
      <c r="S24" s="905" t="s">
        <v>103</v>
      </c>
      <c r="T24" s="905"/>
      <c r="U24" s="905" t="s">
        <v>103</v>
      </c>
    </row>
    <row r="25" spans="1:21">
      <c r="A25" s="264" t="s">
        <v>832</v>
      </c>
      <c r="C25" s="905">
        <v>0</v>
      </c>
      <c r="D25" s="905"/>
      <c r="E25" s="905"/>
      <c r="F25" s="905"/>
      <c r="G25" s="905">
        <v>0</v>
      </c>
      <c r="H25" s="905"/>
      <c r="I25" s="905">
        <v>0</v>
      </c>
      <c r="J25" s="905"/>
      <c r="K25" s="591">
        <v>0</v>
      </c>
      <c r="L25" s="905"/>
      <c r="M25" s="591">
        <v>0</v>
      </c>
      <c r="N25" s="905"/>
      <c r="O25" s="905">
        <f>ROUND(SUM(C25)-SUM(M25)+SUM(I25),0)</f>
        <v>0</v>
      </c>
      <c r="P25" s="591"/>
      <c r="Q25" s="2022"/>
      <c r="R25" s="591"/>
      <c r="S25" s="591">
        <v>0</v>
      </c>
      <c r="T25" s="905"/>
      <c r="U25" s="591">
        <v>0</v>
      </c>
    </row>
    <row r="26" spans="1:21">
      <c r="A26" s="264" t="s">
        <v>833</v>
      </c>
      <c r="C26" s="905">
        <v>3313756</v>
      </c>
      <c r="D26" s="905"/>
      <c r="E26" s="905">
        <v>0</v>
      </c>
      <c r="F26" s="905"/>
      <c r="G26" s="905">
        <v>0</v>
      </c>
      <c r="H26" s="905"/>
      <c r="I26" s="905">
        <v>0</v>
      </c>
      <c r="J26" s="905"/>
      <c r="K26" s="591">
        <v>0</v>
      </c>
      <c r="L26" s="905"/>
      <c r="M26" s="591">
        <v>0</v>
      </c>
      <c r="N26" s="905"/>
      <c r="O26" s="905">
        <f>ROUND(SUM(C26)-SUM(M26)+SUM(I26),0)</f>
        <v>3313756</v>
      </c>
      <c r="P26" s="591"/>
      <c r="Q26" s="2022"/>
      <c r="R26" s="591"/>
      <c r="S26" s="591">
        <v>0</v>
      </c>
      <c r="T26" s="905"/>
      <c r="U26" s="591">
        <v>77781</v>
      </c>
    </row>
    <row r="27" spans="1:21">
      <c r="A27" s="264" t="s">
        <v>834</v>
      </c>
      <c r="C27" s="905">
        <v>352645</v>
      </c>
      <c r="D27" s="905"/>
      <c r="E27" s="905">
        <v>0</v>
      </c>
      <c r="F27" s="905"/>
      <c r="G27" s="905">
        <v>0</v>
      </c>
      <c r="H27" s="905"/>
      <c r="I27" s="905">
        <v>0</v>
      </c>
      <c r="J27" s="905"/>
      <c r="K27" s="591">
        <v>0</v>
      </c>
      <c r="L27" s="905"/>
      <c r="M27" s="591">
        <v>0</v>
      </c>
      <c r="N27" s="905"/>
      <c r="O27" s="905">
        <f>ROUND(SUM(C27)-SUM(M27)+SUM(I27),0)</f>
        <v>352645</v>
      </c>
      <c r="P27" s="591"/>
      <c r="Q27" s="2022"/>
      <c r="R27" s="591"/>
      <c r="S27" s="591">
        <v>0</v>
      </c>
      <c r="T27" s="905"/>
      <c r="U27" s="591">
        <v>8277</v>
      </c>
    </row>
    <row r="28" spans="1:21">
      <c r="A28" s="264" t="s">
        <v>835</v>
      </c>
      <c r="C28" s="905">
        <v>394808</v>
      </c>
      <c r="D28" s="905"/>
      <c r="E28" s="905">
        <v>0</v>
      </c>
      <c r="F28" s="905"/>
      <c r="G28" s="905">
        <v>0</v>
      </c>
      <c r="H28" s="905"/>
      <c r="I28" s="905">
        <v>0</v>
      </c>
      <c r="J28" s="905"/>
      <c r="K28" s="591">
        <v>0</v>
      </c>
      <c r="L28" s="905"/>
      <c r="M28" s="591">
        <v>0</v>
      </c>
      <c r="N28" s="905"/>
      <c r="O28" s="905">
        <f>ROUND(SUM(C28)-SUM(M28)+SUM(I28),0)</f>
        <v>394808</v>
      </c>
      <c r="P28" s="591"/>
      <c r="Q28" s="2022"/>
      <c r="R28" s="591"/>
      <c r="S28" s="591">
        <v>0</v>
      </c>
      <c r="T28" s="905"/>
      <c r="U28" s="591">
        <v>9267</v>
      </c>
    </row>
    <row r="29" spans="1:21">
      <c r="A29" s="264" t="s">
        <v>836</v>
      </c>
      <c r="C29" s="905">
        <v>0</v>
      </c>
      <c r="D29" s="905"/>
      <c r="E29" s="905">
        <v>0</v>
      </c>
      <c r="F29" s="905"/>
      <c r="G29" s="905">
        <v>0</v>
      </c>
      <c r="H29" s="905"/>
      <c r="I29" s="905">
        <v>0</v>
      </c>
      <c r="J29" s="905"/>
      <c r="K29" s="591">
        <v>0</v>
      </c>
      <c r="L29" s="905"/>
      <c r="M29" s="591">
        <v>0</v>
      </c>
      <c r="N29" s="905"/>
      <c r="O29" s="905">
        <f>ROUND(SUM(C29)-SUM(M29)+SUM(I29),0)</f>
        <v>0</v>
      </c>
      <c r="P29" s="591"/>
      <c r="Q29" s="2022"/>
      <c r="R29" s="591"/>
      <c r="S29" s="591">
        <v>0</v>
      </c>
      <c r="T29" s="905"/>
      <c r="U29" s="591">
        <v>0</v>
      </c>
    </row>
    <row r="30" spans="1:21">
      <c r="C30" s="905"/>
      <c r="D30" s="905"/>
      <c r="E30" s="905"/>
      <c r="F30" s="905"/>
      <c r="G30" s="905"/>
      <c r="H30" s="1715"/>
      <c r="I30" s="905"/>
      <c r="J30" s="905"/>
      <c r="K30" s="905" t="s">
        <v>103</v>
      </c>
      <c r="L30" s="905"/>
      <c r="M30" s="905" t="s">
        <v>103</v>
      </c>
      <c r="N30" s="1715"/>
      <c r="O30" s="905"/>
      <c r="Q30" s="1183"/>
      <c r="S30" s="905" t="s">
        <v>103</v>
      </c>
      <c r="T30" s="905"/>
      <c r="U30" s="905" t="s">
        <v>103</v>
      </c>
    </row>
    <row r="31" spans="1:21">
      <c r="A31" s="264" t="s">
        <v>837</v>
      </c>
      <c r="C31" s="905"/>
      <c r="D31" s="905"/>
      <c r="E31" s="905"/>
      <c r="F31" s="905"/>
      <c r="G31" s="591"/>
      <c r="H31" s="347"/>
      <c r="I31" s="591"/>
      <c r="J31" s="591"/>
      <c r="K31" s="905" t="s">
        <v>103</v>
      </c>
      <c r="L31" s="591"/>
      <c r="M31" s="905" t="s">
        <v>103</v>
      </c>
      <c r="N31" s="347"/>
      <c r="O31" s="905" t="s">
        <v>103</v>
      </c>
      <c r="Q31" s="1183"/>
      <c r="S31" s="905" t="s">
        <v>103</v>
      </c>
      <c r="T31" s="591"/>
      <c r="U31" s="905" t="s">
        <v>103</v>
      </c>
    </row>
    <row r="32" spans="1:21">
      <c r="A32" s="264" t="s">
        <v>838</v>
      </c>
      <c r="C32" s="905">
        <v>271856</v>
      </c>
      <c r="D32" s="905"/>
      <c r="E32" s="905">
        <v>0</v>
      </c>
      <c r="F32" s="905"/>
      <c r="G32" s="905">
        <v>0</v>
      </c>
      <c r="H32" s="1715"/>
      <c r="I32" s="905">
        <v>0</v>
      </c>
      <c r="J32" s="905"/>
      <c r="K32" s="591">
        <v>0</v>
      </c>
      <c r="L32" s="905"/>
      <c r="M32" s="591">
        <v>0</v>
      </c>
      <c r="N32" s="1715"/>
      <c r="O32" s="905">
        <f>ROUND(SUM(C32)-SUM(M32)+SUM(I32),0)</f>
        <v>271856</v>
      </c>
      <c r="Q32" s="1183"/>
      <c r="S32" s="591">
        <v>0</v>
      </c>
      <c r="T32" s="905"/>
      <c r="U32" s="591">
        <v>6381</v>
      </c>
    </row>
    <row r="33" spans="1:21">
      <c r="C33" s="905"/>
      <c r="D33" s="905"/>
      <c r="E33" s="905"/>
      <c r="F33" s="905"/>
      <c r="G33" s="591"/>
      <c r="H33" s="347"/>
      <c r="I33" s="591"/>
      <c r="J33" s="591"/>
      <c r="K33" s="905" t="s">
        <v>103</v>
      </c>
      <c r="L33" s="591"/>
      <c r="M33" s="905" t="s">
        <v>103</v>
      </c>
      <c r="N33" s="347"/>
      <c r="O33" s="905" t="s">
        <v>103</v>
      </c>
      <c r="Q33" s="1183"/>
      <c r="S33" s="905" t="s">
        <v>103</v>
      </c>
      <c r="T33" s="591"/>
      <c r="U33" s="905" t="s">
        <v>103</v>
      </c>
    </row>
    <row r="34" spans="1:21">
      <c r="A34" s="264" t="s">
        <v>839</v>
      </c>
      <c r="C34" s="905"/>
      <c r="D34" s="905"/>
      <c r="E34" s="905"/>
      <c r="F34" s="905"/>
      <c r="G34" s="591"/>
      <c r="H34" s="347"/>
      <c r="I34" s="591"/>
      <c r="J34" s="591"/>
      <c r="K34" s="905" t="s">
        <v>103</v>
      </c>
      <c r="L34" s="591"/>
      <c r="M34" s="905" t="s">
        <v>103</v>
      </c>
      <c r="N34" s="347"/>
      <c r="O34" s="905" t="s">
        <v>103</v>
      </c>
      <c r="Q34" s="1183"/>
      <c r="S34" s="905" t="s">
        <v>103</v>
      </c>
      <c r="T34" s="591"/>
      <c r="U34" s="905" t="s">
        <v>103</v>
      </c>
    </row>
    <row r="35" spans="1:21">
      <c r="A35" s="264" t="s">
        <v>840</v>
      </c>
      <c r="C35" s="905">
        <v>636124</v>
      </c>
      <c r="D35" s="905"/>
      <c r="E35" s="905">
        <v>0</v>
      </c>
      <c r="F35" s="905"/>
      <c r="G35" s="905">
        <v>0</v>
      </c>
      <c r="H35" s="1715"/>
      <c r="I35" s="905">
        <v>0</v>
      </c>
      <c r="J35" s="905"/>
      <c r="K35" s="591">
        <v>0</v>
      </c>
      <c r="L35" s="905"/>
      <c r="M35" s="591">
        <v>0</v>
      </c>
      <c r="N35" s="1715"/>
      <c r="O35" s="905">
        <f>ROUND(SUM(C35)-SUM(M35)+SUM(I35),0)</f>
        <v>636124</v>
      </c>
      <c r="Q35" s="1183"/>
      <c r="S35" s="591">
        <v>0</v>
      </c>
      <c r="T35" s="905"/>
      <c r="U35" s="591">
        <v>14931</v>
      </c>
    </row>
    <row r="36" spans="1:21">
      <c r="A36" s="264" t="s">
        <v>841</v>
      </c>
      <c r="C36" s="905">
        <v>1505891</v>
      </c>
      <c r="D36" s="905"/>
      <c r="E36" s="905">
        <v>0</v>
      </c>
      <c r="F36" s="905"/>
      <c r="G36" s="905">
        <v>0</v>
      </c>
      <c r="H36" s="1715"/>
      <c r="I36" s="905">
        <v>0</v>
      </c>
      <c r="J36" s="905"/>
      <c r="K36" s="591">
        <v>0</v>
      </c>
      <c r="L36" s="905" t="s">
        <v>103</v>
      </c>
      <c r="M36" s="591">
        <v>0</v>
      </c>
      <c r="N36" s="1715"/>
      <c r="O36" s="905">
        <f>ROUND(SUM(C36)-SUM(M36)+SUM(I36),0)</f>
        <v>1505891</v>
      </c>
      <c r="Q36" s="1183"/>
      <c r="S36" s="591">
        <v>0</v>
      </c>
      <c r="T36" s="905" t="s">
        <v>103</v>
      </c>
      <c r="U36" s="591">
        <v>36454</v>
      </c>
    </row>
    <row r="37" spans="1:21">
      <c r="A37" s="264" t="s">
        <v>842</v>
      </c>
      <c r="C37" s="905">
        <v>3839843</v>
      </c>
      <c r="D37" s="905"/>
      <c r="E37" s="905">
        <v>-2620</v>
      </c>
      <c r="F37" s="905"/>
      <c r="G37" s="905">
        <v>0</v>
      </c>
      <c r="H37" s="1715"/>
      <c r="I37" s="905">
        <v>0</v>
      </c>
      <c r="J37" s="905"/>
      <c r="K37" s="591">
        <v>0</v>
      </c>
      <c r="L37" s="905"/>
      <c r="M37" s="591">
        <v>76492</v>
      </c>
      <c r="N37" s="1715"/>
      <c r="O37" s="905">
        <f>ROUND(SUM(C37)-SUM(M37)+SUM(I37)+SUM(E37),0)</f>
        <v>3760731</v>
      </c>
      <c r="Q37" s="1183"/>
      <c r="S37" s="591">
        <v>0</v>
      </c>
      <c r="T37" s="905"/>
      <c r="U37" s="591">
        <v>72077</v>
      </c>
    </row>
    <row r="38" spans="1:21">
      <c r="C38" s="905"/>
      <c r="D38" s="905"/>
      <c r="E38" s="905"/>
      <c r="F38" s="905"/>
      <c r="G38" s="591"/>
      <c r="H38" s="347"/>
      <c r="I38" s="591"/>
      <c r="J38" s="591"/>
      <c r="K38" s="905" t="s">
        <v>103</v>
      </c>
      <c r="L38" s="591"/>
      <c r="M38" s="905" t="s">
        <v>103</v>
      </c>
      <c r="N38" s="347"/>
      <c r="O38" s="905" t="s">
        <v>103</v>
      </c>
      <c r="Q38" s="1183"/>
      <c r="S38" s="905" t="s">
        <v>103</v>
      </c>
      <c r="T38" s="591"/>
      <c r="U38" s="905" t="s">
        <v>103</v>
      </c>
    </row>
    <row r="39" spans="1:21">
      <c r="A39" s="264" t="s">
        <v>843</v>
      </c>
      <c r="C39" s="905"/>
      <c r="D39" s="905"/>
      <c r="E39" s="905"/>
      <c r="F39" s="905"/>
      <c r="G39" s="591"/>
      <c r="H39" s="347"/>
      <c r="I39" s="591"/>
      <c r="J39" s="591"/>
      <c r="K39" s="905" t="s">
        <v>103</v>
      </c>
      <c r="L39" s="591"/>
      <c r="M39" s="905" t="s">
        <v>103</v>
      </c>
      <c r="N39" s="347"/>
      <c r="O39" s="905" t="s">
        <v>103</v>
      </c>
      <c r="Q39" s="1183"/>
      <c r="S39" s="905" t="s">
        <v>103</v>
      </c>
      <c r="T39" s="591"/>
      <c r="U39" s="905" t="s">
        <v>103</v>
      </c>
    </row>
    <row r="40" spans="1:21">
      <c r="A40" s="264" t="s">
        <v>844</v>
      </c>
      <c r="C40" s="905">
        <v>1112607</v>
      </c>
      <c r="D40" s="905"/>
      <c r="E40" s="905">
        <v>0</v>
      </c>
      <c r="F40" s="905"/>
      <c r="G40" s="905">
        <v>0</v>
      </c>
      <c r="H40" s="1715"/>
      <c r="I40" s="905">
        <v>0</v>
      </c>
      <c r="J40" s="905"/>
      <c r="K40" s="591">
        <v>0</v>
      </c>
      <c r="L40" s="905"/>
      <c r="M40" s="591">
        <v>0</v>
      </c>
      <c r="N40" s="1715" t="s">
        <v>103</v>
      </c>
      <c r="O40" s="905">
        <f>ROUND(SUM(C40)-SUM(M40)+SUM(I40),0)</f>
        <v>1112607</v>
      </c>
      <c r="Q40" s="1183"/>
      <c r="S40" s="591">
        <v>0</v>
      </c>
      <c r="T40" s="905"/>
      <c r="U40" s="591">
        <v>21051</v>
      </c>
    </row>
    <row r="41" spans="1:21">
      <c r="A41" s="264" t="s">
        <v>845</v>
      </c>
      <c r="C41" s="905">
        <v>32633626</v>
      </c>
      <c r="D41" s="905"/>
      <c r="E41" s="905">
        <v>0</v>
      </c>
      <c r="F41" s="905"/>
      <c r="G41" s="905">
        <v>0</v>
      </c>
      <c r="H41" s="1715"/>
      <c r="I41" s="905">
        <v>0</v>
      </c>
      <c r="J41" s="905"/>
      <c r="K41" s="591">
        <v>0</v>
      </c>
      <c r="L41" s="905"/>
      <c r="M41" s="591">
        <v>0</v>
      </c>
      <c r="N41" s="1715"/>
      <c r="O41" s="905">
        <f>ROUND(SUM(C41)-SUM(M41)+SUM(I41),0)</f>
        <v>32633626</v>
      </c>
      <c r="Q41" s="1183"/>
      <c r="S41" s="591">
        <v>0</v>
      </c>
      <c r="T41" s="905"/>
      <c r="U41" s="591">
        <v>537811</v>
      </c>
    </row>
    <row r="42" spans="1:21">
      <c r="C42" s="905"/>
      <c r="D42" s="905"/>
      <c r="E42" s="905"/>
      <c r="F42" s="905"/>
      <c r="G42" s="591"/>
      <c r="H42" s="347"/>
      <c r="I42" s="591"/>
      <c r="J42" s="591"/>
      <c r="K42" s="905" t="s">
        <v>103</v>
      </c>
      <c r="L42" s="591"/>
      <c r="M42" s="905" t="s">
        <v>103</v>
      </c>
      <c r="N42" s="347"/>
      <c r="O42" s="905" t="s">
        <v>103</v>
      </c>
      <c r="Q42" s="1183"/>
      <c r="S42" s="905" t="s">
        <v>103</v>
      </c>
      <c r="T42" s="591"/>
      <c r="U42" s="905" t="s">
        <v>103</v>
      </c>
    </row>
    <row r="43" spans="1:21">
      <c r="A43" s="264" t="s">
        <v>846</v>
      </c>
      <c r="C43" s="905"/>
      <c r="D43" s="905"/>
      <c r="E43" s="905"/>
      <c r="F43" s="905"/>
      <c r="G43" s="591"/>
      <c r="H43" s="347"/>
      <c r="I43" s="591"/>
      <c r="J43" s="591"/>
      <c r="K43" s="905" t="s">
        <v>103</v>
      </c>
      <c r="L43" s="591"/>
      <c r="M43" s="905" t="s">
        <v>103</v>
      </c>
      <c r="N43" s="347"/>
      <c r="O43" s="905" t="s">
        <v>103</v>
      </c>
      <c r="Q43" s="1183"/>
      <c r="S43" s="905" t="s">
        <v>103</v>
      </c>
      <c r="T43" s="591"/>
      <c r="U43" s="905" t="s">
        <v>103</v>
      </c>
    </row>
    <row r="44" spans="1:21">
      <c r="A44" s="264" t="s">
        <v>847</v>
      </c>
      <c r="C44" s="905">
        <v>0</v>
      </c>
      <c r="D44" s="905"/>
      <c r="E44" s="905">
        <v>0</v>
      </c>
      <c r="F44" s="905"/>
      <c r="G44" s="905">
        <v>0</v>
      </c>
      <c r="H44" s="1715"/>
      <c r="I44" s="905">
        <v>0</v>
      </c>
      <c r="J44" s="905"/>
      <c r="K44" s="591">
        <v>0</v>
      </c>
      <c r="L44" s="905"/>
      <c r="M44" s="591">
        <v>0</v>
      </c>
      <c r="N44" s="1715"/>
      <c r="O44" s="905">
        <f>ROUND(SUM(C44)-SUM(M44)+SUM(I44),0)</f>
        <v>0</v>
      </c>
      <c r="Q44" s="1183"/>
      <c r="S44" s="591">
        <v>0</v>
      </c>
      <c r="T44" s="905"/>
      <c r="U44" s="591">
        <v>0</v>
      </c>
    </row>
    <row r="45" spans="1:21">
      <c r="A45" s="264" t="s">
        <v>848</v>
      </c>
      <c r="C45" s="905">
        <v>0</v>
      </c>
      <c r="D45" s="905"/>
      <c r="E45" s="905">
        <v>0</v>
      </c>
      <c r="F45" s="905"/>
      <c r="G45" s="905">
        <v>0</v>
      </c>
      <c r="H45" s="1715"/>
      <c r="I45" s="905">
        <v>0</v>
      </c>
      <c r="J45" s="905"/>
      <c r="K45" s="591">
        <v>0</v>
      </c>
      <c r="L45" s="905"/>
      <c r="M45" s="591">
        <v>0</v>
      </c>
      <c r="N45" s="1715"/>
      <c r="O45" s="905">
        <f>ROUND(SUM(C45)-SUM(M45)+SUM(I45),0)</f>
        <v>0</v>
      </c>
      <c r="Q45" s="1183"/>
      <c r="S45" s="591">
        <v>0</v>
      </c>
      <c r="T45" s="905"/>
      <c r="U45" s="591">
        <v>0</v>
      </c>
    </row>
    <row r="46" spans="1:21">
      <c r="C46" s="905"/>
      <c r="D46" s="905"/>
      <c r="E46" s="905"/>
      <c r="F46" s="905"/>
      <c r="G46" s="591"/>
      <c r="H46" s="347"/>
      <c r="I46" s="591"/>
      <c r="J46" s="591"/>
      <c r="K46" s="905" t="s">
        <v>103</v>
      </c>
      <c r="L46" s="591"/>
      <c r="M46" s="905" t="s">
        <v>103</v>
      </c>
      <c r="N46" s="347"/>
      <c r="O46" s="905" t="s">
        <v>103</v>
      </c>
      <c r="Q46" s="1183"/>
      <c r="S46" s="905" t="s">
        <v>103</v>
      </c>
      <c r="T46" s="591"/>
      <c r="U46" s="905" t="s">
        <v>103</v>
      </c>
    </row>
    <row r="47" spans="1:21">
      <c r="A47" s="264" t="s">
        <v>849</v>
      </c>
      <c r="C47" s="905">
        <v>0</v>
      </c>
      <c r="D47" s="905"/>
      <c r="E47" s="905">
        <v>0</v>
      </c>
      <c r="F47" s="905"/>
      <c r="G47" s="905">
        <v>0</v>
      </c>
      <c r="H47" s="1715"/>
      <c r="I47" s="905">
        <v>0</v>
      </c>
      <c r="J47" s="905"/>
      <c r="K47" s="591">
        <v>0</v>
      </c>
      <c r="L47" s="905"/>
      <c r="M47" s="591">
        <v>0</v>
      </c>
      <c r="N47" s="1715"/>
      <c r="O47" s="905">
        <f>ROUND(SUM(C47)-SUM(M47)+SUM(I47),0)</f>
        <v>0</v>
      </c>
      <c r="Q47" s="1183"/>
      <c r="S47" s="591">
        <v>0</v>
      </c>
      <c r="T47" s="905"/>
      <c r="U47" s="591">
        <v>0</v>
      </c>
    </row>
    <row r="48" spans="1:21">
      <c r="C48" s="905"/>
      <c r="D48" s="905"/>
      <c r="E48" s="905"/>
      <c r="F48" s="905"/>
      <c r="G48" s="905"/>
      <c r="H48" s="1715"/>
      <c r="I48" s="905"/>
      <c r="J48" s="905"/>
      <c r="K48" s="905" t="s">
        <v>103</v>
      </c>
      <c r="L48" s="905"/>
      <c r="M48" s="905" t="s">
        <v>103</v>
      </c>
      <c r="N48" s="1715"/>
      <c r="O48" s="905" t="s">
        <v>103</v>
      </c>
      <c r="Q48" s="1183"/>
      <c r="S48" s="905" t="s">
        <v>103</v>
      </c>
      <c r="T48" s="905"/>
      <c r="U48" s="905" t="s">
        <v>103</v>
      </c>
    </row>
    <row r="49" spans="1:21">
      <c r="A49" s="264" t="s">
        <v>850</v>
      </c>
      <c r="C49" s="905">
        <v>14600515</v>
      </c>
      <c r="D49" s="905"/>
      <c r="E49" s="905">
        <v>-17567</v>
      </c>
      <c r="F49" s="905"/>
      <c r="G49" s="905">
        <v>0</v>
      </c>
      <c r="H49" s="1715"/>
      <c r="I49" s="905">
        <v>0</v>
      </c>
      <c r="J49" s="905"/>
      <c r="K49" s="591">
        <v>0</v>
      </c>
      <c r="L49" s="905"/>
      <c r="M49" s="591">
        <v>244685</v>
      </c>
      <c r="N49" s="1715"/>
      <c r="O49" s="905">
        <f>ROUND(SUM(C49)-SUM(M49)+SUM(I49)+SUM(E49),0)</f>
        <v>14338263</v>
      </c>
      <c r="Q49" s="1183"/>
      <c r="S49" s="591">
        <v>0</v>
      </c>
      <c r="T49" s="905"/>
      <c r="U49" s="591">
        <v>317025</v>
      </c>
    </row>
    <row r="50" spans="1:21">
      <c r="C50" s="905"/>
      <c r="D50" s="905"/>
      <c r="E50" s="905"/>
      <c r="F50" s="905"/>
      <c r="G50" s="905"/>
      <c r="H50" s="1715"/>
      <c r="I50" s="905"/>
      <c r="J50" s="905"/>
      <c r="K50" s="905" t="s">
        <v>103</v>
      </c>
      <c r="L50" s="905"/>
      <c r="M50" s="905" t="s">
        <v>103</v>
      </c>
      <c r="N50" s="1715"/>
      <c r="O50" s="905" t="s">
        <v>103</v>
      </c>
      <c r="Q50" s="1183"/>
      <c r="S50" s="905" t="s">
        <v>103</v>
      </c>
      <c r="T50" s="905"/>
      <c r="U50" s="905" t="s">
        <v>103</v>
      </c>
    </row>
    <row r="51" spans="1:21">
      <c r="A51" s="264" t="s">
        <v>851</v>
      </c>
      <c r="C51" s="905">
        <v>0</v>
      </c>
      <c r="D51" s="905"/>
      <c r="E51" s="905">
        <v>0</v>
      </c>
      <c r="F51" s="905"/>
      <c r="G51" s="905">
        <v>0</v>
      </c>
      <c r="H51" s="1715"/>
      <c r="I51" s="905">
        <v>0</v>
      </c>
      <c r="J51" s="905"/>
      <c r="K51" s="591">
        <v>0</v>
      </c>
      <c r="L51" s="905"/>
      <c r="M51" s="591">
        <v>0</v>
      </c>
      <c r="N51" s="1715"/>
      <c r="O51" s="905">
        <f>ROUND(SUM(C51)-SUM(M51)+SUM(I51),0)</f>
        <v>0</v>
      </c>
      <c r="Q51" s="1183"/>
      <c r="S51" s="591">
        <v>0</v>
      </c>
      <c r="T51" s="905"/>
      <c r="U51" s="591">
        <v>0</v>
      </c>
    </row>
    <row r="52" spans="1:21">
      <c r="C52" s="905"/>
      <c r="D52" s="905"/>
      <c r="E52" s="905"/>
      <c r="F52" s="905"/>
      <c r="G52" s="905"/>
      <c r="H52" s="1715"/>
      <c r="I52" s="905"/>
      <c r="J52" s="905"/>
      <c r="K52" s="905" t="s">
        <v>103</v>
      </c>
      <c r="L52" s="905"/>
      <c r="M52" s="905" t="s">
        <v>103</v>
      </c>
      <c r="N52" s="1715"/>
      <c r="O52" s="905" t="s">
        <v>103</v>
      </c>
      <c r="Q52" s="1183"/>
      <c r="S52" s="905" t="s">
        <v>103</v>
      </c>
      <c r="T52" s="905"/>
      <c r="U52" s="905" t="s">
        <v>103</v>
      </c>
    </row>
    <row r="53" spans="1:21">
      <c r="A53" s="264" t="s">
        <v>852</v>
      </c>
      <c r="C53" s="905"/>
      <c r="D53" s="905"/>
      <c r="E53" s="905"/>
      <c r="F53" s="905"/>
      <c r="G53" s="1185"/>
      <c r="H53" s="1716"/>
      <c r="I53" s="1185"/>
      <c r="J53" s="1185"/>
      <c r="K53" s="905" t="s">
        <v>103</v>
      </c>
      <c r="L53" s="1185"/>
      <c r="M53" s="905" t="s">
        <v>103</v>
      </c>
      <c r="N53" s="1716"/>
      <c r="O53" s="905" t="s">
        <v>103</v>
      </c>
      <c r="Q53" s="1183"/>
      <c r="S53" s="905" t="s">
        <v>103</v>
      </c>
      <c r="T53" s="1185"/>
      <c r="U53" s="905" t="s">
        <v>103</v>
      </c>
    </row>
    <row r="54" spans="1:21">
      <c r="A54" s="264" t="s">
        <v>853</v>
      </c>
      <c r="C54" s="905">
        <v>349787094</v>
      </c>
      <c r="D54" s="905"/>
      <c r="E54" s="905">
        <v>-33970</v>
      </c>
      <c r="F54" s="905"/>
      <c r="G54" s="905">
        <v>0</v>
      </c>
      <c r="H54" s="1716"/>
      <c r="I54" s="905">
        <v>0</v>
      </c>
      <c r="J54" s="1185"/>
      <c r="K54" s="591">
        <v>0</v>
      </c>
      <c r="L54" s="1185"/>
      <c r="M54" s="591">
        <v>114220</v>
      </c>
      <c r="N54" s="1716" t="s">
        <v>103</v>
      </c>
      <c r="O54" s="905">
        <f>ROUND(SUM(C54)-SUM(M54)+SUM(I54)+SUM(E54),0)</f>
        <v>349638904</v>
      </c>
      <c r="Q54" s="1183"/>
      <c r="S54" s="591">
        <v>0</v>
      </c>
      <c r="T54" s="1185"/>
      <c r="U54" s="591">
        <v>5424963</v>
      </c>
    </row>
    <row r="55" spans="1:21">
      <c r="A55" s="264" t="s">
        <v>854</v>
      </c>
      <c r="C55" s="905">
        <v>1795066</v>
      </c>
      <c r="D55" s="905"/>
      <c r="E55" s="905">
        <v>0</v>
      </c>
      <c r="F55" s="905"/>
      <c r="G55" s="905">
        <v>0</v>
      </c>
      <c r="H55" s="1716"/>
      <c r="I55" s="905">
        <v>0</v>
      </c>
      <c r="J55" s="1185"/>
      <c r="K55" s="591">
        <v>0</v>
      </c>
      <c r="L55" s="1185" t="s">
        <v>103</v>
      </c>
      <c r="M55" s="591">
        <v>0</v>
      </c>
      <c r="N55" s="1716"/>
      <c r="O55" s="905">
        <f t="shared" ref="O55:O58" si="0">ROUND(SUM(C55)-SUM(M55)+SUM(I55),0)</f>
        <v>1795066</v>
      </c>
      <c r="Q55" s="1183"/>
      <c r="S55" s="591">
        <v>0</v>
      </c>
      <c r="T55" s="1185" t="s">
        <v>103</v>
      </c>
      <c r="U55" s="591">
        <v>29034</v>
      </c>
    </row>
    <row r="56" spans="1:21">
      <c r="A56" s="264" t="s">
        <v>855</v>
      </c>
      <c r="C56" s="905">
        <v>34565951</v>
      </c>
      <c r="D56" s="905"/>
      <c r="E56" s="905">
        <v>-24326</v>
      </c>
      <c r="F56" s="905"/>
      <c r="G56" s="905">
        <v>0</v>
      </c>
      <c r="H56" s="1716"/>
      <c r="I56" s="905">
        <v>0</v>
      </c>
      <c r="J56" s="1185"/>
      <c r="K56" s="591">
        <v>0</v>
      </c>
      <c r="L56" s="1185"/>
      <c r="M56" s="591">
        <v>1303451</v>
      </c>
      <c r="N56" s="1716"/>
      <c r="O56" s="905">
        <f>ROUND(SUM(C56)-SUM(M56)+SUM(I56)+SUM(E56),0)</f>
        <v>33238174</v>
      </c>
      <c r="Q56" s="1183"/>
      <c r="S56" s="591">
        <v>0</v>
      </c>
      <c r="T56" s="1185"/>
      <c r="U56" s="591">
        <v>513192</v>
      </c>
    </row>
    <row r="57" spans="1:21">
      <c r="A57" s="264" t="s">
        <v>856</v>
      </c>
      <c r="C57" s="905">
        <v>66132078</v>
      </c>
      <c r="D57" s="905"/>
      <c r="E57" s="905">
        <v>-72978</v>
      </c>
      <c r="F57" s="905"/>
      <c r="G57" s="905">
        <v>0</v>
      </c>
      <c r="H57" s="1716"/>
      <c r="I57" s="905">
        <v>0</v>
      </c>
      <c r="J57" s="1185"/>
      <c r="K57" s="591">
        <v>0</v>
      </c>
      <c r="L57" s="1185"/>
      <c r="M57" s="591">
        <v>1178776</v>
      </c>
      <c r="N57" s="1716"/>
      <c r="O57" s="905">
        <f>ROUND(SUM(C57)-SUM(M57)+SUM(I57)+SUM(E57),0)</f>
        <v>64880324</v>
      </c>
      <c r="Q57" s="1183"/>
      <c r="S57" s="591">
        <v>0</v>
      </c>
      <c r="T57" s="1185"/>
      <c r="U57" s="591">
        <v>1011872</v>
      </c>
    </row>
    <row r="58" spans="1:21">
      <c r="A58" s="264" t="s">
        <v>857</v>
      </c>
      <c r="C58" s="905">
        <v>6787442</v>
      </c>
      <c r="D58" s="905"/>
      <c r="E58" s="905">
        <v>0</v>
      </c>
      <c r="F58" s="905"/>
      <c r="G58" s="905">
        <v>0</v>
      </c>
      <c r="H58" s="1716"/>
      <c r="I58" s="905">
        <v>0</v>
      </c>
      <c r="J58" s="1185"/>
      <c r="K58" s="591">
        <v>0</v>
      </c>
      <c r="L58" s="1185"/>
      <c r="M58" s="591">
        <v>0</v>
      </c>
      <c r="N58" s="1716"/>
      <c r="O58" s="905">
        <f t="shared" si="0"/>
        <v>6787442</v>
      </c>
      <c r="Q58" s="1183"/>
      <c r="S58" s="591">
        <v>0</v>
      </c>
      <c r="T58" s="1185"/>
      <c r="U58" s="591">
        <v>141868</v>
      </c>
    </row>
    <row r="59" spans="1:21">
      <c r="A59" s="264" t="s">
        <v>858</v>
      </c>
      <c r="C59" s="905">
        <v>822405844</v>
      </c>
      <c r="D59" s="905"/>
      <c r="E59" s="905">
        <v>-1622787</v>
      </c>
      <c r="F59" s="905"/>
      <c r="G59" s="905">
        <v>0</v>
      </c>
      <c r="H59" s="1715"/>
      <c r="I59" s="905">
        <v>0</v>
      </c>
      <c r="J59" s="905"/>
      <c r="K59" s="591">
        <v>0</v>
      </c>
      <c r="L59" s="905" t="s">
        <v>103</v>
      </c>
      <c r="M59" s="591">
        <v>15217853</v>
      </c>
      <c r="N59" s="1715"/>
      <c r="O59" s="905">
        <f>ROUND(SUM(C59)-SUM(M59)+SUM(I59)+SUM(E59),0)</f>
        <v>805565204</v>
      </c>
      <c r="Q59" s="1183"/>
      <c r="S59" s="591">
        <v>0</v>
      </c>
      <c r="T59" s="905" t="s">
        <v>103</v>
      </c>
      <c r="U59" s="591">
        <v>14816494</v>
      </c>
    </row>
    <row r="60" spans="1:21">
      <c r="C60" s="905"/>
      <c r="D60" s="905"/>
      <c r="E60" s="905"/>
      <c r="F60" s="905"/>
      <c r="G60" s="905"/>
      <c r="H60" s="1715"/>
      <c r="I60" s="905"/>
      <c r="J60" s="905"/>
      <c r="K60" s="905" t="s">
        <v>103</v>
      </c>
      <c r="L60" s="905"/>
      <c r="M60" s="905" t="s">
        <v>103</v>
      </c>
      <c r="N60" s="1715"/>
      <c r="O60" s="905" t="s">
        <v>103</v>
      </c>
      <c r="Q60" s="1183"/>
      <c r="S60" s="905" t="s">
        <v>103</v>
      </c>
      <c r="T60" s="905"/>
      <c r="U60" s="905" t="s">
        <v>103</v>
      </c>
    </row>
    <row r="61" spans="1:21">
      <c r="A61" s="264" t="s">
        <v>859</v>
      </c>
      <c r="C61" s="905"/>
      <c r="D61" s="905"/>
      <c r="E61" s="905"/>
      <c r="F61" s="905"/>
      <c r="G61" s="905"/>
      <c r="H61" s="1715"/>
      <c r="I61" s="905"/>
      <c r="J61" s="905"/>
      <c r="K61" s="905" t="s">
        <v>103</v>
      </c>
      <c r="L61" s="905"/>
      <c r="M61" s="905" t="s">
        <v>103</v>
      </c>
      <c r="N61" s="1715"/>
      <c r="O61" s="905" t="s">
        <v>103</v>
      </c>
      <c r="Q61" s="1183"/>
      <c r="S61" s="905" t="s">
        <v>103</v>
      </c>
      <c r="T61" s="905"/>
      <c r="U61" s="905" t="s">
        <v>103</v>
      </c>
    </row>
    <row r="62" spans="1:21">
      <c r="A62" s="264" t="s">
        <v>860</v>
      </c>
      <c r="C62" s="905">
        <v>0</v>
      </c>
      <c r="D62" s="905"/>
      <c r="E62" s="905">
        <v>0</v>
      </c>
      <c r="F62" s="905"/>
      <c r="G62" s="905">
        <v>0</v>
      </c>
      <c r="H62" s="1715"/>
      <c r="I62" s="905">
        <v>0</v>
      </c>
      <c r="J62" s="905"/>
      <c r="K62" s="591">
        <v>0</v>
      </c>
      <c r="L62" s="905"/>
      <c r="M62" s="591">
        <v>0</v>
      </c>
      <c r="N62" s="1715"/>
      <c r="O62" s="905">
        <f>ROUND(SUM(C62)-SUM(M62)+SUM(I62),0)</f>
        <v>0</v>
      </c>
      <c r="Q62" s="1183"/>
      <c r="S62" s="591">
        <v>0</v>
      </c>
      <c r="T62" s="905"/>
      <c r="U62" s="591">
        <v>0</v>
      </c>
    </row>
    <row r="63" spans="1:21">
      <c r="A63" s="380" t="s">
        <v>861</v>
      </c>
      <c r="C63" s="905">
        <v>255371</v>
      </c>
      <c r="D63" s="905"/>
      <c r="E63" s="905">
        <v>0</v>
      </c>
      <c r="F63" s="905"/>
      <c r="G63" s="905">
        <v>0</v>
      </c>
      <c r="H63" s="1715"/>
      <c r="I63" s="905">
        <v>0</v>
      </c>
      <c r="J63" s="905"/>
      <c r="K63" s="591">
        <v>0</v>
      </c>
      <c r="L63" s="905"/>
      <c r="M63" s="591">
        <v>147352</v>
      </c>
      <c r="N63" s="1715"/>
      <c r="O63" s="905">
        <f>ROUND(SUM(C63)-SUM(M63)+SUM(I63),0)</f>
        <v>108019</v>
      </c>
      <c r="Q63" s="1183"/>
      <c r="S63" s="591">
        <v>0</v>
      </c>
      <c r="T63" s="905"/>
      <c r="U63" s="591">
        <v>6219</v>
      </c>
    </row>
    <row r="64" spans="1:21" ht="13.5" customHeight="1">
      <c r="C64" s="905"/>
      <c r="D64" s="905"/>
      <c r="E64" s="905"/>
      <c r="F64" s="905"/>
      <c r="G64" s="905"/>
      <c r="H64" s="1715"/>
      <c r="I64" s="905"/>
      <c r="J64" s="905"/>
      <c r="K64" s="905" t="s">
        <v>103</v>
      </c>
      <c r="L64" s="905"/>
      <c r="M64" s="905" t="s">
        <v>103</v>
      </c>
      <c r="N64" s="1715"/>
      <c r="O64" s="905" t="s">
        <v>103</v>
      </c>
      <c r="Q64" s="1183"/>
      <c r="S64" s="905" t="s">
        <v>103</v>
      </c>
      <c r="T64" s="905"/>
      <c r="U64" s="905" t="s">
        <v>103</v>
      </c>
    </row>
    <row r="65" spans="1:21">
      <c r="A65" s="264" t="s">
        <v>862</v>
      </c>
      <c r="C65" s="905">
        <v>702829931</v>
      </c>
      <c r="D65" s="905"/>
      <c r="E65" s="905">
        <v>0</v>
      </c>
      <c r="F65" s="905"/>
      <c r="G65" s="905">
        <v>0</v>
      </c>
      <c r="H65" s="1715"/>
      <c r="I65" s="905">
        <v>0</v>
      </c>
      <c r="J65" s="905"/>
      <c r="K65" s="591">
        <v>0</v>
      </c>
      <c r="L65" s="905"/>
      <c r="M65" s="591">
        <v>0</v>
      </c>
      <c r="N65" s="1715"/>
      <c r="O65" s="905">
        <f>ROUND(SUM(C65)-SUM(M65)+SUM(I65),0)</f>
        <v>702829931</v>
      </c>
      <c r="Q65" s="1183"/>
      <c r="S65" s="591">
        <v>0</v>
      </c>
      <c r="T65" s="905"/>
      <c r="U65" s="591">
        <v>16268777</v>
      </c>
    </row>
    <row r="66" spans="1:21" ht="13.5" customHeight="1">
      <c r="C66" s="905"/>
      <c r="D66" s="905"/>
      <c r="E66" s="905"/>
      <c r="F66" s="905"/>
      <c r="G66" s="905"/>
      <c r="H66" s="1715"/>
      <c r="I66" s="905"/>
      <c r="J66" s="905"/>
      <c r="K66" s="905" t="s">
        <v>103</v>
      </c>
      <c r="L66" s="905"/>
      <c r="M66" s="905" t="s">
        <v>103</v>
      </c>
      <c r="N66" s="1715"/>
      <c r="O66" s="905" t="s">
        <v>103</v>
      </c>
      <c r="Q66" s="1183"/>
      <c r="S66" s="905" t="s">
        <v>103</v>
      </c>
      <c r="T66" s="905"/>
      <c r="U66" s="905" t="s">
        <v>103</v>
      </c>
    </row>
    <row r="67" spans="1:21">
      <c r="A67" s="264" t="s">
        <v>863</v>
      </c>
      <c r="C67" s="905"/>
      <c r="D67" s="905"/>
      <c r="E67" s="905"/>
      <c r="F67" s="905"/>
      <c r="G67" s="905"/>
      <c r="H67" s="1715"/>
      <c r="I67" s="905"/>
      <c r="J67" s="905"/>
      <c r="K67" s="905" t="s">
        <v>103</v>
      </c>
      <c r="L67" s="905"/>
      <c r="M67" s="905" t="s">
        <v>103</v>
      </c>
      <c r="N67" s="1715"/>
      <c r="O67" s="905" t="s">
        <v>103</v>
      </c>
      <c r="Q67" s="1183"/>
      <c r="S67" s="905" t="s">
        <v>103</v>
      </c>
      <c r="T67" s="905"/>
      <c r="U67" s="905" t="s">
        <v>103</v>
      </c>
    </row>
    <row r="68" spans="1:21">
      <c r="A68" s="264" t="s">
        <v>855</v>
      </c>
      <c r="C68" s="905">
        <v>35271</v>
      </c>
      <c r="D68" s="905"/>
      <c r="E68" s="905">
        <v>0</v>
      </c>
      <c r="F68" s="905"/>
      <c r="G68" s="905">
        <v>0</v>
      </c>
      <c r="H68" s="1715"/>
      <c r="I68" s="905">
        <v>0</v>
      </c>
      <c r="J68" s="905"/>
      <c r="K68" s="591">
        <v>0</v>
      </c>
      <c r="L68" s="905"/>
      <c r="M68" s="591">
        <v>0</v>
      </c>
      <c r="N68" s="1715"/>
      <c r="O68" s="905">
        <f>ROUND(SUM(C68)-SUM(M68)+SUM(I68),0)</f>
        <v>35271</v>
      </c>
      <c r="Q68" s="1183"/>
      <c r="S68" s="591">
        <v>0</v>
      </c>
      <c r="T68" s="905"/>
      <c r="U68" s="591">
        <v>828</v>
      </c>
    </row>
    <row r="69" spans="1:21">
      <c r="A69" s="264" t="s">
        <v>864</v>
      </c>
      <c r="C69" s="905">
        <v>0</v>
      </c>
      <c r="D69" s="905"/>
      <c r="E69" s="905">
        <v>0</v>
      </c>
      <c r="F69" s="905"/>
      <c r="G69" s="905">
        <v>0</v>
      </c>
      <c r="H69" s="1715"/>
      <c r="I69" s="905">
        <v>0</v>
      </c>
      <c r="J69" s="905"/>
      <c r="K69" s="591">
        <v>0</v>
      </c>
      <c r="L69" s="905"/>
      <c r="M69" s="591">
        <v>0</v>
      </c>
      <c r="N69" s="1715"/>
      <c r="O69" s="905">
        <f>ROUND(SUM(C69)-SUM(M69)+SUM(I69),0)</f>
        <v>0</v>
      </c>
      <c r="Q69" s="1183"/>
      <c r="S69" s="591">
        <v>0</v>
      </c>
      <c r="T69" s="905"/>
      <c r="U69" s="591">
        <v>0</v>
      </c>
    </row>
    <row r="70" spans="1:21">
      <c r="G70" s="1186"/>
      <c r="H70" s="1713"/>
      <c r="I70" s="1186"/>
      <c r="J70" s="1186"/>
      <c r="K70" s="1186"/>
      <c r="L70" s="1186"/>
      <c r="M70" s="1186"/>
      <c r="N70" s="1186"/>
      <c r="O70" s="1186"/>
      <c r="Q70" s="1183"/>
      <c r="S70" s="1717"/>
      <c r="U70" s="1182"/>
    </row>
    <row r="71" spans="1:21" ht="15" customHeight="1" thickBot="1">
      <c r="A71" s="266" t="s">
        <v>865</v>
      </c>
      <c r="B71" s="574"/>
      <c r="C71" s="906">
        <f>ROUND(SUM(C16:C69),2)</f>
        <v>2268580000</v>
      </c>
      <c r="D71" s="1294"/>
      <c r="E71" s="906">
        <f>ROUND(SUM(E16:E69),2)</f>
        <v>-1849963</v>
      </c>
      <c r="F71" s="1294" t="s">
        <v>103</v>
      </c>
      <c r="G71" s="906">
        <f>ROUND(SUM(G16:G70),2)</f>
        <v>0</v>
      </c>
      <c r="H71" s="1718"/>
      <c r="I71" s="906">
        <f>ROUND(SUM(I16:I69),2)</f>
        <v>0</v>
      </c>
      <c r="J71" s="574"/>
      <c r="K71" s="906">
        <f>ROUND(SUM(K16:K69),2)</f>
        <v>0</v>
      </c>
      <c r="L71" s="574"/>
      <c r="M71" s="906">
        <f>ROUND(SUM(M16:M69),0)</f>
        <v>28890037</v>
      </c>
      <c r="N71" s="574"/>
      <c r="O71" s="906">
        <f>ROUND(SUM(O16:O69),2)</f>
        <v>2237840000</v>
      </c>
      <c r="P71" s="266"/>
      <c r="Q71" s="1719"/>
      <c r="R71" s="574"/>
      <c r="S71" s="906">
        <f>ROUND(SUM(S16:S69),2)</f>
        <v>0</v>
      </c>
      <c r="T71" s="574"/>
      <c r="U71" s="906">
        <f>ROUND(SUM(U16:U69),0)</f>
        <v>43076918</v>
      </c>
    </row>
    <row r="72" spans="1:21" ht="15" customHeight="1" thickTop="1">
      <c r="A72" s="575"/>
      <c r="B72" s="576"/>
      <c r="C72" s="363"/>
      <c r="D72" s="363"/>
      <c r="E72" s="363"/>
      <c r="F72" s="363"/>
      <c r="G72" s="1721"/>
      <c r="H72" s="1720"/>
      <c r="I72" s="1721"/>
      <c r="J72" s="576"/>
      <c r="K72" s="1720"/>
      <c r="L72" s="576"/>
      <c r="M72" s="1722"/>
      <c r="N72" s="576"/>
      <c r="O72" s="363"/>
      <c r="P72" s="266"/>
      <c r="Q72" s="266"/>
      <c r="R72" s="576"/>
      <c r="S72" s="1723"/>
      <c r="T72" s="576"/>
      <c r="U72" s="1720"/>
    </row>
    <row r="73" spans="1:21">
      <c r="A73" s="955" t="s">
        <v>1546</v>
      </c>
      <c r="G73" s="347"/>
      <c r="I73" s="347"/>
      <c r="K73" s="264"/>
      <c r="M73" s="1184" t="s">
        <v>103</v>
      </c>
      <c r="R73" s="311"/>
    </row>
    <row r="74" spans="1:21">
      <c r="A74" s="311" t="s">
        <v>1542</v>
      </c>
      <c r="I74" s="347"/>
      <c r="J74" s="1724"/>
      <c r="K74" s="591"/>
      <c r="L74" s="1724"/>
      <c r="M74" s="1184"/>
      <c r="N74" s="310"/>
      <c r="R74" s="310"/>
      <c r="S74" s="565"/>
      <c r="T74" s="1713"/>
      <c r="U74" s="565"/>
    </row>
    <row r="75" spans="1:21">
      <c r="A75" s="268"/>
      <c r="C75" s="347" t="s">
        <v>103</v>
      </c>
      <c r="G75" s="1725"/>
      <c r="I75" s="1187"/>
      <c r="K75" s="591"/>
      <c r="M75" s="1714" t="s">
        <v>103</v>
      </c>
      <c r="S75" s="1713"/>
      <c r="U75" s="1713"/>
    </row>
    <row r="76" spans="1:21">
      <c r="C76" s="347" t="s">
        <v>103</v>
      </c>
      <c r="K76" s="591"/>
      <c r="M76" s="1726"/>
      <c r="S76" s="311"/>
    </row>
    <row r="77" spans="1:21">
      <c r="G77" s="1727"/>
      <c r="H77" s="1713"/>
      <c r="I77" s="1727"/>
      <c r="K77" s="591"/>
      <c r="M77" s="1714" t="s">
        <v>103</v>
      </c>
      <c r="O77" s="1728"/>
      <c r="S77" s="1729"/>
      <c r="U77" s="1713"/>
    </row>
    <row r="78" spans="1:21">
      <c r="C78" s="347" t="s">
        <v>103</v>
      </c>
      <c r="G78" s="1727"/>
      <c r="H78" s="1713"/>
      <c r="I78" s="310"/>
      <c r="K78" s="591"/>
      <c r="M78" s="1714"/>
      <c r="O78" s="1730"/>
      <c r="S78" s="310"/>
      <c r="U78" s="1713"/>
    </row>
    <row r="79" spans="1:21">
      <c r="G79" s="1727"/>
      <c r="H79" s="1713"/>
      <c r="I79" s="1713"/>
      <c r="K79" s="1714"/>
      <c r="M79" s="1714"/>
      <c r="S79" s="1731"/>
      <c r="U79" s="1713"/>
    </row>
    <row r="80" spans="1:21">
      <c r="G80" s="1727"/>
      <c r="H80" s="1713"/>
      <c r="I80" s="1727"/>
      <c r="K80" s="1714"/>
      <c r="M80" s="1714"/>
      <c r="O80" s="1728"/>
      <c r="S80" s="1729"/>
      <c r="U80" s="1713"/>
    </row>
    <row r="81" spans="1:21">
      <c r="G81" s="1727"/>
      <c r="H81" s="1713"/>
      <c r="I81" s="1727"/>
      <c r="K81" s="1714"/>
      <c r="M81" s="1714"/>
      <c r="O81" s="1728"/>
      <c r="S81" s="1729"/>
      <c r="U81" s="1713"/>
    </row>
    <row r="82" spans="1:21">
      <c r="G82" s="1727"/>
      <c r="H82" s="1713"/>
      <c r="I82" s="310"/>
      <c r="K82" s="1714"/>
      <c r="M82" s="1714"/>
      <c r="O82" s="1730"/>
      <c r="S82" s="310"/>
      <c r="U82" s="1713"/>
    </row>
    <row r="83" spans="1:21">
      <c r="G83" s="1727"/>
      <c r="H83" s="1713"/>
      <c r="I83" s="1713"/>
      <c r="K83" s="1714"/>
      <c r="M83" s="1714"/>
      <c r="S83" s="1731"/>
      <c r="U83" s="1713"/>
    </row>
    <row r="84" spans="1:21">
      <c r="G84" s="1727"/>
      <c r="H84" s="1713"/>
      <c r="I84" s="1727"/>
      <c r="K84" s="1714"/>
      <c r="M84" s="1714"/>
      <c r="O84" s="1728"/>
      <c r="S84" s="1729"/>
      <c r="U84" s="1713"/>
    </row>
    <row r="85" spans="1:21">
      <c r="C85" s="363"/>
      <c r="D85" s="363"/>
      <c r="E85" s="363"/>
      <c r="F85" s="363"/>
      <c r="G85" s="1721"/>
      <c r="H85" s="267"/>
      <c r="I85" s="1721"/>
      <c r="J85" s="266"/>
      <c r="K85" s="1732"/>
      <c r="L85" s="266"/>
      <c r="M85" s="1732"/>
      <c r="N85" s="266"/>
      <c r="O85" s="1733"/>
      <c r="P85" s="266"/>
      <c r="Q85" s="266"/>
      <c r="R85" s="266"/>
      <c r="S85" s="1721"/>
      <c r="T85" s="266"/>
      <c r="U85" s="267"/>
    </row>
    <row r="86" spans="1:21">
      <c r="A86" s="266"/>
      <c r="C86" s="363"/>
      <c r="D86" s="363"/>
      <c r="E86" s="363"/>
      <c r="F86" s="363"/>
      <c r="G86" s="267"/>
      <c r="H86" s="267"/>
      <c r="I86" s="267"/>
      <c r="J86" s="266"/>
      <c r="K86" s="1732"/>
      <c r="L86" s="266"/>
      <c r="M86" s="1732"/>
      <c r="N86" s="266"/>
      <c r="O86" s="363"/>
      <c r="P86" s="266"/>
      <c r="Q86" s="266"/>
      <c r="R86" s="266"/>
      <c r="S86" s="267"/>
      <c r="T86" s="266"/>
      <c r="U86" s="267"/>
    </row>
    <row r="87" spans="1:21">
      <c r="A87" s="266"/>
    </row>
    <row r="88" spans="1:21">
      <c r="C88" s="908"/>
      <c r="D88" s="908"/>
      <c r="E88" s="908"/>
      <c r="F88" s="908"/>
      <c r="H88" s="311"/>
    </row>
    <row r="89" spans="1:21">
      <c r="C89" s="909"/>
      <c r="D89" s="909"/>
      <c r="E89" s="909"/>
      <c r="F89" s="909"/>
      <c r="H89" s="268"/>
    </row>
    <row r="90" spans="1:21">
      <c r="G90" s="1188"/>
      <c r="I90" s="1189"/>
    </row>
    <row r="91" spans="1:21">
      <c r="G91" s="1190"/>
      <c r="I91" s="1187"/>
    </row>
  </sheetData>
  <mergeCells count="1">
    <mergeCell ref="G9:I9"/>
  </mergeCells>
  <printOptions horizontalCentered="1"/>
  <pageMargins left="0.5" right="0.5" top="0.5" bottom="0.25" header="0.3" footer="0.3"/>
  <pageSetup scale="52"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58 O55 O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zoomScaleNormal="80" workbookViewId="0"/>
  </sheetViews>
  <sheetFormatPr defaultColWidth="8.88671875" defaultRowHeight="15"/>
  <cols>
    <col min="1" max="1" width="3.88671875" style="578" customWidth="1"/>
    <col min="2" max="2" width="43.88671875" style="578" customWidth="1"/>
    <col min="3" max="3" width="2.109375" style="578" customWidth="1"/>
    <col min="4" max="4" width="16.88671875" style="578" customWidth="1"/>
    <col min="5" max="5" width="2.109375" style="578" customWidth="1"/>
    <col min="6" max="6" width="16.88671875" style="578" customWidth="1"/>
    <col min="7" max="7" width="2.109375" style="578" customWidth="1"/>
    <col min="8" max="8" width="16.88671875" style="578" customWidth="1"/>
    <col min="9" max="9" width="2.109375" style="578" customWidth="1"/>
    <col min="10" max="10" width="16.88671875" style="578" customWidth="1"/>
    <col min="11" max="11" width="2.109375" style="578" customWidth="1"/>
    <col min="12" max="12" width="16.88671875" style="578" customWidth="1"/>
    <col min="13" max="13" width="2.109375" style="578" customWidth="1"/>
    <col min="14" max="14" width="16.88671875" style="578" customWidth="1"/>
    <col min="15" max="15" width="2.109375" style="578" customWidth="1"/>
    <col min="16" max="16" width="16.88671875" style="578" customWidth="1"/>
    <col min="17" max="17" width="2.109375" style="578" customWidth="1"/>
    <col min="18" max="18" width="16.88671875" style="578" customWidth="1"/>
    <col min="19" max="19" width="17.109375" style="578" customWidth="1"/>
    <col min="20" max="20" width="18.5546875" style="578" customWidth="1"/>
    <col min="21" max="21" width="35.109375" style="578" bestFit="1" customWidth="1"/>
    <col min="22" max="16384" width="8.88671875" style="578"/>
  </cols>
  <sheetData>
    <row r="1" spans="1:19">
      <c r="B1" s="392" t="s">
        <v>97</v>
      </c>
    </row>
    <row r="2" spans="1:19">
      <c r="B2" s="1629"/>
      <c r="C2" s="1629"/>
      <c r="D2" s="1629"/>
      <c r="E2" s="1629"/>
      <c r="F2" s="1629"/>
      <c r="G2" s="1629"/>
      <c r="H2" s="1629"/>
      <c r="I2" s="1629"/>
      <c r="J2" s="1629"/>
      <c r="K2" s="1629"/>
      <c r="L2" s="1629"/>
      <c r="M2" s="1629"/>
      <c r="N2" s="1629"/>
      <c r="O2" s="1629"/>
      <c r="P2" s="1629"/>
      <c r="Q2" s="1629"/>
      <c r="R2" s="1629"/>
      <c r="S2" s="1629"/>
    </row>
    <row r="3" spans="1:19" ht="15.75">
      <c r="A3" s="577"/>
      <c r="B3" s="1630" t="s">
        <v>98</v>
      </c>
      <c r="C3" s="1630"/>
      <c r="D3" s="1630"/>
      <c r="E3" s="1630"/>
      <c r="F3" s="1629"/>
      <c r="G3" s="1629"/>
      <c r="H3" s="1629"/>
      <c r="I3" s="1629"/>
      <c r="J3" s="1629"/>
      <c r="K3" s="1629"/>
      <c r="L3" s="1629"/>
      <c r="M3" s="1629"/>
      <c r="N3" s="1629"/>
      <c r="O3" s="1629"/>
      <c r="P3" s="1629"/>
      <c r="Q3" s="1629"/>
      <c r="R3" s="1631" t="s">
        <v>866</v>
      </c>
      <c r="S3" s="1632"/>
    </row>
    <row r="4" spans="1:19" ht="15.75">
      <c r="A4" s="577"/>
      <c r="B4" s="1630" t="s">
        <v>867</v>
      </c>
      <c r="C4" s="1630"/>
      <c r="D4" s="1630"/>
      <c r="E4" s="1630"/>
      <c r="F4" s="1629"/>
      <c r="G4" s="1629"/>
      <c r="H4" s="1629"/>
      <c r="I4" s="1629"/>
      <c r="J4" s="1629"/>
      <c r="K4" s="1629"/>
      <c r="L4" s="1629"/>
      <c r="M4" s="1629"/>
      <c r="N4" s="1629"/>
      <c r="O4" s="1629"/>
      <c r="P4" s="1629"/>
      <c r="Q4" s="1629"/>
      <c r="R4" s="1629"/>
      <c r="S4" s="1629"/>
    </row>
    <row r="5" spans="1:19" ht="15.75">
      <c r="A5" s="577"/>
      <c r="B5" s="1630" t="s">
        <v>1470</v>
      </c>
      <c r="C5" s="1630"/>
      <c r="D5" s="1630"/>
      <c r="E5" s="1630"/>
      <c r="F5" s="1629" t="s">
        <v>103</v>
      </c>
      <c r="G5" s="1629"/>
      <c r="H5" s="1629"/>
      <c r="I5" s="1629"/>
      <c r="J5" s="1629"/>
      <c r="K5" s="1629"/>
      <c r="L5" s="1629"/>
      <c r="M5" s="1629"/>
      <c r="N5" s="1629"/>
      <c r="O5" s="1629"/>
      <c r="P5" s="1629"/>
      <c r="Q5" s="1629"/>
      <c r="R5" s="1629"/>
      <c r="S5" s="1629"/>
    </row>
    <row r="6" spans="1:19" ht="15.75">
      <c r="A6" s="577"/>
      <c r="B6" s="1633" t="str">
        <f>'Exh D Governmental  '!A6</f>
        <v>FOR EIGHT MONTHS ENDED NOVEMBER 30, 2025</v>
      </c>
      <c r="C6" s="1633"/>
      <c r="D6" s="1630"/>
      <c r="E6" s="1630"/>
      <c r="F6" s="1629"/>
      <c r="G6" s="1629"/>
      <c r="H6" s="1629"/>
      <c r="I6" s="1629"/>
      <c r="J6" s="1629"/>
      <c r="K6" s="1629"/>
      <c r="L6" s="1629"/>
      <c r="M6" s="1629"/>
      <c r="N6" s="1629"/>
      <c r="O6" s="1629"/>
      <c r="P6" s="1629"/>
      <c r="Q6" s="1629"/>
      <c r="R6" s="1629"/>
      <c r="S6" s="1629"/>
    </row>
    <row r="7" spans="1:19" ht="15.75">
      <c r="A7" s="577"/>
      <c r="B7" s="1634"/>
      <c r="C7" s="1634"/>
      <c r="D7" s="1630"/>
      <c r="E7" s="1630"/>
      <c r="F7" s="1629"/>
      <c r="G7" s="1629"/>
      <c r="H7" s="1629"/>
      <c r="I7" s="1629"/>
      <c r="J7" s="1629"/>
      <c r="K7" s="1629"/>
      <c r="L7" s="1629"/>
      <c r="M7" s="1629"/>
      <c r="N7" s="1629"/>
      <c r="O7" s="1629"/>
      <c r="P7" s="1629"/>
      <c r="Q7" s="1629"/>
      <c r="R7" s="1629"/>
      <c r="S7" s="1629"/>
    </row>
    <row r="8" spans="1:19" ht="5.25" customHeight="1">
      <c r="B8" s="1635"/>
      <c r="C8" s="1635"/>
      <c r="D8" s="1629"/>
      <c r="E8" s="1629"/>
      <c r="F8" s="1629"/>
      <c r="G8" s="1629"/>
      <c r="H8" s="1629"/>
      <c r="I8" s="1629"/>
      <c r="J8" s="1629"/>
      <c r="K8" s="1629"/>
      <c r="L8" s="1629"/>
      <c r="M8" s="1629"/>
      <c r="N8" s="1629"/>
      <c r="O8" s="1629"/>
      <c r="P8" s="1629"/>
      <c r="Q8" s="1629"/>
      <c r="R8" s="1629"/>
      <c r="S8" s="1629"/>
    </row>
    <row r="9" spans="1:19" ht="15.75">
      <c r="B9" s="1629"/>
      <c r="C9" s="1629"/>
      <c r="E9" s="1636"/>
      <c r="F9" s="1636"/>
      <c r="G9" s="1636"/>
      <c r="H9" s="1636"/>
      <c r="I9" s="1636"/>
      <c r="J9" s="1636"/>
      <c r="K9" s="1636"/>
      <c r="L9" s="1636"/>
      <c r="M9" s="1636"/>
      <c r="N9" s="1629"/>
      <c r="O9" s="1629"/>
      <c r="P9" s="1629"/>
      <c r="Q9" s="1629"/>
      <c r="R9" s="1629"/>
      <c r="S9" s="1629"/>
    </row>
    <row r="10" spans="1:19" ht="15.75">
      <c r="B10" s="1629"/>
      <c r="C10" s="1629"/>
      <c r="D10" s="1636" t="s">
        <v>820</v>
      </c>
      <c r="E10" s="1637"/>
      <c r="F10" s="1637" t="s">
        <v>868</v>
      </c>
      <c r="G10" s="1637"/>
      <c r="H10" s="1637" t="s">
        <v>869</v>
      </c>
      <c r="I10" s="1637"/>
      <c r="J10" s="1637" t="s">
        <v>870</v>
      </c>
      <c r="K10" s="1637"/>
      <c r="L10" s="1637" t="s">
        <v>871</v>
      </c>
      <c r="M10" s="1637"/>
      <c r="N10" s="1629"/>
      <c r="O10" s="1629"/>
      <c r="P10" s="1629"/>
      <c r="Q10" s="1629"/>
      <c r="R10" s="1629"/>
      <c r="S10" s="1629"/>
    </row>
    <row r="11" spans="1:19" ht="15.75">
      <c r="B11" s="1629"/>
      <c r="C11" s="1629"/>
      <c r="D11" s="1637" t="s">
        <v>872</v>
      </c>
      <c r="E11" s="1637"/>
      <c r="F11" s="1637" t="s">
        <v>820</v>
      </c>
      <c r="G11" s="1637"/>
      <c r="H11" s="1637" t="s">
        <v>873</v>
      </c>
      <c r="I11" s="1637"/>
      <c r="J11" s="1638" t="s">
        <v>874</v>
      </c>
      <c r="K11" s="1637"/>
      <c r="L11" s="1637" t="s">
        <v>875</v>
      </c>
      <c r="M11" s="1637"/>
      <c r="N11" s="1639" t="s">
        <v>876</v>
      </c>
      <c r="O11" s="1639"/>
      <c r="P11" s="1639"/>
      <c r="Q11" s="1629"/>
      <c r="R11" s="1629"/>
      <c r="S11" s="1629"/>
    </row>
    <row r="12" spans="1:19" ht="15.75">
      <c r="B12" s="1629"/>
      <c r="C12" s="1629"/>
      <c r="D12" s="1637" t="s">
        <v>877</v>
      </c>
      <c r="E12" s="1637"/>
      <c r="F12" s="1637" t="s">
        <v>878</v>
      </c>
      <c r="G12" s="1637"/>
      <c r="H12" s="1637" t="s">
        <v>879</v>
      </c>
      <c r="I12" s="1637"/>
      <c r="J12" s="1638" t="s">
        <v>880</v>
      </c>
      <c r="K12" s="1638"/>
      <c r="L12" s="1637" t="s">
        <v>881</v>
      </c>
      <c r="M12" s="1637"/>
      <c r="N12" s="1640" t="str">
        <f>UPPER('Cashflow Governmental'!$AB$12)</f>
        <v>8 MONTHS ENDED NOVEMBER 30</v>
      </c>
      <c r="O12" s="1640"/>
      <c r="P12" s="1640"/>
      <c r="Q12" s="1629"/>
      <c r="R12" s="1636" t="s">
        <v>882</v>
      </c>
      <c r="S12" s="1637"/>
    </row>
    <row r="13" spans="1:19" ht="15.75">
      <c r="A13" s="577"/>
      <c r="B13" s="1641" t="s">
        <v>1471</v>
      </c>
      <c r="C13" s="1630"/>
      <c r="D13" s="1642" t="s">
        <v>883</v>
      </c>
      <c r="E13" s="1637"/>
      <c r="F13" s="1642" t="s">
        <v>884</v>
      </c>
      <c r="G13" s="1637"/>
      <c r="H13" s="1643" t="s">
        <v>885</v>
      </c>
      <c r="I13" s="1637"/>
      <c r="J13" s="1644" t="s">
        <v>886</v>
      </c>
      <c r="K13" s="1637"/>
      <c r="L13" s="1644" t="s">
        <v>887</v>
      </c>
      <c r="M13" s="1637"/>
      <c r="N13" s="1645" t="str">
        <f>'Cashflow Governmental'!$AB$14</f>
        <v>2025</v>
      </c>
      <c r="O13" s="1645"/>
      <c r="P13" s="1645" t="str">
        <f>'Cashflow Governmental'!$AE$14</f>
        <v>2024</v>
      </c>
      <c r="Q13" s="1637"/>
      <c r="R13" s="1646" t="s">
        <v>888</v>
      </c>
      <c r="S13" s="1637"/>
    </row>
    <row r="14" spans="1:19" ht="15.75">
      <c r="B14" s="1630" t="s">
        <v>889</v>
      </c>
      <c r="C14" s="1630"/>
      <c r="D14" s="1647"/>
      <c r="E14" s="1647"/>
      <c r="F14" s="1648"/>
      <c r="G14" s="1648"/>
      <c r="H14" s="1649"/>
      <c r="I14" s="1649"/>
      <c r="J14" s="1647"/>
      <c r="K14" s="1647"/>
      <c r="L14" s="1647"/>
      <c r="M14" s="1647"/>
      <c r="N14" s="1649"/>
      <c r="O14" s="1649"/>
      <c r="P14" s="1650"/>
      <c r="Q14" s="1650"/>
      <c r="R14" s="1629"/>
      <c r="S14" s="1629"/>
    </row>
    <row r="15" spans="1:19">
      <c r="A15" s="1651"/>
      <c r="B15" s="1635" t="s">
        <v>890</v>
      </c>
      <c r="C15" s="1635"/>
      <c r="D15" s="1652">
        <v>0</v>
      </c>
      <c r="E15" s="1652"/>
      <c r="F15" s="1652">
        <v>12091750</v>
      </c>
      <c r="G15" s="1652"/>
      <c r="H15" s="1652">
        <v>0</v>
      </c>
      <c r="I15" s="1652"/>
      <c r="J15" s="1652">
        <v>0</v>
      </c>
      <c r="K15" s="1652"/>
      <c r="L15" s="1652">
        <v>0</v>
      </c>
      <c r="M15" s="1652"/>
      <c r="N15" s="1652">
        <f>ROUND(SUM(D15:M15),0)</f>
        <v>12091750</v>
      </c>
      <c r="O15" s="1652"/>
      <c r="P15" s="1652">
        <v>9788122</v>
      </c>
      <c r="Q15" s="1652"/>
      <c r="R15" s="1653">
        <f>ROUND(N15-P15,0)</f>
        <v>2303628</v>
      </c>
      <c r="S15" s="1652"/>
    </row>
    <row r="16" spans="1:19">
      <c r="A16" s="1651"/>
      <c r="B16" s="1629" t="s">
        <v>891</v>
      </c>
      <c r="C16" s="1629"/>
      <c r="D16" s="1712"/>
      <c r="E16" s="1712"/>
      <c r="F16" s="1712"/>
      <c r="G16" s="1712"/>
      <c r="H16" s="1712"/>
      <c r="I16" s="1712"/>
      <c r="J16" s="1712"/>
      <c r="K16" s="1654"/>
      <c r="L16" s="1712"/>
      <c r="M16" s="1654"/>
      <c r="N16" s="1654"/>
      <c r="O16" s="1654"/>
      <c r="P16" s="1989"/>
      <c r="Q16" s="1654"/>
      <c r="R16" s="1655"/>
      <c r="S16" s="1652"/>
    </row>
    <row r="17" spans="1:21">
      <c r="A17" s="1651"/>
      <c r="B17" s="1629" t="s">
        <v>892</v>
      </c>
      <c r="C17" s="1629"/>
      <c r="D17" s="1712">
        <v>0</v>
      </c>
      <c r="E17" s="1712"/>
      <c r="F17" s="1712">
        <v>0</v>
      </c>
      <c r="G17" s="1712"/>
      <c r="H17" s="1712">
        <v>0</v>
      </c>
      <c r="I17" s="1712"/>
      <c r="J17" s="1712">
        <v>34208802</v>
      </c>
      <c r="K17" s="1712"/>
      <c r="L17" s="1712">
        <v>5596692</v>
      </c>
      <c r="M17" s="1712"/>
      <c r="N17" s="1654">
        <f t="shared" ref="N17:N21" si="0">ROUND(SUM(D17:M17),0)</f>
        <v>39805494</v>
      </c>
      <c r="O17" s="1654"/>
      <c r="P17" s="1654">
        <v>96262095</v>
      </c>
      <c r="Q17" s="1656"/>
      <c r="R17" s="1656">
        <f t="shared" ref="R17:R21" si="1">SUM(N17-P17,0)</f>
        <v>-56456601</v>
      </c>
      <c r="S17" s="1652"/>
    </row>
    <row r="18" spans="1:21">
      <c r="A18" s="1651"/>
      <c r="B18" s="1629" t="s">
        <v>893</v>
      </c>
      <c r="C18" s="1629"/>
      <c r="D18" s="1712">
        <v>0</v>
      </c>
      <c r="E18" s="1712"/>
      <c r="F18" s="1712">
        <v>0</v>
      </c>
      <c r="G18" s="1712"/>
      <c r="H18" s="1712">
        <v>8106639</v>
      </c>
      <c r="I18" s="1712"/>
      <c r="J18" s="1712">
        <v>0</v>
      </c>
      <c r="K18" s="1712"/>
      <c r="L18" s="1712">
        <v>0</v>
      </c>
      <c r="M18" s="1712"/>
      <c r="N18" s="1654">
        <f t="shared" si="0"/>
        <v>8106639</v>
      </c>
      <c r="O18" s="1654"/>
      <c r="P18" s="1654">
        <v>17782353</v>
      </c>
      <c r="Q18" s="1656"/>
      <c r="R18" s="1656">
        <f t="shared" si="1"/>
        <v>-9675714</v>
      </c>
      <c r="S18" s="1652"/>
    </row>
    <row r="19" spans="1:21">
      <c r="A19" s="1651"/>
      <c r="B19" s="1629" t="s">
        <v>894</v>
      </c>
      <c r="C19" s="1629"/>
      <c r="D19" s="1712">
        <v>0</v>
      </c>
      <c r="E19" s="1712"/>
      <c r="F19" s="1712">
        <v>0</v>
      </c>
      <c r="G19" s="1712"/>
      <c r="H19" s="1712">
        <v>0</v>
      </c>
      <c r="I19" s="1712"/>
      <c r="J19" s="1712">
        <v>0</v>
      </c>
      <c r="K19" s="1712"/>
      <c r="L19" s="1712">
        <v>0</v>
      </c>
      <c r="M19" s="1712"/>
      <c r="N19" s="1654">
        <f t="shared" si="0"/>
        <v>0</v>
      </c>
      <c r="O19" s="1654"/>
      <c r="P19" s="1654">
        <v>0</v>
      </c>
      <c r="Q19" s="1656"/>
      <c r="R19" s="1656">
        <f t="shared" si="1"/>
        <v>0</v>
      </c>
      <c r="S19" s="1652"/>
    </row>
    <row r="20" spans="1:21">
      <c r="A20" s="1651"/>
      <c r="B20" s="1629" t="s">
        <v>895</v>
      </c>
      <c r="C20" s="1629"/>
      <c r="D20" s="1712">
        <v>0</v>
      </c>
      <c r="E20" s="1712"/>
      <c r="F20" s="1712">
        <v>0</v>
      </c>
      <c r="G20" s="1712"/>
      <c r="H20" s="1712">
        <v>0</v>
      </c>
      <c r="I20" s="1712"/>
      <c r="J20" s="1712">
        <v>0</v>
      </c>
      <c r="K20" s="1712"/>
      <c r="L20" s="1712">
        <v>0</v>
      </c>
      <c r="M20" s="1712"/>
      <c r="N20" s="1654">
        <f t="shared" si="0"/>
        <v>0</v>
      </c>
      <c r="O20" s="1654"/>
      <c r="P20" s="1654">
        <v>0</v>
      </c>
      <c r="Q20" s="1656"/>
      <c r="R20" s="1656">
        <f t="shared" si="1"/>
        <v>0</v>
      </c>
      <c r="S20" s="1652"/>
    </row>
    <row r="21" spans="1:21">
      <c r="A21" s="1651"/>
      <c r="B21" s="1629" t="s">
        <v>896</v>
      </c>
      <c r="C21" s="1629"/>
      <c r="D21" s="1712">
        <v>0</v>
      </c>
      <c r="E21" s="1712"/>
      <c r="F21" s="1712">
        <v>0</v>
      </c>
      <c r="G21" s="1712"/>
      <c r="H21" s="1712">
        <v>0</v>
      </c>
      <c r="I21" s="1712"/>
      <c r="J21" s="1712">
        <v>0</v>
      </c>
      <c r="K21" s="1712"/>
      <c r="L21" s="1712">
        <v>0</v>
      </c>
      <c r="M21" s="1712"/>
      <c r="N21" s="1654">
        <f t="shared" si="0"/>
        <v>0</v>
      </c>
      <c r="O21" s="1654"/>
      <c r="P21" s="1654">
        <v>15710475</v>
      </c>
      <c r="Q21" s="1656"/>
      <c r="R21" s="1656">
        <f t="shared" si="1"/>
        <v>-15710475</v>
      </c>
      <c r="S21" s="1652"/>
    </row>
    <row r="22" spans="1:21">
      <c r="A22" s="1651"/>
      <c r="B22" s="1629" t="s">
        <v>1517</v>
      </c>
      <c r="C22" s="1629"/>
      <c r="D22" s="1712">
        <v>0</v>
      </c>
      <c r="E22" s="1712"/>
      <c r="F22" s="1712">
        <v>0</v>
      </c>
      <c r="G22" s="1712"/>
      <c r="H22" s="1712">
        <v>0</v>
      </c>
      <c r="I22" s="1712"/>
      <c r="J22" s="1712">
        <v>8614066</v>
      </c>
      <c r="K22" s="1712"/>
      <c r="L22" s="1712">
        <v>0</v>
      </c>
      <c r="M22" s="1712"/>
      <c r="N22" s="1654">
        <f t="shared" ref="N22" si="2">ROUND(SUM(D22:M22),0)</f>
        <v>8614066</v>
      </c>
      <c r="O22" s="1654"/>
      <c r="P22" s="1654">
        <v>0</v>
      </c>
      <c r="Q22" s="1656"/>
      <c r="R22" s="1656">
        <f t="shared" ref="R22" si="3">SUM(N22-P22,0)</f>
        <v>8614066</v>
      </c>
      <c r="S22" s="1652"/>
    </row>
    <row r="23" spans="1:21">
      <c r="A23" s="1651"/>
      <c r="B23" s="1629" t="s">
        <v>897</v>
      </c>
      <c r="C23" s="1629"/>
      <c r="D23" s="1712"/>
      <c r="E23" s="1712"/>
      <c r="F23" s="1712"/>
      <c r="G23" s="1654"/>
      <c r="H23" s="1712"/>
      <c r="I23" s="1712"/>
      <c r="J23" s="1712"/>
      <c r="K23" s="1654"/>
      <c r="L23" s="1712"/>
      <c r="M23" s="1654"/>
      <c r="N23" s="1654"/>
      <c r="O23" s="1654"/>
      <c r="P23" s="1990"/>
      <c r="Q23" s="1656"/>
      <c r="R23" s="1654"/>
      <c r="S23" s="1652"/>
    </row>
    <row r="24" spans="1:21" ht="17.100000000000001" customHeight="1">
      <c r="A24" s="1651"/>
      <c r="B24" s="1629" t="s">
        <v>898</v>
      </c>
      <c r="C24" s="1629"/>
      <c r="D24" s="1712">
        <v>0</v>
      </c>
      <c r="E24" s="1712"/>
      <c r="F24" s="1712">
        <v>0</v>
      </c>
      <c r="G24" s="1654"/>
      <c r="H24" s="1712">
        <v>0</v>
      </c>
      <c r="I24" s="1712"/>
      <c r="J24" s="1712">
        <v>0</v>
      </c>
      <c r="K24" s="1654"/>
      <c r="L24" s="1712">
        <v>0</v>
      </c>
      <c r="M24" s="1654"/>
      <c r="N24" s="1654">
        <f>ROUND(SUM(D24:M24),0)</f>
        <v>0</v>
      </c>
      <c r="O24" s="1654"/>
      <c r="P24" s="1654">
        <v>34710245</v>
      </c>
      <c r="Q24" s="1656"/>
      <c r="R24" s="1656">
        <f t="shared" ref="R24:R28" si="4">SUM(N24-P24,0)</f>
        <v>-34710245</v>
      </c>
      <c r="S24" s="1652"/>
    </row>
    <row r="25" spans="1:21">
      <c r="A25" s="1651"/>
      <c r="B25" s="1629" t="s">
        <v>899</v>
      </c>
      <c r="C25" s="1629"/>
      <c r="D25" s="1712">
        <v>0</v>
      </c>
      <c r="E25" s="1712"/>
      <c r="F25" s="1712">
        <v>0</v>
      </c>
      <c r="G25" s="1712"/>
      <c r="H25" s="1712">
        <v>0</v>
      </c>
      <c r="I25" s="1712"/>
      <c r="J25" s="1712">
        <v>100414008</v>
      </c>
      <c r="K25" s="1712"/>
      <c r="L25" s="1712">
        <v>0</v>
      </c>
      <c r="M25" s="1712"/>
      <c r="N25" s="1654">
        <f>ROUND(SUM(D25:M25),0)</f>
        <v>100414008</v>
      </c>
      <c r="O25" s="1654"/>
      <c r="P25" s="1654">
        <v>44624008</v>
      </c>
      <c r="Q25" s="1656"/>
      <c r="R25" s="1656">
        <f t="shared" si="4"/>
        <v>55790000</v>
      </c>
      <c r="S25" s="1652"/>
    </row>
    <row r="26" spans="1:21">
      <c r="A26" s="1651"/>
      <c r="B26" s="1629" t="s">
        <v>900</v>
      </c>
      <c r="C26" s="1629"/>
      <c r="D26" s="1712"/>
      <c r="E26" s="1712"/>
      <c r="F26" s="1712"/>
      <c r="G26" s="1712"/>
      <c r="H26" s="1712"/>
      <c r="I26" s="1712"/>
      <c r="J26" s="1712"/>
      <c r="K26" s="1712"/>
      <c r="L26" s="1712"/>
      <c r="M26" s="1712"/>
      <c r="N26" s="1654"/>
      <c r="O26" s="1654"/>
      <c r="P26" s="1990"/>
      <c r="Q26" s="1656"/>
      <c r="R26" s="1654"/>
      <c r="S26" s="1652"/>
    </row>
    <row r="27" spans="1:21">
      <c r="A27" s="1651"/>
      <c r="B27" s="1657" t="s">
        <v>901</v>
      </c>
      <c r="C27" s="1658"/>
      <c r="D27" s="1712">
        <v>0</v>
      </c>
      <c r="E27" s="1712"/>
      <c r="F27" s="1712">
        <v>0</v>
      </c>
      <c r="G27" s="1712"/>
      <c r="H27" s="1712">
        <v>0</v>
      </c>
      <c r="I27" s="1712"/>
      <c r="J27" s="1712">
        <v>0</v>
      </c>
      <c r="K27" s="1712"/>
      <c r="L27" s="1712">
        <v>0</v>
      </c>
      <c r="M27" s="1712"/>
      <c r="N27" s="1654">
        <f t="shared" ref="N27" si="5">ROUND(SUM(D27:M27),0)</f>
        <v>0</v>
      </c>
      <c r="O27" s="1654"/>
      <c r="P27" s="1654">
        <v>0</v>
      </c>
      <c r="Q27" s="1656"/>
      <c r="R27" s="1656">
        <f>SUM(N27-P27,0)</f>
        <v>0</v>
      </c>
      <c r="S27" s="1652"/>
    </row>
    <row r="28" spans="1:21" ht="15.75">
      <c r="A28" s="577"/>
      <c r="B28" s="1629" t="s">
        <v>902</v>
      </c>
      <c r="C28" s="1629"/>
      <c r="D28" s="1712">
        <v>0</v>
      </c>
      <c r="E28" s="1712"/>
      <c r="F28" s="1712">
        <v>0</v>
      </c>
      <c r="G28" s="1712"/>
      <c r="H28" s="1712">
        <v>0</v>
      </c>
      <c r="I28" s="1712"/>
      <c r="J28" s="1712">
        <v>44809000</v>
      </c>
      <c r="K28" s="1712"/>
      <c r="L28" s="1712">
        <v>9235253</v>
      </c>
      <c r="M28" s="1712"/>
      <c r="N28" s="1654">
        <f>ROUND(SUM(D28:M28),0)</f>
        <v>54044253</v>
      </c>
      <c r="O28" s="1654"/>
      <c r="P28" s="1654">
        <v>69635680</v>
      </c>
      <c r="Q28" s="1628"/>
      <c r="R28" s="1656">
        <f t="shared" si="4"/>
        <v>-15591427</v>
      </c>
      <c r="S28" s="1652"/>
      <c r="U28" s="1659"/>
    </row>
    <row r="29" spans="1:21" ht="15.75">
      <c r="B29" s="1630" t="s">
        <v>903</v>
      </c>
      <c r="C29" s="1630"/>
      <c r="D29" s="1629"/>
      <c r="E29" s="1629"/>
      <c r="F29" s="1629"/>
      <c r="G29" s="1629"/>
      <c r="H29" s="1650"/>
      <c r="I29" s="1650"/>
      <c r="J29" s="1650"/>
      <c r="K29" s="1650"/>
      <c r="L29" s="1650"/>
      <c r="M29" s="1650"/>
      <c r="N29" s="1650"/>
      <c r="O29" s="1650"/>
      <c r="P29" s="1650"/>
      <c r="Q29" s="1629"/>
      <c r="R29" s="1654"/>
      <c r="S29" s="1652"/>
    </row>
    <row r="30" spans="1:21" s="577" customFormat="1" ht="16.5" thickBot="1">
      <c r="B30" s="1660" t="s">
        <v>1472</v>
      </c>
      <c r="C30" s="1633"/>
      <c r="D30" s="1661">
        <f>ROUND(SUM(D15:D28),0)</f>
        <v>0</v>
      </c>
      <c r="E30" s="1662"/>
      <c r="F30" s="1661">
        <f>ROUND(SUM(F15:F28),0)</f>
        <v>12091750</v>
      </c>
      <c r="G30" s="1662"/>
      <c r="H30" s="1661">
        <f>ROUND(SUM(H15:H28),0)</f>
        <v>8106639</v>
      </c>
      <c r="I30" s="1662"/>
      <c r="J30" s="1661">
        <f>ROUND(SUM(J15:J28),0)</f>
        <v>188045876</v>
      </c>
      <c r="K30" s="1662"/>
      <c r="L30" s="1661">
        <f>ROUND(SUM(L15:L28),0)</f>
        <v>14831945</v>
      </c>
      <c r="M30" s="1662"/>
      <c r="N30" s="1661">
        <f>ROUND(SUM(N15:N28),0)</f>
        <v>223076210</v>
      </c>
      <c r="O30" s="1662"/>
      <c r="P30" s="1661">
        <f>ROUND(SUM(P15:P28),0)</f>
        <v>288512978</v>
      </c>
      <c r="Q30" s="1662"/>
      <c r="R30" s="1661">
        <f>ROUND(SUM(R15:R28),0)</f>
        <v>-65436768</v>
      </c>
      <c r="S30" s="1652"/>
    </row>
    <row r="31" spans="1:21" ht="15.75" thickTop="1">
      <c r="C31" s="1635"/>
      <c r="D31" s="1629"/>
      <c r="E31" s="1629"/>
      <c r="F31" s="1629"/>
      <c r="G31" s="1629"/>
      <c r="H31" s="1629"/>
      <c r="I31" s="1629"/>
      <c r="J31" s="1629"/>
      <c r="K31" s="1629"/>
      <c r="L31" s="1629"/>
      <c r="M31" s="1629"/>
      <c r="N31" s="1629"/>
      <c r="O31" s="1629"/>
      <c r="P31" s="1629"/>
      <c r="Q31" s="1629"/>
      <c r="R31" s="1663"/>
      <c r="S31" s="1629"/>
    </row>
    <row r="32" spans="1:21">
      <c r="B32" s="369"/>
      <c r="C32" s="1629"/>
      <c r="D32" s="1629"/>
      <c r="E32" s="1629"/>
      <c r="F32" s="1629"/>
      <c r="G32" s="1629"/>
      <c r="H32" s="1629"/>
      <c r="I32" s="1629"/>
      <c r="J32" s="1629"/>
      <c r="K32" s="1629"/>
      <c r="L32" s="1664"/>
      <c r="M32" s="1629"/>
      <c r="N32" s="1665" t="s">
        <v>103</v>
      </c>
      <c r="O32" s="1629"/>
      <c r="P32" s="1629"/>
      <c r="Q32" s="1629"/>
      <c r="R32" s="1629"/>
    </row>
    <row r="33" spans="2:25">
      <c r="N33" s="1666" t="s">
        <v>103</v>
      </c>
    </row>
    <row r="34" spans="2:25">
      <c r="B34" s="2069"/>
      <c r="C34" s="2069"/>
      <c r="D34" s="2069"/>
      <c r="E34" s="2069"/>
      <c r="F34" s="2069"/>
      <c r="G34" s="2069"/>
      <c r="H34" s="2069"/>
      <c r="I34" s="2069"/>
      <c r="J34" s="2069"/>
      <c r="K34" s="2069"/>
      <c r="L34" s="2069"/>
      <c r="M34" s="2069"/>
      <c r="N34" s="2069" t="s">
        <v>103</v>
      </c>
      <c r="O34" s="2069"/>
      <c r="P34" s="2069"/>
      <c r="Q34" s="2069"/>
      <c r="R34" s="2069"/>
      <c r="S34" s="2069"/>
    </row>
    <row r="35" spans="2:25">
      <c r="B35" s="2069"/>
      <c r="C35" s="2069"/>
      <c r="D35" s="2069"/>
      <c r="E35" s="2069"/>
      <c r="F35" s="2069"/>
      <c r="G35" s="2069"/>
      <c r="H35" s="2069"/>
      <c r="I35" s="2069"/>
      <c r="J35" s="2069"/>
      <c r="K35" s="2069"/>
      <c r="L35" s="2069"/>
      <c r="M35" s="2069"/>
      <c r="N35" s="2069" t="s">
        <v>103</v>
      </c>
      <c r="O35" s="2069"/>
      <c r="P35" s="2069"/>
      <c r="Q35" s="2069"/>
      <c r="R35" s="2069"/>
      <c r="S35" s="2069"/>
      <c r="T35" s="2069"/>
      <c r="U35" s="2069"/>
      <c r="V35" s="2069"/>
      <c r="W35" s="2069"/>
      <c r="X35" s="2069"/>
      <c r="Y35" s="2069"/>
    </row>
    <row r="36" spans="2:25">
      <c r="B36" s="2069"/>
      <c r="C36" s="2069"/>
      <c r="D36" s="2069"/>
      <c r="E36" s="2069"/>
      <c r="F36" s="2069"/>
      <c r="G36" s="2069"/>
      <c r="H36" s="2069"/>
      <c r="I36" s="2069"/>
      <c r="J36" s="2069"/>
      <c r="K36" s="2069"/>
      <c r="L36" s="2069"/>
      <c r="M36" s="2069"/>
      <c r="N36" s="2069"/>
      <c r="O36" s="2069"/>
      <c r="P36" s="2069"/>
      <c r="Q36" s="2069"/>
      <c r="R36" s="2069"/>
      <c r="S36" s="2069"/>
      <c r="T36" s="2069"/>
      <c r="U36" s="2069"/>
      <c r="V36" s="2069"/>
      <c r="W36" s="2069"/>
      <c r="X36" s="2069"/>
      <c r="Y36" s="2069"/>
    </row>
    <row r="37" spans="2:25">
      <c r="B37" s="2069"/>
      <c r="C37" s="2069"/>
      <c r="D37" s="2069"/>
      <c r="E37" s="2069"/>
      <c r="F37" s="2069"/>
      <c r="G37" s="2069"/>
      <c r="H37" s="2069"/>
      <c r="I37" s="2069"/>
      <c r="J37" s="2069"/>
      <c r="K37" s="2069"/>
      <c r="L37" s="2069"/>
      <c r="M37" s="2069"/>
      <c r="N37" s="2069"/>
      <c r="O37" s="2069"/>
      <c r="P37" s="2069"/>
      <c r="Q37" s="2069"/>
      <c r="R37" s="2069"/>
      <c r="S37" s="2069"/>
      <c r="T37" s="2069"/>
      <c r="U37" s="2069"/>
      <c r="V37" s="2069"/>
      <c r="W37" s="2069"/>
      <c r="X37" s="2069"/>
      <c r="Y37" s="2069"/>
    </row>
    <row r="38" spans="2:25">
      <c r="B38" s="2069"/>
      <c r="C38" s="2069"/>
      <c r="D38" s="2069"/>
      <c r="E38" s="2069"/>
      <c r="F38" s="2069"/>
      <c r="G38" s="2069"/>
      <c r="H38" s="2069"/>
      <c r="I38" s="2069"/>
      <c r="J38" s="2069"/>
      <c r="K38" s="2069"/>
      <c r="L38" s="2069"/>
      <c r="M38" s="2069"/>
      <c r="N38" s="2069"/>
      <c r="O38" s="2069"/>
      <c r="P38" s="2069"/>
      <c r="Q38" s="2069"/>
      <c r="R38" s="2069"/>
      <c r="S38" s="2069"/>
      <c r="T38" s="2069"/>
      <c r="U38" s="2069"/>
      <c r="V38" s="2069"/>
      <c r="W38" s="2069"/>
      <c r="X38" s="2069"/>
      <c r="Y38" s="2069"/>
    </row>
    <row r="39" spans="2:25">
      <c r="B39" s="2069" t="s">
        <v>103</v>
      </c>
      <c r="C39" s="2069"/>
      <c r="D39" s="2069"/>
      <c r="E39" s="2069"/>
      <c r="F39" s="2069"/>
      <c r="G39" s="2069"/>
      <c r="H39" s="2069"/>
      <c r="I39" s="2069"/>
      <c r="J39" s="2069"/>
      <c r="K39" s="2069"/>
      <c r="L39" s="2069"/>
      <c r="M39" s="2069"/>
      <c r="N39" s="2069"/>
      <c r="O39" s="2069"/>
      <c r="P39" s="2069"/>
      <c r="Q39" s="2069"/>
      <c r="R39" s="2069"/>
      <c r="S39" s="2069"/>
      <c r="T39" s="2069"/>
      <c r="U39" s="2069"/>
      <c r="V39" s="2069"/>
      <c r="W39" s="2069"/>
      <c r="X39" s="2069"/>
      <c r="Y39" s="2069"/>
    </row>
    <row r="40" spans="2:25">
      <c r="B40" s="2069"/>
      <c r="C40" s="2069"/>
      <c r="D40" s="2069"/>
      <c r="E40" s="2069"/>
      <c r="F40" s="2069"/>
      <c r="G40" s="2069"/>
      <c r="H40" s="2069"/>
      <c r="I40" s="2069"/>
      <c r="J40" s="2069"/>
      <c r="K40" s="2069"/>
      <c r="L40" s="2069"/>
      <c r="M40" s="2069"/>
      <c r="N40" s="2069"/>
      <c r="O40" s="2069"/>
      <c r="P40" s="2069"/>
      <c r="Q40" s="2069"/>
      <c r="R40" s="2069"/>
      <c r="S40" s="2069"/>
      <c r="T40" s="2069"/>
      <c r="U40" s="2069"/>
      <c r="V40" s="2069"/>
      <c r="W40" s="2069"/>
      <c r="X40" s="2069"/>
      <c r="Y40" s="2069"/>
    </row>
    <row r="41" spans="2:25">
      <c r="B41" s="2069"/>
      <c r="C41" s="2069"/>
      <c r="D41" s="2069"/>
      <c r="E41" s="2069"/>
      <c r="F41" s="2069"/>
      <c r="G41" s="2069"/>
      <c r="H41" s="2069"/>
      <c r="I41" s="2069"/>
      <c r="J41" s="2069"/>
      <c r="K41" s="2069"/>
      <c r="L41" s="2069"/>
      <c r="M41" s="2069"/>
      <c r="N41" s="2069"/>
      <c r="O41" s="2069"/>
      <c r="P41" s="2069"/>
      <c r="Q41" s="2069"/>
      <c r="R41" s="2069"/>
      <c r="S41" s="2069"/>
      <c r="T41" s="2069"/>
      <c r="U41" s="2069"/>
      <c r="V41" s="2069"/>
      <c r="W41" s="2069"/>
      <c r="X41" s="2069"/>
      <c r="Y41" s="2069"/>
    </row>
    <row r="42" spans="2:25">
      <c r="B42" s="2069"/>
      <c r="C42" s="2069"/>
      <c r="D42" s="2069"/>
      <c r="E42" s="2069"/>
      <c r="F42" s="2069"/>
      <c r="G42" s="2069"/>
      <c r="H42" s="2069"/>
      <c r="I42" s="2069"/>
      <c r="J42" s="2069"/>
      <c r="K42" s="2069"/>
      <c r="L42" s="2069"/>
      <c r="M42" s="2069"/>
      <c r="N42" s="2069"/>
      <c r="O42" s="2069"/>
      <c r="P42" s="2069"/>
      <c r="Q42" s="2069"/>
      <c r="R42" s="2069"/>
      <c r="S42" s="2069"/>
      <c r="T42" s="2069"/>
      <c r="U42" s="2069"/>
      <c r="V42" s="2069"/>
      <c r="W42" s="2069"/>
      <c r="X42" s="2069"/>
      <c r="Y42" s="2069"/>
    </row>
    <row r="43" spans="2:25">
      <c r="B43" s="2069"/>
      <c r="C43" s="2069"/>
      <c r="D43" s="2069"/>
      <c r="E43" s="2069"/>
      <c r="F43" s="2069"/>
      <c r="G43" s="2069"/>
      <c r="H43" s="2069"/>
      <c r="I43" s="2069"/>
      <c r="J43" s="2069"/>
      <c r="K43" s="2069"/>
      <c r="L43" s="2069"/>
      <c r="M43" s="2069"/>
      <c r="N43" s="2069"/>
      <c r="O43" s="2069"/>
      <c r="P43" s="2069"/>
      <c r="Q43" s="2069"/>
      <c r="R43" s="2069"/>
      <c r="S43" s="2069"/>
      <c r="T43" s="2069"/>
      <c r="U43" s="2069"/>
      <c r="V43" s="2069"/>
      <c r="W43" s="2069"/>
      <c r="X43" s="2069"/>
      <c r="Y43" s="2069"/>
    </row>
    <row r="44" spans="2:25">
      <c r="B44" s="2069"/>
      <c r="C44" s="2069"/>
      <c r="D44" s="2069"/>
      <c r="E44" s="2069"/>
      <c r="F44" s="2069"/>
      <c r="G44" s="2069"/>
      <c r="H44" s="2069"/>
      <c r="I44" s="2069"/>
      <c r="J44" s="2069"/>
      <c r="K44" s="2069"/>
      <c r="L44" s="2069"/>
      <c r="M44" s="2069"/>
      <c r="N44" s="2069"/>
      <c r="O44" s="2069"/>
      <c r="P44" s="2069"/>
      <c r="Q44" s="2069"/>
      <c r="R44" s="2069"/>
      <c r="S44" s="2069"/>
      <c r="T44" s="2069"/>
      <c r="U44" s="2069"/>
      <c r="V44" s="2069"/>
      <c r="W44" s="2069"/>
      <c r="X44" s="2069"/>
      <c r="Y44" s="2069"/>
    </row>
    <row r="45" spans="2:25">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c r="Y45" s="2069"/>
    </row>
    <row r="46" spans="2:25">
      <c r="B46" s="2069"/>
      <c r="C46" s="2069"/>
      <c r="D46" s="2069"/>
      <c r="E46" s="2069"/>
      <c r="F46" s="2069"/>
      <c r="G46" s="2069"/>
      <c r="H46" s="2069"/>
      <c r="I46" s="2069"/>
      <c r="J46" s="2069"/>
      <c r="K46" s="2069"/>
      <c r="L46" s="2069"/>
      <c r="M46" s="2069"/>
      <c r="N46" s="2069"/>
      <c r="O46" s="2069"/>
      <c r="P46" s="2069"/>
      <c r="Q46" s="2069"/>
      <c r="R46" s="2069"/>
      <c r="S46" s="2069"/>
      <c r="T46" s="2069"/>
      <c r="U46" s="2069"/>
      <c r="V46" s="2069"/>
      <c r="W46" s="2069"/>
      <c r="X46" s="2069"/>
      <c r="Y46" s="2069"/>
    </row>
    <row r="47" spans="2:25">
      <c r="B47" s="2069"/>
      <c r="C47" s="2069"/>
      <c r="D47" s="2069"/>
      <c r="E47" s="2069"/>
      <c r="F47" s="2069"/>
      <c r="G47" s="2069"/>
      <c r="H47" s="2069"/>
      <c r="I47" s="2069"/>
      <c r="J47" s="2069"/>
      <c r="K47" s="2069"/>
      <c r="L47" s="2069"/>
      <c r="M47" s="2069"/>
      <c r="N47" s="2069"/>
      <c r="O47" s="2069"/>
      <c r="P47" s="2069"/>
      <c r="Q47" s="2069"/>
      <c r="R47" s="2069"/>
      <c r="S47" s="2069"/>
      <c r="T47" s="2069"/>
      <c r="U47" s="2069"/>
      <c r="V47" s="2069"/>
      <c r="W47" s="2069"/>
      <c r="X47" s="2069"/>
      <c r="Y47" s="2069"/>
    </row>
    <row r="48" spans="2:25">
      <c r="B48" s="2069"/>
      <c r="C48" s="2069"/>
      <c r="D48" s="2069"/>
      <c r="E48" s="2069"/>
      <c r="F48" s="2069"/>
      <c r="G48" s="2069"/>
      <c r="H48" s="2069"/>
      <c r="I48" s="2069"/>
      <c r="J48" s="2069"/>
      <c r="K48" s="2069"/>
      <c r="L48" s="2069"/>
      <c r="M48" s="2069"/>
      <c r="N48" s="2069"/>
      <c r="O48" s="2069"/>
      <c r="P48" s="2069"/>
      <c r="Q48" s="2069"/>
      <c r="R48" s="2069"/>
      <c r="S48" s="2069"/>
      <c r="T48" s="2069"/>
      <c r="U48" s="2069"/>
      <c r="V48" s="2069"/>
      <c r="W48" s="2069"/>
      <c r="X48" s="2069"/>
      <c r="Y48" s="2069"/>
    </row>
    <row r="49" spans="2:25">
      <c r="B49" s="2069"/>
      <c r="C49" s="2069"/>
      <c r="D49" s="2069"/>
      <c r="E49" s="2069"/>
      <c r="F49" s="2069"/>
      <c r="G49" s="2069"/>
      <c r="H49" s="2069"/>
      <c r="I49" s="2069"/>
      <c r="J49" s="2069"/>
      <c r="K49" s="2069"/>
      <c r="L49" s="2069"/>
      <c r="M49" s="2069"/>
      <c r="N49" s="2069"/>
      <c r="O49" s="2069"/>
      <c r="P49" s="2069"/>
      <c r="Q49" s="2069"/>
      <c r="R49" s="2069"/>
      <c r="S49" s="2069"/>
      <c r="T49" s="2069"/>
      <c r="U49" s="2069"/>
      <c r="V49" s="2069"/>
      <c r="W49" s="2069"/>
      <c r="X49" s="2069"/>
      <c r="Y49" s="2069"/>
    </row>
    <row r="50" spans="2:25">
      <c r="B50" s="2069"/>
      <c r="C50" s="2069"/>
      <c r="D50" s="2069"/>
      <c r="E50" s="2069"/>
      <c r="F50" s="2069"/>
      <c r="G50" s="2069"/>
      <c r="H50" s="2069"/>
      <c r="I50" s="2069"/>
      <c r="J50" s="2069"/>
      <c r="K50" s="2069"/>
      <c r="L50" s="2069"/>
      <c r="M50" s="2069"/>
      <c r="N50" s="2069"/>
      <c r="O50" s="2069"/>
      <c r="P50" s="2069"/>
      <c r="Q50" s="2069"/>
      <c r="R50" s="2069"/>
      <c r="S50" s="2069"/>
      <c r="T50" s="2069"/>
      <c r="U50" s="2069"/>
      <c r="V50" s="2069"/>
      <c r="W50" s="2069"/>
      <c r="X50" s="2069"/>
      <c r="Y50" s="2069"/>
    </row>
    <row r="51" spans="2:25">
      <c r="B51" s="2069"/>
      <c r="C51" s="2069"/>
      <c r="D51" s="2069"/>
      <c r="E51" s="2069"/>
      <c r="F51" s="2069"/>
      <c r="G51" s="2069"/>
      <c r="H51" s="2069"/>
      <c r="I51" s="2069"/>
      <c r="J51" s="2069"/>
      <c r="K51" s="2069"/>
      <c r="L51" s="2069"/>
      <c r="M51" s="2069"/>
      <c r="N51" s="2069"/>
      <c r="O51" s="2069"/>
      <c r="P51" s="2069"/>
      <c r="Q51" s="2069"/>
      <c r="R51" s="2069"/>
      <c r="S51" s="2069"/>
      <c r="T51" s="2069"/>
      <c r="U51" s="2069"/>
      <c r="V51" s="2069"/>
      <c r="W51" s="2069"/>
      <c r="X51" s="2069"/>
      <c r="Y51" s="2069"/>
    </row>
    <row r="52" spans="2:25">
      <c r="B52" s="2069"/>
      <c r="C52" s="2069"/>
      <c r="D52" s="2069"/>
      <c r="E52" s="2069"/>
      <c r="F52" s="2069"/>
      <c r="G52" s="2069"/>
      <c r="H52" s="2069"/>
      <c r="I52" s="2069"/>
      <c r="J52" s="2069"/>
      <c r="K52" s="2069"/>
      <c r="L52" s="2069"/>
      <c r="M52" s="2069"/>
      <c r="N52" s="2069"/>
      <c r="O52" s="2069"/>
      <c r="P52" s="2069"/>
      <c r="Q52" s="2069"/>
      <c r="R52" s="2069"/>
      <c r="S52" s="2069"/>
      <c r="T52" s="2069"/>
      <c r="U52" s="2069"/>
      <c r="V52" s="2069"/>
      <c r="W52" s="2069"/>
      <c r="X52" s="2069"/>
      <c r="Y52" s="2069"/>
    </row>
    <row r="53" spans="2:25">
      <c r="B53" s="2069"/>
      <c r="C53" s="2069"/>
      <c r="D53" s="2069"/>
      <c r="E53" s="2069"/>
      <c r="F53" s="2069"/>
      <c r="G53" s="2069"/>
      <c r="H53" s="2069"/>
      <c r="I53" s="2069"/>
      <c r="J53" s="2069"/>
      <c r="K53" s="2069"/>
      <c r="L53" s="2069"/>
      <c r="M53" s="2069"/>
      <c r="N53" s="2069"/>
      <c r="O53" s="2069"/>
      <c r="P53" s="2069"/>
      <c r="Q53" s="2069"/>
      <c r="R53" s="2069"/>
      <c r="S53" s="2069"/>
      <c r="T53" s="2069"/>
      <c r="U53" s="2069"/>
      <c r="V53" s="2069"/>
      <c r="W53" s="2069"/>
      <c r="X53" s="2069"/>
      <c r="Y53" s="2069"/>
    </row>
    <row r="54" spans="2:25">
      <c r="B54" s="2069"/>
      <c r="C54" s="2069"/>
      <c r="D54" s="2069"/>
      <c r="E54" s="2069"/>
      <c r="F54" s="2069"/>
      <c r="G54" s="2069"/>
      <c r="H54" s="2069"/>
      <c r="I54" s="2069"/>
      <c r="J54" s="2069"/>
      <c r="K54" s="2069"/>
      <c r="L54" s="2069"/>
      <c r="M54" s="2069"/>
      <c r="N54" s="2069"/>
      <c r="O54" s="2069"/>
      <c r="P54" s="2069"/>
      <c r="Q54" s="2069"/>
      <c r="R54" s="2069"/>
      <c r="S54" s="2069"/>
      <c r="T54" s="2069"/>
      <c r="U54" s="2069"/>
      <c r="V54" s="2069"/>
      <c r="W54" s="2069"/>
      <c r="X54" s="2069"/>
      <c r="Y54" s="2069"/>
    </row>
    <row r="55" spans="2:25">
      <c r="B55" s="2069"/>
      <c r="C55" s="2069"/>
      <c r="D55" s="2069"/>
      <c r="E55" s="2069"/>
      <c r="F55" s="2069"/>
      <c r="G55" s="2069"/>
      <c r="H55" s="2069"/>
      <c r="I55" s="2069"/>
      <c r="J55" s="2069"/>
      <c r="K55" s="2069"/>
      <c r="L55" s="2069"/>
      <c r="M55" s="2069"/>
      <c r="N55" s="2069"/>
      <c r="O55" s="2069"/>
      <c r="P55" s="2069"/>
      <c r="Q55" s="2069"/>
      <c r="R55" s="2069"/>
      <c r="S55" s="2069"/>
      <c r="T55" s="2069"/>
      <c r="U55" s="2069"/>
      <c r="V55" s="2069"/>
      <c r="W55" s="2069"/>
      <c r="X55" s="2069"/>
      <c r="Y55" s="2069"/>
    </row>
    <row r="56" spans="2:25">
      <c r="B56" s="2069"/>
      <c r="C56" s="2069"/>
      <c r="D56" s="2069"/>
      <c r="E56" s="2069"/>
      <c r="F56" s="2069"/>
      <c r="G56" s="2069"/>
      <c r="H56" s="2069"/>
      <c r="I56" s="2069"/>
      <c r="J56" s="2069"/>
      <c r="K56" s="2069"/>
      <c r="L56" s="2069"/>
      <c r="M56" s="2069"/>
      <c r="N56" s="2069"/>
      <c r="O56" s="2069"/>
      <c r="P56" s="2069"/>
      <c r="Q56" s="2069"/>
      <c r="R56" s="2069"/>
      <c r="S56" s="2069"/>
      <c r="T56" s="2069"/>
      <c r="U56" s="2069"/>
      <c r="V56" s="2069"/>
      <c r="W56" s="2069"/>
      <c r="X56" s="2069"/>
      <c r="Y56" s="2069"/>
    </row>
    <row r="57" spans="2:25">
      <c r="B57" s="2069"/>
      <c r="C57" s="2069"/>
      <c r="D57" s="2069"/>
      <c r="E57" s="2069"/>
      <c r="F57" s="2069"/>
      <c r="G57" s="2069"/>
      <c r="H57" s="2069"/>
      <c r="I57" s="2069"/>
      <c r="J57" s="2069"/>
      <c r="K57" s="2069"/>
      <c r="L57" s="2069"/>
      <c r="M57" s="2069"/>
      <c r="N57" s="2069"/>
      <c r="O57" s="2069"/>
      <c r="P57" s="2069"/>
      <c r="Q57" s="2069"/>
      <c r="R57" s="2069"/>
      <c r="S57" s="2069"/>
      <c r="T57" s="2069"/>
      <c r="U57" s="2069"/>
      <c r="V57" s="2069"/>
      <c r="W57" s="2069"/>
      <c r="X57" s="2069"/>
      <c r="Y57" s="2069"/>
    </row>
    <row r="58" spans="2:25">
      <c r="B58" s="2069"/>
      <c r="C58" s="2069"/>
      <c r="D58" s="2069"/>
      <c r="E58" s="2069"/>
      <c r="F58" s="2069"/>
      <c r="G58" s="2069"/>
      <c r="H58" s="2069"/>
      <c r="I58" s="2069"/>
      <c r="J58" s="2069"/>
      <c r="K58" s="2069"/>
      <c r="L58" s="2069"/>
      <c r="M58" s="2069"/>
      <c r="N58" s="2069"/>
      <c r="O58" s="2069"/>
      <c r="P58" s="2069"/>
      <c r="Q58" s="2069"/>
      <c r="R58" s="2069"/>
      <c r="S58" s="2069"/>
      <c r="T58" s="2069"/>
      <c r="U58" s="2069"/>
      <c r="V58" s="2069"/>
      <c r="W58" s="2069"/>
      <c r="X58" s="2069"/>
      <c r="Y58" s="2069"/>
    </row>
    <row r="59" spans="2:25">
      <c r="B59" s="2069"/>
      <c r="C59" s="2069"/>
      <c r="D59" s="2069"/>
      <c r="E59" s="2069"/>
      <c r="F59" s="2069"/>
      <c r="G59" s="2069"/>
      <c r="H59" s="2069"/>
      <c r="I59" s="2069"/>
      <c r="J59" s="2069"/>
      <c r="K59" s="2069"/>
      <c r="L59" s="2069"/>
      <c r="M59" s="2069"/>
      <c r="N59" s="2069"/>
      <c r="O59" s="2069"/>
      <c r="P59" s="2069"/>
      <c r="Q59" s="2069"/>
      <c r="R59" s="2069"/>
      <c r="S59" s="2069"/>
      <c r="T59" s="2069"/>
      <c r="U59" s="2069"/>
      <c r="V59" s="2069"/>
      <c r="W59" s="2069"/>
      <c r="X59" s="2069"/>
      <c r="Y59" s="2069"/>
    </row>
    <row r="60" spans="2:25">
      <c r="B60" s="2069"/>
      <c r="C60" s="2069"/>
      <c r="D60" s="2069"/>
      <c r="E60" s="2069"/>
      <c r="F60" s="2069"/>
      <c r="G60" s="2069"/>
      <c r="H60" s="2069"/>
      <c r="I60" s="2069"/>
      <c r="J60" s="2069"/>
      <c r="K60" s="2069"/>
      <c r="L60" s="2069"/>
      <c r="M60" s="2069"/>
      <c r="N60" s="2069"/>
      <c r="O60" s="2069"/>
      <c r="P60" s="2069"/>
      <c r="Q60" s="2069"/>
      <c r="R60" s="2069"/>
      <c r="S60" s="2069"/>
      <c r="T60" s="2069"/>
      <c r="U60" s="2069"/>
      <c r="V60" s="2069"/>
      <c r="W60" s="2069"/>
      <c r="X60" s="2069"/>
      <c r="Y60" s="2069"/>
    </row>
    <row r="61" spans="2:25">
      <c r="B61" s="2069"/>
      <c r="C61" s="2069"/>
      <c r="D61" s="2069"/>
      <c r="E61" s="2069"/>
      <c r="F61" s="2069"/>
      <c r="G61" s="2069"/>
      <c r="H61" s="2069"/>
      <c r="I61" s="2069"/>
      <c r="J61" s="2069"/>
      <c r="K61" s="2069"/>
      <c r="L61" s="2069"/>
      <c r="M61" s="2069"/>
      <c r="N61" s="2069"/>
      <c r="O61" s="2069"/>
      <c r="P61" s="2069"/>
      <c r="Q61" s="2069"/>
      <c r="R61" s="2069"/>
      <c r="S61" s="2069"/>
      <c r="T61" s="2069"/>
      <c r="U61" s="2069"/>
      <c r="V61" s="2069"/>
      <c r="W61" s="2069"/>
      <c r="X61" s="2069"/>
      <c r="Y61" s="2069"/>
    </row>
    <row r="62" spans="2:25">
      <c r="B62" s="2069"/>
      <c r="C62" s="2069"/>
      <c r="D62" s="2069"/>
      <c r="E62" s="2069"/>
      <c r="F62" s="2069"/>
      <c r="G62" s="2069"/>
      <c r="H62" s="2069"/>
      <c r="I62" s="2069"/>
      <c r="J62" s="2069"/>
      <c r="K62" s="2069"/>
      <c r="L62" s="2069"/>
      <c r="M62" s="2069"/>
      <c r="N62" s="2069"/>
      <c r="O62" s="2069"/>
      <c r="P62" s="2069"/>
      <c r="Q62" s="2069"/>
      <c r="R62" s="2069"/>
      <c r="S62" s="2069"/>
      <c r="T62" s="2069"/>
      <c r="U62" s="2069"/>
      <c r="V62" s="2069"/>
      <c r="W62" s="2069"/>
      <c r="X62" s="2069"/>
      <c r="Y62" s="2069"/>
    </row>
    <row r="63" spans="2:25">
      <c r="B63" s="2069"/>
      <c r="C63" s="2069"/>
      <c r="D63" s="2069"/>
      <c r="E63" s="2069"/>
      <c r="F63" s="2069"/>
      <c r="G63" s="2069"/>
      <c r="H63" s="2069"/>
      <c r="I63" s="2069"/>
      <c r="J63" s="2069"/>
      <c r="K63" s="2069"/>
      <c r="L63" s="2069"/>
      <c r="M63" s="2069"/>
      <c r="N63" s="2069"/>
      <c r="O63" s="2069"/>
      <c r="P63" s="2069"/>
      <c r="Q63" s="2069"/>
      <c r="R63" s="2069"/>
      <c r="S63" s="2069"/>
      <c r="T63" s="2069"/>
      <c r="U63" s="2069"/>
      <c r="V63" s="2069"/>
      <c r="W63" s="2069"/>
      <c r="X63" s="2069"/>
      <c r="Y63" s="2069"/>
    </row>
    <row r="64" spans="2:25">
      <c r="B64" s="2069"/>
      <c r="C64" s="2069"/>
      <c r="D64" s="2069"/>
      <c r="E64" s="2069"/>
      <c r="F64" s="2069"/>
      <c r="G64" s="2069"/>
      <c r="H64" s="2069"/>
      <c r="I64" s="2069"/>
      <c r="J64" s="2069"/>
      <c r="K64" s="2069"/>
      <c r="L64" s="2069"/>
      <c r="M64" s="2069"/>
      <c r="N64" s="2069"/>
      <c r="O64" s="2069"/>
      <c r="P64" s="2069"/>
      <c r="Q64" s="2069"/>
      <c r="R64" s="2069"/>
      <c r="S64" s="2069"/>
      <c r="T64" s="2069"/>
      <c r="U64" s="2069"/>
      <c r="V64" s="2069"/>
      <c r="W64" s="2069"/>
      <c r="X64" s="2069"/>
      <c r="Y64" s="2069"/>
    </row>
    <row r="65" spans="2:25">
      <c r="B65" s="2069"/>
      <c r="C65" s="2069"/>
      <c r="D65" s="2069"/>
      <c r="E65" s="2069"/>
      <c r="F65" s="2069"/>
      <c r="G65" s="2069"/>
      <c r="H65" s="2069"/>
      <c r="I65" s="2069"/>
      <c r="J65" s="2069"/>
      <c r="K65" s="2069"/>
      <c r="L65" s="2069"/>
      <c r="M65" s="2069"/>
      <c r="N65" s="2069"/>
      <c r="O65" s="2069"/>
      <c r="P65" s="2069"/>
      <c r="Q65" s="2069"/>
      <c r="R65" s="2069"/>
      <c r="S65" s="2069"/>
      <c r="T65" s="2069"/>
      <c r="U65" s="2069"/>
      <c r="V65" s="2069"/>
      <c r="W65" s="2069"/>
      <c r="X65" s="2069"/>
      <c r="Y65" s="2069"/>
    </row>
    <row r="66" spans="2:25">
      <c r="B66" s="2069"/>
      <c r="C66" s="2069"/>
      <c r="D66" s="2069"/>
      <c r="E66" s="2069"/>
      <c r="F66" s="2069"/>
      <c r="G66" s="2069"/>
      <c r="H66" s="2069"/>
      <c r="I66" s="2069"/>
      <c r="J66" s="2069"/>
      <c r="K66" s="2069"/>
      <c r="L66" s="2069"/>
      <c r="M66" s="2069"/>
      <c r="N66" s="2069"/>
      <c r="O66" s="2069"/>
      <c r="P66" s="2069"/>
      <c r="Q66" s="2069"/>
      <c r="R66" s="2069"/>
      <c r="S66" s="2069"/>
      <c r="T66" s="2069"/>
      <c r="U66" s="2069"/>
      <c r="V66" s="2069"/>
      <c r="W66" s="2069"/>
      <c r="X66" s="2069"/>
      <c r="Y66" s="2069"/>
    </row>
    <row r="67" spans="2:25">
      <c r="B67" s="2069"/>
      <c r="C67" s="2069"/>
      <c r="D67" s="2069"/>
      <c r="E67" s="2069"/>
      <c r="F67" s="2069"/>
      <c r="G67" s="2069"/>
      <c r="H67" s="2069"/>
      <c r="I67" s="2069"/>
      <c r="J67" s="2069"/>
      <c r="K67" s="2069"/>
      <c r="L67" s="2069"/>
      <c r="M67" s="2069"/>
      <c r="N67" s="2069"/>
      <c r="O67" s="2069"/>
      <c r="P67" s="2069"/>
      <c r="Q67" s="2069"/>
      <c r="R67" s="2069"/>
      <c r="S67" s="2069"/>
      <c r="T67" s="2069"/>
      <c r="U67" s="2069"/>
      <c r="V67" s="2069"/>
      <c r="W67" s="2069"/>
      <c r="X67" s="2069"/>
      <c r="Y67" s="2069"/>
    </row>
    <row r="68" spans="2:25">
      <c r="B68" s="2069"/>
      <c r="C68" s="2069"/>
      <c r="D68" s="2069"/>
      <c r="E68" s="2069"/>
      <c r="F68" s="2069"/>
      <c r="G68" s="2069"/>
      <c r="H68" s="2069"/>
      <c r="I68" s="2069"/>
      <c r="J68" s="2069"/>
      <c r="K68" s="2069"/>
      <c r="L68" s="2069"/>
      <c r="M68" s="2069"/>
      <c r="N68" s="2069"/>
      <c r="O68" s="2069"/>
      <c r="P68" s="2069"/>
      <c r="Q68" s="2069"/>
      <c r="R68" s="2069"/>
      <c r="S68" s="2069"/>
      <c r="T68" s="2069"/>
      <c r="U68" s="2069"/>
      <c r="V68" s="2069"/>
      <c r="W68" s="2069"/>
      <c r="X68" s="2069"/>
      <c r="Y68" s="2069"/>
    </row>
    <row r="69" spans="2:25">
      <c r="B69" s="2069"/>
      <c r="C69" s="2069"/>
      <c r="D69" s="2069"/>
      <c r="E69" s="2069"/>
      <c r="F69" s="2069"/>
      <c r="G69" s="2069"/>
      <c r="H69" s="2069"/>
      <c r="I69" s="2069"/>
      <c r="J69" s="2069"/>
      <c r="K69" s="2069"/>
      <c r="L69" s="2069"/>
      <c r="M69" s="2069"/>
      <c r="N69" s="2069"/>
      <c r="O69" s="2069"/>
      <c r="P69" s="2069"/>
      <c r="Q69" s="2069"/>
      <c r="R69" s="2069"/>
      <c r="S69" s="2069"/>
      <c r="T69" s="2069"/>
      <c r="U69" s="2069"/>
      <c r="V69" s="2069"/>
      <c r="W69" s="2069"/>
      <c r="X69" s="2069"/>
      <c r="Y69" s="2069"/>
    </row>
    <row r="70" spans="2:25">
      <c r="B70" s="2069"/>
      <c r="C70" s="2069"/>
      <c r="D70" s="2069"/>
      <c r="E70" s="2069"/>
      <c r="F70" s="2069"/>
      <c r="G70" s="2069"/>
      <c r="H70" s="2069"/>
      <c r="I70" s="2069"/>
      <c r="J70" s="2069"/>
      <c r="K70" s="2069"/>
      <c r="L70" s="2069"/>
      <c r="M70" s="2069"/>
      <c r="N70" s="2069"/>
      <c r="O70" s="2069"/>
      <c r="P70" s="2069"/>
      <c r="Q70" s="2069"/>
      <c r="R70" s="2069"/>
      <c r="S70" s="2069"/>
      <c r="T70" s="2069"/>
      <c r="U70" s="2069"/>
      <c r="V70" s="2069"/>
      <c r="W70" s="2069"/>
      <c r="X70" s="2069"/>
      <c r="Y70" s="2069"/>
    </row>
    <row r="71" spans="2:25">
      <c r="B71" s="2069"/>
      <c r="C71" s="2069"/>
      <c r="D71" s="2069"/>
      <c r="E71" s="2069"/>
      <c r="F71" s="2069"/>
      <c r="G71" s="2069"/>
      <c r="H71" s="2069"/>
      <c r="I71" s="2069"/>
      <c r="J71" s="2069"/>
      <c r="K71" s="2069"/>
      <c r="L71" s="2069"/>
      <c r="M71" s="2069"/>
      <c r="N71" s="2069"/>
      <c r="O71" s="2069"/>
      <c r="P71" s="2069"/>
      <c r="Q71" s="2069"/>
      <c r="R71" s="2069"/>
      <c r="S71" s="2069"/>
      <c r="T71" s="2069"/>
      <c r="U71" s="2069"/>
      <c r="V71" s="2069"/>
      <c r="W71" s="2069"/>
      <c r="X71" s="2069"/>
      <c r="Y71" s="2069"/>
    </row>
    <row r="72" spans="2:25">
      <c r="B72" s="2069"/>
      <c r="C72" s="2069"/>
      <c r="D72" s="2069"/>
      <c r="E72" s="2069"/>
      <c r="F72" s="2069"/>
      <c r="G72" s="2069"/>
      <c r="H72" s="2069"/>
      <c r="I72" s="2069"/>
      <c r="J72" s="2069"/>
      <c r="K72" s="2069"/>
      <c r="L72" s="2069"/>
      <c r="M72" s="2069"/>
      <c r="N72" s="2069"/>
      <c r="O72" s="2069"/>
      <c r="P72" s="2069"/>
      <c r="Q72" s="2069"/>
      <c r="R72" s="2069"/>
      <c r="S72" s="2069"/>
      <c r="T72" s="2069"/>
      <c r="U72" s="2069"/>
      <c r="V72" s="2069"/>
      <c r="W72" s="2069"/>
      <c r="X72" s="2069"/>
      <c r="Y72" s="2069"/>
    </row>
    <row r="73" spans="2:25">
      <c r="B73" s="2069"/>
      <c r="C73" s="2069"/>
      <c r="D73" s="2069"/>
      <c r="E73" s="2069"/>
      <c r="F73" s="2069"/>
      <c r="G73" s="2069"/>
      <c r="H73" s="2069"/>
      <c r="I73" s="2069"/>
      <c r="J73" s="2069"/>
      <c r="K73" s="2069"/>
      <c r="L73" s="2069"/>
      <c r="M73" s="2069"/>
      <c r="N73" s="2069"/>
      <c r="O73" s="2069"/>
      <c r="P73" s="2069"/>
      <c r="Q73" s="2069"/>
      <c r="R73" s="2069"/>
      <c r="S73" s="2069"/>
      <c r="T73" s="2069"/>
      <c r="U73" s="2069"/>
      <c r="V73" s="2069"/>
      <c r="W73" s="2069"/>
      <c r="X73" s="2069"/>
      <c r="Y73" s="2069"/>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8671875" defaultRowHeight="15"/>
  <cols>
    <col min="1" max="1" width="2.109375" style="308" customWidth="1"/>
    <col min="2" max="4" width="9.88671875" style="308" customWidth="1"/>
    <col min="5" max="5" width="10.44140625" style="308" customWidth="1"/>
    <col min="6" max="6" width="14.88671875" style="308" customWidth="1"/>
    <col min="7" max="7" width="1.109375" style="308" customWidth="1"/>
    <col min="8" max="8" width="16.88671875" style="308" customWidth="1"/>
    <col min="9" max="9" width="1.109375" style="308" customWidth="1"/>
    <col min="10" max="10" width="16.88671875" style="308" bestFit="1" customWidth="1"/>
    <col min="11" max="11" width="9.88671875" style="308" customWidth="1"/>
    <col min="12" max="12" width="15.88671875" style="308" customWidth="1"/>
    <col min="13" max="16384" width="8.88671875" style="308"/>
  </cols>
  <sheetData>
    <row r="1" spans="2:12">
      <c r="B1" s="912" t="s">
        <v>97</v>
      </c>
    </row>
    <row r="2" spans="2:12">
      <c r="B2" s="360"/>
    </row>
    <row r="3" spans="2:12" ht="15.75">
      <c r="B3" s="309" t="s">
        <v>98</v>
      </c>
      <c r="J3" s="435" t="s">
        <v>904</v>
      </c>
    </row>
    <row r="4" spans="2:12" ht="15.75">
      <c r="B4" s="361" t="s">
        <v>905</v>
      </c>
    </row>
    <row r="5" spans="2:12" ht="15.75">
      <c r="B5" s="664" t="str">
        <f>'Sch 1 '!A8</f>
        <v>FOR THE MONTH OF NOVEMBER 2025</v>
      </c>
      <c r="C5" s="665"/>
      <c r="D5" s="665"/>
      <c r="E5" s="665"/>
      <c r="F5" s="665"/>
      <c r="G5" s="665"/>
      <c r="H5" s="665"/>
      <c r="I5" s="665"/>
      <c r="J5" s="665"/>
      <c r="K5" s="665"/>
      <c r="L5" s="665"/>
    </row>
    <row r="6" spans="2:12" ht="15.75">
      <c r="B6" s="664" t="s">
        <v>906</v>
      </c>
      <c r="C6" s="665"/>
      <c r="D6" s="665"/>
      <c r="E6" s="665"/>
      <c r="F6" s="665"/>
      <c r="G6" s="665"/>
      <c r="H6" s="665"/>
      <c r="I6" s="665"/>
      <c r="J6" s="665"/>
      <c r="K6" s="665"/>
      <c r="L6" s="665"/>
    </row>
    <row r="7" spans="2:12" ht="12.6" customHeight="1">
      <c r="B7" s="664" t="s">
        <v>102</v>
      </c>
      <c r="C7" s="666"/>
      <c r="D7" s="666"/>
      <c r="E7" s="666"/>
      <c r="F7" s="666"/>
      <c r="G7" s="666"/>
      <c r="H7" s="666"/>
      <c r="I7" s="666"/>
      <c r="J7" s="666"/>
      <c r="K7" s="666"/>
      <c r="L7" s="666"/>
    </row>
    <row r="8" spans="2:12">
      <c r="B8" s="112"/>
      <c r="G8" s="112"/>
      <c r="I8" s="112"/>
    </row>
    <row r="9" spans="2:12" ht="15.75">
      <c r="B9" s="112"/>
      <c r="F9" s="113" t="s">
        <v>109</v>
      </c>
      <c r="G9" s="112"/>
      <c r="H9" s="114" t="s">
        <v>907</v>
      </c>
      <c r="I9" s="112"/>
      <c r="J9" s="113" t="s">
        <v>908</v>
      </c>
    </row>
    <row r="10" spans="2:12" ht="15.75">
      <c r="B10" s="112"/>
      <c r="F10" s="114" t="str">
        <f>Footnotes!$O$3</f>
        <v>NOVEMBER 2025</v>
      </c>
      <c r="G10" s="112"/>
      <c r="H10" s="114" t="s">
        <v>909</v>
      </c>
      <c r="I10" s="112"/>
      <c r="J10" s="114" t="s">
        <v>910</v>
      </c>
    </row>
    <row r="11" spans="2:12" ht="15.75">
      <c r="B11" s="112"/>
      <c r="F11" s="634"/>
      <c r="G11" s="112"/>
      <c r="H11" s="634" t="s">
        <v>103</v>
      </c>
      <c r="I11" s="112"/>
      <c r="J11" s="634"/>
    </row>
    <row r="12" spans="2:12" ht="15.75">
      <c r="B12" s="115" t="s">
        <v>911</v>
      </c>
      <c r="G12" s="112"/>
      <c r="H12" s="308" t="s">
        <v>103</v>
      </c>
      <c r="I12" s="112"/>
    </row>
    <row r="13" spans="2:12">
      <c r="B13" s="112"/>
      <c r="G13" s="112"/>
      <c r="I13" s="112"/>
    </row>
    <row r="14" spans="2:12">
      <c r="B14" s="284" t="s">
        <v>912</v>
      </c>
      <c r="F14" s="502">
        <v>80041.3</v>
      </c>
      <c r="G14" s="502"/>
      <c r="H14" s="888">
        <v>84659.8</v>
      </c>
      <c r="I14" s="502"/>
      <c r="J14" s="502">
        <v>80185</v>
      </c>
    </row>
    <row r="15" spans="2:12">
      <c r="B15" s="284" t="s">
        <v>913</v>
      </c>
      <c r="F15" s="860">
        <v>4.0099999999999997E-2</v>
      </c>
      <c r="G15" s="306"/>
      <c r="H15" s="889">
        <v>4.2619999999999998E-2</v>
      </c>
      <c r="I15" s="306"/>
      <c r="J15" s="860">
        <v>5.2319999999999998E-2</v>
      </c>
    </row>
    <row r="16" spans="2:12">
      <c r="B16" s="306" t="s">
        <v>914</v>
      </c>
      <c r="F16" s="861">
        <v>265.16000000000003</v>
      </c>
      <c r="G16" s="890"/>
      <c r="H16" s="891">
        <v>2425.7689999999998</v>
      </c>
      <c r="I16" s="374"/>
      <c r="J16" s="861">
        <v>2819.7890000000002</v>
      </c>
    </row>
    <row r="17" spans="2:11">
      <c r="B17" s="112"/>
      <c r="K17" s="112"/>
    </row>
    <row r="18" spans="2:11">
      <c r="B18" s="112"/>
      <c r="K18" s="112"/>
    </row>
    <row r="19" spans="2:11" ht="15" customHeight="1">
      <c r="B19" s="112"/>
      <c r="K19" s="112"/>
    </row>
    <row r="20" spans="2:11" ht="18">
      <c r="B20" s="364" t="s">
        <v>915</v>
      </c>
      <c r="C20" s="365"/>
      <c r="D20" s="365"/>
      <c r="K20" s="112"/>
    </row>
    <row r="21" spans="2:11">
      <c r="B21" s="112"/>
      <c r="G21" s="262"/>
      <c r="H21" s="262" t="str">
        <f>F10</f>
        <v>NOVEMBER 2025</v>
      </c>
      <c r="I21" s="686"/>
      <c r="J21" s="686" t="str">
        <f>UPPER(TEXT(H21-365,"MMMM YYYY"))</f>
        <v>NOVEMBER 2024</v>
      </c>
      <c r="K21" s="1690"/>
    </row>
    <row r="22" spans="2:11">
      <c r="B22" s="112"/>
      <c r="C22" s="366" t="s">
        <v>916</v>
      </c>
      <c r="E22" s="306" t="s">
        <v>103</v>
      </c>
      <c r="G22" s="367"/>
      <c r="H22" s="1276" t="s">
        <v>917</v>
      </c>
      <c r="I22" s="367"/>
      <c r="J22" s="1276" t="s">
        <v>917</v>
      </c>
      <c r="K22" s="112"/>
    </row>
    <row r="23" spans="2:11">
      <c r="B23" s="112"/>
      <c r="C23" s="306" t="s">
        <v>918</v>
      </c>
      <c r="G23" s="503"/>
      <c r="H23" s="504">
        <v>48904.7</v>
      </c>
      <c r="I23" s="503"/>
      <c r="J23" s="504">
        <v>48166.6</v>
      </c>
      <c r="K23" s="112"/>
    </row>
    <row r="24" spans="2:11">
      <c r="B24" s="112"/>
      <c r="C24" s="306" t="s">
        <v>919</v>
      </c>
      <c r="G24" s="503"/>
      <c r="H24" s="505">
        <v>709.5</v>
      </c>
      <c r="I24" s="503"/>
      <c r="J24" s="505">
        <v>607</v>
      </c>
      <c r="K24" s="112"/>
    </row>
    <row r="25" spans="2:11">
      <c r="B25" s="112"/>
      <c r="C25" s="306" t="s">
        <v>920</v>
      </c>
      <c r="G25" s="503"/>
      <c r="H25" s="505">
        <v>2000</v>
      </c>
      <c r="I25" s="503"/>
      <c r="J25" s="505">
        <v>400</v>
      </c>
      <c r="K25" s="112"/>
    </row>
    <row r="26" spans="2:11">
      <c r="B26" s="112"/>
      <c r="C26" s="306" t="s">
        <v>921</v>
      </c>
      <c r="G26" s="506"/>
      <c r="H26" s="505">
        <v>26984</v>
      </c>
      <c r="I26" s="506"/>
      <c r="J26" s="505">
        <v>24071.200000000001</v>
      </c>
      <c r="K26" s="112" t="s">
        <v>103</v>
      </c>
    </row>
    <row r="27" spans="2:11">
      <c r="B27" s="112"/>
      <c r="C27" s="306" t="s">
        <v>922</v>
      </c>
      <c r="G27" s="506"/>
      <c r="H27" s="505">
        <v>3220.1</v>
      </c>
      <c r="I27" s="506"/>
      <c r="J27" s="505">
        <v>3154.8</v>
      </c>
      <c r="K27" s="112" t="s">
        <v>103</v>
      </c>
    </row>
    <row r="28" spans="2:11">
      <c r="B28" s="112"/>
      <c r="C28" s="306" t="s">
        <v>923</v>
      </c>
      <c r="G28" s="506"/>
      <c r="H28" s="505">
        <v>53</v>
      </c>
      <c r="I28" s="506"/>
      <c r="J28" s="505">
        <v>78</v>
      </c>
      <c r="K28" s="112"/>
    </row>
    <row r="29" spans="2:11" ht="16.5" thickBot="1">
      <c r="B29" s="112"/>
      <c r="G29" s="116"/>
      <c r="H29" s="635">
        <f>ROUND(SUM(H23:H28),1)</f>
        <v>81871.3</v>
      </c>
      <c r="I29" s="116"/>
      <c r="J29" s="635">
        <f>ROUND(SUM(J23:J28),1)</f>
        <v>76477.600000000006</v>
      </c>
      <c r="K29" s="112"/>
    </row>
    <row r="30" spans="2:11" ht="15.75" thickTop="1">
      <c r="B30" s="112"/>
      <c r="G30" s="507"/>
      <c r="H30" s="507"/>
      <c r="I30" s="507"/>
      <c r="K30" s="112"/>
    </row>
    <row r="31" spans="2:11">
      <c r="B31" s="112"/>
      <c r="K31" s="112"/>
    </row>
    <row r="32" spans="2:11" ht="15.75">
      <c r="B32" s="115"/>
      <c r="K32" s="112"/>
    </row>
    <row r="33" spans="2:12" ht="192.75" customHeight="1">
      <c r="B33" s="2110" t="s">
        <v>924</v>
      </c>
      <c r="C33" s="2110"/>
      <c r="D33" s="2110"/>
      <c r="E33" s="2110"/>
      <c r="F33" s="2110"/>
      <c r="G33" s="2110"/>
      <c r="H33" s="2110"/>
      <c r="I33" s="2110"/>
      <c r="J33" s="2110"/>
      <c r="K33" s="112"/>
    </row>
    <row r="35" spans="2:12" ht="15" customHeight="1">
      <c r="B35" s="274" t="s">
        <v>925</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scale="71"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zoomScaleNormal="80" workbookViewId="0"/>
  </sheetViews>
  <sheetFormatPr defaultColWidth="8.88671875" defaultRowHeight="15"/>
  <cols>
    <col min="1" max="1" width="45.44140625" style="171" customWidth="1"/>
    <col min="2" max="2" width="17" style="569" customWidth="1"/>
    <col min="3" max="3" width="1.88671875" style="569" customWidth="1"/>
    <col min="4" max="4" width="17" style="569" customWidth="1"/>
    <col min="5" max="5" width="1.88671875" style="568" customWidth="1"/>
    <col min="6" max="6" width="17" style="569" customWidth="1"/>
    <col min="7" max="7" width="1.88671875" style="568" customWidth="1"/>
    <col min="8" max="8" width="17" style="569" customWidth="1"/>
    <col min="9" max="9" width="1.88671875" style="611" customWidth="1"/>
    <col min="10" max="10" width="17" style="601" customWidth="1"/>
    <col min="11" max="11" width="1.88671875" style="601" customWidth="1"/>
    <col min="12" max="12" width="17" style="601" customWidth="1"/>
    <col min="13" max="13" width="1.88671875" style="611" customWidth="1"/>
    <col min="14" max="14" width="17" style="601" customWidth="1"/>
    <col min="15" max="15" width="1.88671875" style="611" customWidth="1"/>
    <col min="16" max="16" width="17" style="601" customWidth="1"/>
    <col min="17" max="17" width="1.88671875" style="611" customWidth="1"/>
    <col min="18" max="18" width="17" style="601" customWidth="1"/>
    <col min="19" max="19" width="1.88671875" style="611" customWidth="1"/>
    <col min="20" max="20" width="17" style="601" customWidth="1"/>
    <col min="21" max="21" width="1.88671875" style="611" customWidth="1"/>
    <col min="22" max="22" width="17" style="601" customWidth="1"/>
    <col min="23" max="23" width="1.88671875" style="611" customWidth="1"/>
    <col min="24" max="24" width="17" style="601" customWidth="1"/>
    <col min="25" max="25" width="1.88671875" style="611" customWidth="1"/>
    <col min="26" max="26" width="18.88671875" style="612" customWidth="1"/>
    <col min="27" max="27" width="1.5546875" style="488" customWidth="1"/>
    <col min="28" max="28" width="18.88671875" style="171" bestFit="1" customWidth="1"/>
    <col min="29" max="29" width="12.88671875" style="171" bestFit="1" customWidth="1"/>
    <col min="30" max="16384" width="8.8867187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3"/>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3"/>
      <c r="AB2" s="484"/>
      <c r="AC2" s="484"/>
      <c r="AD2" s="484"/>
      <c r="AE2" s="484"/>
      <c r="AF2" s="484"/>
      <c r="AG2" s="484"/>
    </row>
    <row r="3" spans="1:33" ht="17.850000000000001" customHeight="1">
      <c r="A3" s="352" t="s">
        <v>98</v>
      </c>
      <c r="B3" s="168"/>
      <c r="C3" s="168"/>
      <c r="D3" s="169"/>
      <c r="E3" s="170"/>
      <c r="F3" s="169"/>
      <c r="G3" s="170"/>
      <c r="H3" s="169"/>
      <c r="I3" s="170"/>
      <c r="K3" s="168"/>
      <c r="L3" s="602"/>
      <c r="M3" s="168"/>
      <c r="N3" s="169"/>
      <c r="O3" s="170"/>
      <c r="P3" s="169"/>
      <c r="Q3" s="170"/>
      <c r="R3" s="169"/>
      <c r="S3" s="170"/>
      <c r="T3" s="169"/>
      <c r="U3" s="170"/>
      <c r="V3" s="169"/>
      <c r="W3" s="170"/>
      <c r="X3" s="169"/>
      <c r="Y3" s="170"/>
      <c r="Z3" s="603" t="s">
        <v>926</v>
      </c>
      <c r="AA3" s="894"/>
      <c r="AC3" s="168"/>
      <c r="AE3" s="168"/>
    </row>
    <row r="4" spans="1:33" ht="17.850000000000001" customHeight="1">
      <c r="A4" s="352" t="s">
        <v>927</v>
      </c>
      <c r="B4" s="485"/>
      <c r="C4" s="485"/>
      <c r="D4" s="172"/>
      <c r="E4" s="170"/>
      <c r="F4" s="485"/>
      <c r="G4" s="170"/>
      <c r="H4" s="485"/>
      <c r="I4" s="170"/>
      <c r="J4" s="485"/>
      <c r="K4" s="485"/>
      <c r="L4" s="485"/>
      <c r="M4" s="173"/>
      <c r="N4" s="485"/>
      <c r="O4" s="170"/>
      <c r="P4" s="485"/>
      <c r="Q4" s="170"/>
      <c r="R4" s="485"/>
      <c r="S4" s="170"/>
      <c r="T4" s="485"/>
      <c r="U4" s="170"/>
      <c r="V4" s="485"/>
      <c r="W4" s="170"/>
      <c r="X4" s="485"/>
      <c r="Y4" s="170"/>
      <c r="Z4" s="604"/>
      <c r="AA4" s="894"/>
      <c r="AC4" s="168"/>
    </row>
    <row r="5" spans="1:33" ht="17.850000000000001" customHeight="1">
      <c r="A5" s="353" t="s">
        <v>928</v>
      </c>
      <c r="B5" s="485"/>
      <c r="C5" s="485"/>
      <c r="D5" s="485"/>
      <c r="E5" s="170"/>
      <c r="F5" s="485"/>
      <c r="G5" s="170"/>
      <c r="H5" s="485"/>
      <c r="I5" s="170"/>
      <c r="J5" s="485"/>
      <c r="K5" s="485"/>
      <c r="L5" s="485"/>
      <c r="M5" s="173"/>
      <c r="N5" s="485"/>
      <c r="O5" s="170"/>
      <c r="P5" s="485"/>
      <c r="Q5" s="170"/>
      <c r="R5" s="485"/>
      <c r="S5" s="170"/>
      <c r="T5" s="485"/>
      <c r="U5" s="170"/>
      <c r="V5" s="485"/>
      <c r="W5" s="170"/>
      <c r="X5" s="485"/>
      <c r="Y5" s="170"/>
      <c r="Z5" s="604"/>
    </row>
    <row r="6" spans="1:33" ht="17.850000000000001"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4"/>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4"/>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10"/>
      <c r="AA8" s="179"/>
    </row>
    <row r="9" spans="1:33" ht="15.75">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'!$M$11</f>
        <v>8 MONTHS ENDED</v>
      </c>
      <c r="AA9" s="181"/>
    </row>
    <row r="10" spans="1:33" ht="15.75">
      <c r="A10" s="488"/>
      <c r="B10" s="182" t="s">
        <v>332</v>
      </c>
      <c r="C10" s="182"/>
      <c r="D10" s="181" t="s">
        <v>333</v>
      </c>
      <c r="E10" s="173"/>
      <c r="F10" s="181" t="s">
        <v>334</v>
      </c>
      <c r="G10" s="173"/>
      <c r="H10" s="181" t="s">
        <v>335</v>
      </c>
      <c r="I10" s="173"/>
      <c r="J10" s="663"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NOVEMBER 30, 2025</v>
      </c>
      <c r="AA10" s="184"/>
    </row>
    <row r="11" spans="1:33" ht="15.75">
      <c r="A11" s="488"/>
      <c r="B11" s="619" t="s">
        <v>103</v>
      </c>
      <c r="C11" s="489"/>
      <c r="D11" s="619"/>
      <c r="E11" s="490"/>
      <c r="F11" s="619"/>
      <c r="G11" s="490"/>
      <c r="H11" s="619"/>
      <c r="I11" s="490"/>
      <c r="J11" s="619"/>
      <c r="K11" s="183"/>
      <c r="L11" s="619"/>
      <c r="M11" s="490"/>
      <c r="N11" s="619"/>
      <c r="O11" s="490"/>
      <c r="P11" s="619"/>
      <c r="Q11" s="490"/>
      <c r="R11" s="619"/>
      <c r="S11" s="490"/>
      <c r="T11" s="619"/>
      <c r="U11" s="490"/>
      <c r="V11" s="619"/>
      <c r="W11" s="490"/>
      <c r="X11" s="619"/>
      <c r="Y11" s="490"/>
      <c r="Z11" s="1101" t="s">
        <v>103</v>
      </c>
    </row>
    <row r="12" spans="1:33" s="186" customFormat="1" ht="15.75">
      <c r="A12" s="189" t="s">
        <v>929</v>
      </c>
      <c r="B12" s="185">
        <v>14498067</v>
      </c>
      <c r="C12" s="185"/>
      <c r="D12" s="185">
        <f>B47</f>
        <v>206944842</v>
      </c>
      <c r="E12" s="491"/>
      <c r="F12" s="185">
        <f>D47</f>
        <v>880480818</v>
      </c>
      <c r="G12" s="491"/>
      <c r="H12" s="185">
        <f>F47</f>
        <v>371093021</v>
      </c>
      <c r="I12" s="491"/>
      <c r="J12" s="185">
        <f>H47</f>
        <v>485781049</v>
      </c>
      <c r="K12" s="185"/>
      <c r="L12" s="185">
        <f>J47</f>
        <v>587235873</v>
      </c>
      <c r="M12" s="183"/>
      <c r="N12" s="185">
        <f>L47</f>
        <v>577863939</v>
      </c>
      <c r="O12" s="185"/>
      <c r="P12" s="185">
        <f>N47</f>
        <v>599277602</v>
      </c>
      <c r="Q12" s="185"/>
      <c r="R12" s="185"/>
      <c r="S12" s="185"/>
      <c r="T12" s="185"/>
      <c r="U12" s="185"/>
      <c r="V12" s="185"/>
      <c r="W12" s="185"/>
      <c r="X12" s="185"/>
      <c r="Y12" s="185"/>
      <c r="Z12" s="185">
        <f>+B12</f>
        <v>14498067</v>
      </c>
      <c r="AA12" s="895"/>
      <c r="AB12" s="1691"/>
    </row>
    <row r="13" spans="1:33" ht="15.75">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5"/>
      <c r="AB13" s="1691"/>
    </row>
    <row r="14" spans="1:33" ht="15.75">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5"/>
      <c r="AB14" s="1691"/>
    </row>
    <row r="15" spans="1:33">
      <c r="A15" s="354" t="s">
        <v>930</v>
      </c>
      <c r="B15" s="495">
        <v>56733980</v>
      </c>
      <c r="C15" s="495"/>
      <c r="D15" s="495">
        <v>43301598</v>
      </c>
      <c r="E15" s="495"/>
      <c r="F15" s="495">
        <v>42575553</v>
      </c>
      <c r="G15" s="495"/>
      <c r="H15" s="495">
        <v>52441947</v>
      </c>
      <c r="I15" s="495"/>
      <c r="J15" s="495">
        <v>46333761</v>
      </c>
      <c r="K15" s="495"/>
      <c r="L15" s="495">
        <v>48705306</v>
      </c>
      <c r="M15" s="493"/>
      <c r="N15" s="495">
        <v>42359914</v>
      </c>
      <c r="O15" s="495"/>
      <c r="P15" s="495">
        <f>$Z15-F15-H15-J15-L15-N15-D15-B15</f>
        <v>39238013</v>
      </c>
      <c r="Q15" s="495"/>
      <c r="R15" s="495"/>
      <c r="S15" s="495"/>
      <c r="T15" s="495"/>
      <c r="U15" s="495"/>
      <c r="V15" s="495"/>
      <c r="W15" s="495"/>
      <c r="X15" s="495"/>
      <c r="Y15" s="495"/>
      <c r="Z15" s="495">
        <v>371690072</v>
      </c>
      <c r="AB15" s="1691"/>
    </row>
    <row r="16" spans="1:33">
      <c r="A16" s="354" t="s">
        <v>931</v>
      </c>
      <c r="B16" s="495">
        <v>1023000</v>
      </c>
      <c r="C16" s="495"/>
      <c r="D16" s="495">
        <v>600000</v>
      </c>
      <c r="E16" s="495"/>
      <c r="F16" s="495">
        <v>1155000</v>
      </c>
      <c r="G16" s="495"/>
      <c r="H16" s="495">
        <v>1210000</v>
      </c>
      <c r="I16" s="495"/>
      <c r="J16" s="495">
        <v>547000</v>
      </c>
      <c r="K16" s="495"/>
      <c r="L16" s="495">
        <v>558000</v>
      </c>
      <c r="M16" s="493"/>
      <c r="N16" s="495">
        <v>1150000</v>
      </c>
      <c r="O16" s="495"/>
      <c r="P16" s="495">
        <f t="shared" ref="P16:P24" si="0">$Z16-F16-H16-J16-L16-N16-D16-B16</f>
        <v>578000</v>
      </c>
      <c r="Q16" s="495"/>
      <c r="R16" s="495"/>
      <c r="S16" s="495"/>
      <c r="T16" s="495"/>
      <c r="U16" s="495"/>
      <c r="V16" s="495"/>
      <c r="W16" s="495"/>
      <c r="X16" s="495"/>
      <c r="Y16" s="495"/>
      <c r="Z16" s="495">
        <v>6821000</v>
      </c>
      <c r="AB16" s="1691"/>
    </row>
    <row r="17" spans="1:28">
      <c r="A17" s="354" t="s">
        <v>932</v>
      </c>
      <c r="B17" s="495">
        <v>215803</v>
      </c>
      <c r="C17" s="495"/>
      <c r="D17" s="495">
        <v>22032</v>
      </c>
      <c r="E17" s="495"/>
      <c r="F17" s="495">
        <v>4716641</v>
      </c>
      <c r="G17" s="495"/>
      <c r="H17" s="495">
        <v>81738</v>
      </c>
      <c r="I17" s="495"/>
      <c r="J17" s="495">
        <v>75471</v>
      </c>
      <c r="K17" s="495"/>
      <c r="L17" s="495">
        <v>4806182</v>
      </c>
      <c r="M17" s="493"/>
      <c r="N17" s="495">
        <v>168155</v>
      </c>
      <c r="O17" s="495"/>
      <c r="P17" s="495">
        <f t="shared" si="0"/>
        <v>153500</v>
      </c>
      <c r="Q17" s="495"/>
      <c r="R17" s="495"/>
      <c r="S17" s="495"/>
      <c r="T17" s="495"/>
      <c r="U17" s="495"/>
      <c r="V17" s="495"/>
      <c r="W17" s="495"/>
      <c r="X17" s="495"/>
      <c r="Y17" s="495"/>
      <c r="Z17" s="495">
        <v>10239522</v>
      </c>
      <c r="AB17" s="1691"/>
    </row>
    <row r="18" spans="1:28">
      <c r="A18" s="354" t="s">
        <v>933</v>
      </c>
      <c r="B18" s="495">
        <v>3093009</v>
      </c>
      <c r="C18" s="495"/>
      <c r="D18" s="495">
        <v>1517517</v>
      </c>
      <c r="E18" s="495"/>
      <c r="F18" s="495">
        <v>2733427</v>
      </c>
      <c r="G18" s="495"/>
      <c r="H18" s="495">
        <v>3721467</v>
      </c>
      <c r="I18" s="495"/>
      <c r="J18" s="495">
        <v>2760329</v>
      </c>
      <c r="K18" s="495"/>
      <c r="L18" s="495">
        <v>3409856</v>
      </c>
      <c r="M18" s="493"/>
      <c r="N18" s="495">
        <v>3728480</v>
      </c>
      <c r="O18" s="495"/>
      <c r="P18" s="495">
        <f t="shared" si="0"/>
        <v>3384323</v>
      </c>
      <c r="Q18" s="495"/>
      <c r="R18" s="495"/>
      <c r="S18" s="495"/>
      <c r="T18" s="495"/>
      <c r="U18" s="495"/>
      <c r="V18" s="495"/>
      <c r="W18" s="495"/>
      <c r="X18" s="495"/>
      <c r="Y18" s="495"/>
      <c r="Z18" s="495">
        <v>24348408</v>
      </c>
      <c r="AB18" s="1691"/>
    </row>
    <row r="19" spans="1:28">
      <c r="A19" s="354" t="s">
        <v>934</v>
      </c>
      <c r="B19" s="495">
        <v>581370752</v>
      </c>
      <c r="C19" s="495"/>
      <c r="D19" s="495">
        <v>583027750</v>
      </c>
      <c r="E19" s="495"/>
      <c r="F19" s="495">
        <v>596972302</v>
      </c>
      <c r="G19" s="495"/>
      <c r="H19" s="495">
        <v>612268585</v>
      </c>
      <c r="I19" s="495"/>
      <c r="J19" s="495">
        <v>591902632</v>
      </c>
      <c r="K19" s="495"/>
      <c r="L19" s="495">
        <v>597961924</v>
      </c>
      <c r="M19" s="493"/>
      <c r="N19" s="495">
        <v>610669546</v>
      </c>
      <c r="O19" s="495"/>
      <c r="P19" s="495">
        <f t="shared" si="0"/>
        <v>568390584</v>
      </c>
      <c r="Q19" s="495"/>
      <c r="R19" s="495"/>
      <c r="S19" s="495"/>
      <c r="T19" s="495"/>
      <c r="U19" s="495"/>
      <c r="V19" s="495"/>
      <c r="W19" s="495"/>
      <c r="X19" s="495"/>
      <c r="Y19" s="495"/>
      <c r="Z19" s="495">
        <v>4742564075</v>
      </c>
      <c r="AB19" s="1691"/>
    </row>
    <row r="20" spans="1:28">
      <c r="A20" s="354" t="s">
        <v>935</v>
      </c>
      <c r="B20" s="495">
        <v>122000</v>
      </c>
      <c r="C20" s="497"/>
      <c r="D20" s="495">
        <v>87000</v>
      </c>
      <c r="E20" s="495"/>
      <c r="F20" s="495">
        <v>2377000</v>
      </c>
      <c r="G20" s="495"/>
      <c r="H20" s="495">
        <v>110000</v>
      </c>
      <c r="I20" s="495"/>
      <c r="J20" s="495">
        <v>68000</v>
      </c>
      <c r="K20" s="499"/>
      <c r="L20" s="495">
        <v>99800</v>
      </c>
      <c r="M20" s="493"/>
      <c r="N20" s="495">
        <v>31000</v>
      </c>
      <c r="O20" s="495"/>
      <c r="P20" s="495">
        <f t="shared" si="0"/>
        <v>0</v>
      </c>
      <c r="Q20" s="495"/>
      <c r="R20" s="495"/>
      <c r="S20" s="495"/>
      <c r="T20" s="495"/>
      <c r="U20" s="495"/>
      <c r="V20" s="495"/>
      <c r="W20" s="497"/>
      <c r="X20" s="495"/>
      <c r="Y20" s="495"/>
      <c r="Z20" s="495">
        <v>2894800</v>
      </c>
      <c r="AB20" s="1691"/>
    </row>
    <row r="21" spans="1:28">
      <c r="A21" s="354" t="s">
        <v>936</v>
      </c>
      <c r="B21" s="495">
        <v>1114814</v>
      </c>
      <c r="C21" s="497"/>
      <c r="D21" s="495">
        <v>34223</v>
      </c>
      <c r="E21" s="495"/>
      <c r="F21" s="495">
        <v>3047700</v>
      </c>
      <c r="G21" s="495"/>
      <c r="H21" s="495">
        <v>7829688</v>
      </c>
      <c r="I21" s="495"/>
      <c r="J21" s="495">
        <v>418892</v>
      </c>
      <c r="K21" s="499"/>
      <c r="L21" s="495">
        <v>2444705</v>
      </c>
      <c r="M21" s="493"/>
      <c r="N21" s="495">
        <v>5972077</v>
      </c>
      <c r="O21" s="495"/>
      <c r="P21" s="495">
        <f t="shared" si="0"/>
        <v>645563</v>
      </c>
      <c r="Q21" s="495"/>
      <c r="R21" s="495"/>
      <c r="S21" s="495"/>
      <c r="T21" s="495"/>
      <c r="U21" s="495"/>
      <c r="V21" s="495"/>
      <c r="W21" s="497"/>
      <c r="X21" s="495"/>
      <c r="Y21" s="495"/>
      <c r="Z21" s="495">
        <v>21507662</v>
      </c>
      <c r="AB21" s="1691"/>
    </row>
    <row r="22" spans="1:28">
      <c r="A22" s="354" t="s">
        <v>937</v>
      </c>
      <c r="B22" s="495">
        <v>0</v>
      </c>
      <c r="C22" s="497"/>
      <c r="D22" s="495">
        <v>0</v>
      </c>
      <c r="E22" s="495"/>
      <c r="F22" s="495">
        <v>0</v>
      </c>
      <c r="G22" s="495"/>
      <c r="H22" s="495">
        <v>0</v>
      </c>
      <c r="I22" s="495"/>
      <c r="J22" s="495">
        <v>0</v>
      </c>
      <c r="K22" s="499"/>
      <c r="L22" s="495">
        <v>0</v>
      </c>
      <c r="M22" s="493"/>
      <c r="N22" s="495">
        <v>0</v>
      </c>
      <c r="O22" s="495"/>
      <c r="P22" s="495">
        <f t="shared" si="0"/>
        <v>0</v>
      </c>
      <c r="Q22" s="495"/>
      <c r="R22" s="495"/>
      <c r="S22" s="495"/>
      <c r="T22" s="495"/>
      <c r="U22" s="495"/>
      <c r="V22" s="495"/>
      <c r="W22" s="497"/>
      <c r="X22" s="495"/>
      <c r="Y22" s="495"/>
      <c r="Z22" s="495">
        <v>0</v>
      </c>
      <c r="AB22" s="1691"/>
    </row>
    <row r="23" spans="1:28">
      <c r="A23" s="355" t="s">
        <v>938</v>
      </c>
      <c r="B23" s="495">
        <v>0</v>
      </c>
      <c r="C23" s="497"/>
      <c r="D23" s="495">
        <v>0</v>
      </c>
      <c r="E23" s="495"/>
      <c r="F23" s="495">
        <v>0</v>
      </c>
      <c r="G23" s="495"/>
      <c r="H23" s="495">
        <v>0</v>
      </c>
      <c r="I23" s="495"/>
      <c r="J23" s="495">
        <v>0</v>
      </c>
      <c r="K23" s="499"/>
      <c r="L23" s="495">
        <v>0</v>
      </c>
      <c r="M23" s="493"/>
      <c r="N23" s="495">
        <v>0</v>
      </c>
      <c r="O23" s="495"/>
      <c r="P23" s="495">
        <f t="shared" si="0"/>
        <v>0</v>
      </c>
      <c r="Q23" s="495"/>
      <c r="R23" s="495"/>
      <c r="S23" s="495"/>
      <c r="T23" s="495"/>
      <c r="U23" s="495"/>
      <c r="V23" s="495"/>
      <c r="W23" s="497"/>
      <c r="X23" s="495"/>
      <c r="Y23" s="495"/>
      <c r="Z23" s="495">
        <v>0</v>
      </c>
      <c r="AB23" s="1691"/>
    </row>
    <row r="24" spans="1:28">
      <c r="A24" s="354" t="s">
        <v>939</v>
      </c>
      <c r="B24" s="495">
        <v>0</v>
      </c>
      <c r="C24" s="499"/>
      <c r="D24" s="495">
        <v>0</v>
      </c>
      <c r="E24" s="495"/>
      <c r="F24" s="495">
        <v>5195</v>
      </c>
      <c r="G24" s="495"/>
      <c r="H24" s="495">
        <v>0</v>
      </c>
      <c r="I24" s="495"/>
      <c r="J24" s="495">
        <v>1801</v>
      </c>
      <c r="K24" s="495"/>
      <c r="L24" s="495">
        <v>0</v>
      </c>
      <c r="M24" s="493"/>
      <c r="N24" s="495">
        <v>726</v>
      </c>
      <c r="O24" s="495"/>
      <c r="P24" s="495">
        <f t="shared" si="0"/>
        <v>74</v>
      </c>
      <c r="Q24" s="495"/>
      <c r="R24" s="495"/>
      <c r="S24" s="495"/>
      <c r="T24" s="495"/>
      <c r="U24" s="495"/>
      <c r="V24" s="495"/>
      <c r="W24" s="495"/>
      <c r="X24" s="495"/>
      <c r="Y24" s="495"/>
      <c r="Z24" s="1711">
        <v>7796</v>
      </c>
      <c r="AB24" s="1691"/>
    </row>
    <row r="25" spans="1:28" s="186" customFormat="1" ht="15.75">
      <c r="A25" s="187" t="s">
        <v>430</v>
      </c>
      <c r="B25" s="600">
        <f>ROUND(SUM(B15:B24),0)</f>
        <v>643673358</v>
      </c>
      <c r="C25" s="188"/>
      <c r="D25" s="600">
        <f>ROUND(SUM(D15:D24),0)</f>
        <v>628590120</v>
      </c>
      <c r="E25" s="188"/>
      <c r="F25" s="1217">
        <f>ROUND(SUM(F15:F24),0)</f>
        <v>653582818</v>
      </c>
      <c r="G25" s="188"/>
      <c r="H25" s="1217">
        <f>ROUND(SUM(H15:H24),0)</f>
        <v>677663425</v>
      </c>
      <c r="I25" s="188"/>
      <c r="J25" s="600">
        <f>ROUND(SUM(J15:J24),0)</f>
        <v>642107886</v>
      </c>
      <c r="K25" s="188"/>
      <c r="L25" s="600">
        <f>ROUND(SUM(L15:L24),0)</f>
        <v>657985773</v>
      </c>
      <c r="M25" s="183"/>
      <c r="N25" s="600">
        <f>ROUND(SUM(N15:N24),0)</f>
        <v>664079898</v>
      </c>
      <c r="O25" s="188"/>
      <c r="P25" s="600">
        <f>ROUND(SUM(P15:P24),0)</f>
        <v>612390057</v>
      </c>
      <c r="Q25" s="188"/>
      <c r="R25" s="600">
        <f>ROUND(SUM(R15:R24),0)</f>
        <v>0</v>
      </c>
      <c r="S25" s="188"/>
      <c r="T25" s="600">
        <f>ROUND(SUM(T15:T24),0)</f>
        <v>0</v>
      </c>
      <c r="U25" s="188"/>
      <c r="V25" s="600">
        <f>ROUND(SUM(V15:V24),0)</f>
        <v>0</v>
      </c>
      <c r="W25" s="188"/>
      <c r="X25" s="600">
        <f>ROUND(SUM(X15:X24),0)</f>
        <v>0</v>
      </c>
      <c r="Y25" s="188"/>
      <c r="Z25" s="600">
        <f>ROUND(SUM(Z15:Z24),0)</f>
        <v>5180073335</v>
      </c>
      <c r="AA25" s="895"/>
      <c r="AB25" s="1692"/>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91"/>
    </row>
    <row r="27" spans="1:28" ht="15.75">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91"/>
    </row>
    <row r="28" spans="1:28">
      <c r="A28" s="354" t="s">
        <v>940</v>
      </c>
      <c r="B28" s="495">
        <v>448270641</v>
      </c>
      <c r="C28" s="495"/>
      <c r="D28" s="495">
        <v>104822989</v>
      </c>
      <c r="E28" s="495"/>
      <c r="F28" s="495">
        <v>1160485185</v>
      </c>
      <c r="G28" s="495"/>
      <c r="H28" s="495">
        <v>556537523</v>
      </c>
      <c r="I28" s="495"/>
      <c r="J28" s="495">
        <v>535639453</v>
      </c>
      <c r="K28" s="495"/>
      <c r="L28" s="495">
        <v>655544701</v>
      </c>
      <c r="M28" s="493"/>
      <c r="N28" s="495">
        <v>636898096</v>
      </c>
      <c r="O28" s="495"/>
      <c r="P28" s="495">
        <f>$Z28-F28-H28-J28-L28-N28-D28-B28</f>
        <v>553491481</v>
      </c>
      <c r="Q28" s="495"/>
      <c r="R28" s="495"/>
      <c r="S28" s="495"/>
      <c r="T28" s="495"/>
      <c r="U28" s="495"/>
      <c r="V28" s="495"/>
      <c r="W28" s="495"/>
      <c r="X28" s="495"/>
      <c r="Y28" s="495"/>
      <c r="Z28" s="495">
        <v>4651690069</v>
      </c>
      <c r="AB28" s="1691"/>
    </row>
    <row r="29" spans="1:28">
      <c r="A29" s="354" t="s">
        <v>941</v>
      </c>
      <c r="B29" s="495">
        <v>2464</v>
      </c>
      <c r="C29" s="495"/>
      <c r="D29" s="495">
        <v>8385</v>
      </c>
      <c r="E29" s="495"/>
      <c r="F29" s="495">
        <v>8598</v>
      </c>
      <c r="G29" s="495"/>
      <c r="H29" s="495">
        <v>506</v>
      </c>
      <c r="I29" s="495"/>
      <c r="J29" s="495">
        <v>1093</v>
      </c>
      <c r="K29" s="495"/>
      <c r="L29" s="495">
        <v>42</v>
      </c>
      <c r="M29" s="493"/>
      <c r="N29" s="495">
        <v>3223</v>
      </c>
      <c r="O29" s="495"/>
      <c r="P29" s="495">
        <f t="shared" ref="P29:P32" si="1">$Z29-F29-H29-J29-L29-N29-D29-B29</f>
        <v>8531</v>
      </c>
      <c r="Q29" s="495"/>
      <c r="R29" s="495"/>
      <c r="S29" s="495"/>
      <c r="T29" s="495"/>
      <c r="U29" s="495"/>
      <c r="V29" s="495"/>
      <c r="W29" s="495"/>
      <c r="X29" s="495"/>
      <c r="Y29" s="495"/>
      <c r="Z29" s="495">
        <v>32842</v>
      </c>
      <c r="AB29" s="1692"/>
    </row>
    <row r="30" spans="1:28">
      <c r="A30" s="354" t="s">
        <v>942</v>
      </c>
      <c r="B30" s="495">
        <v>1665143</v>
      </c>
      <c r="C30" s="495"/>
      <c r="D30" s="495">
        <v>1182953</v>
      </c>
      <c r="E30" s="495"/>
      <c r="F30" s="495">
        <v>698534</v>
      </c>
      <c r="G30" s="495"/>
      <c r="H30" s="495">
        <v>1415037</v>
      </c>
      <c r="I30" s="495"/>
      <c r="J30" s="495">
        <v>1822766</v>
      </c>
      <c r="K30" s="495"/>
      <c r="L30" s="495">
        <v>1258510</v>
      </c>
      <c r="M30" s="493"/>
      <c r="N30" s="495">
        <v>1901331</v>
      </c>
      <c r="O30" s="495"/>
      <c r="P30" s="495">
        <f t="shared" si="1"/>
        <v>90682</v>
      </c>
      <c r="Q30" s="495"/>
      <c r="R30" s="495"/>
      <c r="S30" s="495"/>
      <c r="T30" s="495"/>
      <c r="U30" s="495"/>
      <c r="V30" s="495"/>
      <c r="W30" s="495"/>
      <c r="X30" s="495"/>
      <c r="Y30" s="495"/>
      <c r="Z30" s="495">
        <v>10034956</v>
      </c>
      <c r="AB30" s="1691"/>
    </row>
    <row r="31" spans="1:28">
      <c r="A31" s="354" t="s">
        <v>943</v>
      </c>
      <c r="B31" s="495">
        <v>1288335</v>
      </c>
      <c r="C31" s="495"/>
      <c r="D31" s="495">
        <v>6266063</v>
      </c>
      <c r="E31" s="495"/>
      <c r="F31" s="495">
        <v>1323207</v>
      </c>
      <c r="G31" s="495"/>
      <c r="H31" s="495">
        <v>3563246</v>
      </c>
      <c r="I31" s="495"/>
      <c r="J31" s="495">
        <v>2611681</v>
      </c>
      <c r="K31" s="495"/>
      <c r="L31" s="495">
        <v>8101436</v>
      </c>
      <c r="M31" s="493"/>
      <c r="N31" s="495">
        <v>2070567</v>
      </c>
      <c r="O31" s="495"/>
      <c r="P31" s="495">
        <f t="shared" si="1"/>
        <v>5934067</v>
      </c>
      <c r="Q31" s="495"/>
      <c r="R31" s="495"/>
      <c r="S31" s="495"/>
      <c r="T31" s="495"/>
      <c r="U31" s="495"/>
      <c r="V31" s="495"/>
      <c r="W31" s="495"/>
      <c r="X31" s="495"/>
      <c r="Y31" s="495"/>
      <c r="Z31" s="495">
        <v>31158602</v>
      </c>
      <c r="AB31" s="1691"/>
    </row>
    <row r="32" spans="1:28">
      <c r="A32" s="354" t="s">
        <v>944</v>
      </c>
      <c r="B32" s="495">
        <v>0</v>
      </c>
      <c r="C32" s="495"/>
      <c r="D32" s="495">
        <v>1773754</v>
      </c>
      <c r="E32" s="495"/>
      <c r="F32" s="495">
        <v>455091</v>
      </c>
      <c r="G32" s="495"/>
      <c r="H32" s="495">
        <v>739263</v>
      </c>
      <c r="I32" s="495"/>
      <c r="J32" s="495">
        <v>449236</v>
      </c>
      <c r="K32" s="495"/>
      <c r="L32" s="495">
        <v>1131806</v>
      </c>
      <c r="M32" s="493"/>
      <c r="N32" s="495">
        <v>1136979</v>
      </c>
      <c r="O32" s="495"/>
      <c r="P32" s="495">
        <f t="shared" si="1"/>
        <v>433666</v>
      </c>
      <c r="Q32" s="495"/>
      <c r="R32" s="495"/>
      <c r="S32" s="495"/>
      <c r="T32" s="495"/>
      <c r="U32" s="495"/>
      <c r="V32" s="495"/>
      <c r="W32" s="495"/>
      <c r="X32" s="495"/>
      <c r="Y32" s="495"/>
      <c r="Z32" s="495">
        <v>6119795</v>
      </c>
      <c r="AB32" s="1691"/>
    </row>
    <row r="33" spans="1:28" ht="15.75">
      <c r="A33" s="187" t="s">
        <v>460</v>
      </c>
      <c r="B33" s="600">
        <f>ROUND(SUM(B28:B32),0)</f>
        <v>451226583</v>
      </c>
      <c r="C33" s="495"/>
      <c r="D33" s="600">
        <f>ROUND(SUM(D28:D32),0)</f>
        <v>114054144</v>
      </c>
      <c r="E33" s="495"/>
      <c r="F33" s="600">
        <f>ROUND(SUM(F28:F32),0)</f>
        <v>1162970615</v>
      </c>
      <c r="G33" s="495"/>
      <c r="H33" s="600">
        <f>ROUND(SUM(H28:H32),0)</f>
        <v>562255575</v>
      </c>
      <c r="I33" s="495"/>
      <c r="J33" s="600">
        <f>ROUND(SUM(J28:J32),0)</f>
        <v>540524229</v>
      </c>
      <c r="K33" s="495"/>
      <c r="L33" s="600">
        <f>ROUND(SUM(L28:L32),0)</f>
        <v>666036495</v>
      </c>
      <c r="M33" s="493"/>
      <c r="N33" s="600">
        <f>ROUND(SUM(N28:N32),0)</f>
        <v>642010196</v>
      </c>
      <c r="O33" s="495"/>
      <c r="P33" s="600">
        <f>ROUND(SUM(P28:P32),0)</f>
        <v>559958427</v>
      </c>
      <c r="Q33" s="495"/>
      <c r="R33" s="600">
        <f>ROUND(SUM(R28:R32),0)</f>
        <v>0</v>
      </c>
      <c r="S33" s="495"/>
      <c r="T33" s="600">
        <f>ROUND(SUM(T28:T32),0)</f>
        <v>0</v>
      </c>
      <c r="U33" s="495"/>
      <c r="V33" s="600">
        <f>ROUND(SUM(V28:V32),0)</f>
        <v>0</v>
      </c>
      <c r="W33" s="495"/>
      <c r="X33" s="600">
        <f>ROUND(SUM(X28:X32),0)</f>
        <v>0</v>
      </c>
      <c r="Y33" s="495"/>
      <c r="Z33" s="600">
        <f>ROUND(SUM(Z28:Z32),0)</f>
        <v>4699036264</v>
      </c>
      <c r="AB33" s="1691"/>
    </row>
    <row r="34" spans="1:28" ht="15.75">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91"/>
    </row>
    <row r="35" spans="1:28" ht="15.75">
      <c r="A35" s="189" t="s">
        <v>945</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91"/>
    </row>
    <row r="36" spans="1:28">
      <c r="A36" s="354" t="s">
        <v>1504</v>
      </c>
      <c r="B36" s="497">
        <v>0</v>
      </c>
      <c r="C36" s="497"/>
      <c r="D36" s="620">
        <v>159000000</v>
      </c>
      <c r="E36" s="495"/>
      <c r="F36" s="500">
        <v>0</v>
      </c>
      <c r="G36" s="495"/>
      <c r="H36" s="497">
        <v>0</v>
      </c>
      <c r="I36" s="495"/>
      <c r="J36" s="495">
        <v>0</v>
      </c>
      <c r="K36" s="495"/>
      <c r="L36" s="497">
        <v>0</v>
      </c>
      <c r="M36" s="493"/>
      <c r="N36" s="497">
        <v>0</v>
      </c>
      <c r="O36" s="495"/>
      <c r="P36" s="497">
        <f>$Z36-F36-H36-J36-L36-N36-D36-B36</f>
        <v>0</v>
      </c>
      <c r="Q36" s="495"/>
      <c r="R36" s="497"/>
      <c r="S36" s="495"/>
      <c r="T36" s="497"/>
      <c r="U36" s="495"/>
      <c r="V36" s="497"/>
      <c r="W36" s="495"/>
      <c r="X36" s="497"/>
      <c r="Y36" s="495"/>
      <c r="Z36" s="844">
        <v>159000000</v>
      </c>
      <c r="AB36" s="1691"/>
    </row>
    <row r="37" spans="1:28">
      <c r="A37" s="354" t="s">
        <v>946</v>
      </c>
      <c r="B37" s="495">
        <v>0</v>
      </c>
      <c r="C37" s="497"/>
      <c r="D37" s="495">
        <v>0</v>
      </c>
      <c r="E37" s="495"/>
      <c r="F37" s="500">
        <v>0</v>
      </c>
      <c r="G37" s="495"/>
      <c r="H37" s="497">
        <v>0</v>
      </c>
      <c r="I37" s="495"/>
      <c r="J37" s="495">
        <v>0</v>
      </c>
      <c r="K37" s="495"/>
      <c r="L37" s="497">
        <v>0</v>
      </c>
      <c r="M37" s="493"/>
      <c r="N37" s="497">
        <v>0</v>
      </c>
      <c r="O37" s="495"/>
      <c r="P37" s="497">
        <f t="shared" ref="P37:P42" si="2">$Z37-F37-H37-J37-L37-N37-D37-B37</f>
        <v>0</v>
      </c>
      <c r="Q37" s="495"/>
      <c r="R37" s="495"/>
      <c r="S37" s="495"/>
      <c r="T37" s="495"/>
      <c r="U37" s="495"/>
      <c r="V37" s="495"/>
      <c r="W37" s="495"/>
      <c r="X37" s="495"/>
      <c r="Y37" s="495"/>
      <c r="Z37" s="495">
        <v>0</v>
      </c>
      <c r="AB37" s="1691"/>
    </row>
    <row r="38" spans="1:28">
      <c r="A38" s="354" t="s">
        <v>947</v>
      </c>
      <c r="B38" s="495">
        <v>0</v>
      </c>
      <c r="C38" s="497"/>
      <c r="D38" s="495">
        <v>0</v>
      </c>
      <c r="E38" s="495"/>
      <c r="F38" s="500">
        <v>0</v>
      </c>
      <c r="G38" s="495"/>
      <c r="H38" s="497">
        <v>-624537</v>
      </c>
      <c r="I38" s="495"/>
      <c r="J38" s="495">
        <v>0</v>
      </c>
      <c r="K38" s="495"/>
      <c r="L38" s="497">
        <v>0</v>
      </c>
      <c r="M38" s="493"/>
      <c r="N38" s="497">
        <v>0</v>
      </c>
      <c r="O38" s="495"/>
      <c r="P38" s="497">
        <f t="shared" si="2"/>
        <v>0</v>
      </c>
      <c r="Q38" s="495"/>
      <c r="R38" s="495"/>
      <c r="S38" s="495"/>
      <c r="T38" s="495"/>
      <c r="U38" s="495"/>
      <c r="V38" s="495"/>
      <c r="W38" s="495"/>
      <c r="X38" s="495"/>
      <c r="Y38" s="495"/>
      <c r="Z38" s="495">
        <v>-624537</v>
      </c>
      <c r="AB38" s="1691"/>
    </row>
    <row r="39" spans="1:28">
      <c r="A39" s="354" t="s">
        <v>948</v>
      </c>
      <c r="B39" s="495" t="s">
        <v>103</v>
      </c>
      <c r="C39" s="606"/>
      <c r="D39" s="495"/>
      <c r="E39" s="606"/>
      <c r="F39" s="500"/>
      <c r="G39" s="606"/>
      <c r="H39" s="497"/>
      <c r="I39" s="606"/>
      <c r="K39" s="606"/>
      <c r="L39" s="497"/>
      <c r="M39" s="493"/>
      <c r="N39" s="497"/>
      <c r="O39" s="606"/>
      <c r="P39" s="497"/>
      <c r="Q39" s="606"/>
      <c r="R39" s="495"/>
      <c r="S39" s="606"/>
      <c r="T39" s="495"/>
      <c r="U39" s="606"/>
      <c r="V39" s="495"/>
      <c r="W39" s="606"/>
      <c r="X39" s="495"/>
      <c r="Y39" s="606"/>
      <c r="Z39" s="606" t="s">
        <v>103</v>
      </c>
      <c r="AB39" s="1691"/>
    </row>
    <row r="40" spans="1:28">
      <c r="A40" s="354" t="s">
        <v>949</v>
      </c>
      <c r="B40" s="495">
        <v>0</v>
      </c>
      <c r="C40" s="497"/>
      <c r="D40" s="495">
        <v>0</v>
      </c>
      <c r="E40" s="495"/>
      <c r="F40" s="500">
        <v>0</v>
      </c>
      <c r="G40" s="495"/>
      <c r="H40" s="497">
        <v>0</v>
      </c>
      <c r="I40" s="495"/>
      <c r="J40" s="495">
        <v>0</v>
      </c>
      <c r="K40" s="495"/>
      <c r="L40" s="497">
        <v>-1261590</v>
      </c>
      <c r="M40" s="493"/>
      <c r="N40" s="497">
        <v>-596418</v>
      </c>
      <c r="O40" s="495"/>
      <c r="P40" s="497">
        <f t="shared" si="2"/>
        <v>0</v>
      </c>
      <c r="Q40" s="495"/>
      <c r="R40" s="495"/>
      <c r="S40" s="495"/>
      <c r="T40" s="495"/>
      <c r="U40" s="495"/>
      <c r="V40" s="495"/>
      <c r="W40" s="495"/>
      <c r="X40" s="495"/>
      <c r="Y40" s="495"/>
      <c r="Z40" s="495">
        <v>-1858008</v>
      </c>
      <c r="AB40" s="1691"/>
    </row>
    <row r="41" spans="1:28">
      <c r="A41" s="354" t="s">
        <v>950</v>
      </c>
      <c r="B41" s="495">
        <v>0</v>
      </c>
      <c r="C41" s="497"/>
      <c r="D41" s="495">
        <v>0</v>
      </c>
      <c r="E41" s="495"/>
      <c r="F41" s="500">
        <v>0</v>
      </c>
      <c r="G41" s="495"/>
      <c r="H41" s="497">
        <v>0</v>
      </c>
      <c r="I41" s="495"/>
      <c r="J41" s="495">
        <v>0</v>
      </c>
      <c r="K41" s="495"/>
      <c r="L41" s="497">
        <v>0</v>
      </c>
      <c r="M41" s="493"/>
      <c r="N41" s="497">
        <v>0</v>
      </c>
      <c r="O41" s="495"/>
      <c r="P41" s="497">
        <f t="shared" si="2"/>
        <v>0</v>
      </c>
      <c r="Q41" s="495"/>
      <c r="R41" s="495"/>
      <c r="S41" s="495"/>
      <c r="T41" s="495"/>
      <c r="U41" s="495"/>
      <c r="V41" s="495"/>
      <c r="W41" s="495"/>
      <c r="X41" s="495"/>
      <c r="Y41" s="495"/>
      <c r="Z41" s="495">
        <v>0</v>
      </c>
      <c r="AB41" s="1691"/>
    </row>
    <row r="42" spans="1:28">
      <c r="A42" s="354" t="s">
        <v>951</v>
      </c>
      <c r="B42" s="495">
        <v>0</v>
      </c>
      <c r="C42" s="497"/>
      <c r="D42" s="495">
        <v>0</v>
      </c>
      <c r="E42" s="495"/>
      <c r="F42" s="500">
        <v>0</v>
      </c>
      <c r="G42" s="495"/>
      <c r="H42" s="497">
        <v>-95285</v>
      </c>
      <c r="I42" s="495"/>
      <c r="J42" s="495">
        <v>-128833</v>
      </c>
      <c r="K42" s="495"/>
      <c r="L42" s="497">
        <v>-59622</v>
      </c>
      <c r="M42" s="493"/>
      <c r="N42" s="497">
        <v>-59621</v>
      </c>
      <c r="O42" s="495"/>
      <c r="P42" s="497">
        <f t="shared" si="2"/>
        <v>-33549</v>
      </c>
      <c r="Q42" s="495"/>
      <c r="R42" s="495"/>
      <c r="S42" s="495"/>
      <c r="T42" s="495"/>
      <c r="U42" s="495"/>
      <c r="V42" s="495"/>
      <c r="W42" s="495"/>
      <c r="X42" s="495"/>
      <c r="Y42" s="495"/>
      <c r="Z42" s="495">
        <v>-376910</v>
      </c>
      <c r="AB42" s="1691"/>
    </row>
    <row r="43" spans="1:28" ht="15.75">
      <c r="A43" s="187" t="s">
        <v>952</v>
      </c>
      <c r="B43" s="607">
        <f>ROUND(SUM(B36:B42),0)</f>
        <v>0</v>
      </c>
      <c r="C43" s="497"/>
      <c r="D43" s="607">
        <f>ROUND(SUM(D36:D42),0)</f>
        <v>159000000</v>
      </c>
      <c r="E43" s="495"/>
      <c r="F43" s="607">
        <f>ROUND(SUM(F36:F42),0)</f>
        <v>0</v>
      </c>
      <c r="G43" s="495"/>
      <c r="H43" s="607">
        <f>ROUND(SUM(H36:H42),0)</f>
        <v>-719822</v>
      </c>
      <c r="I43" s="495"/>
      <c r="J43" s="607">
        <f>ROUND(SUM(J36:J42),0)</f>
        <v>-128833</v>
      </c>
      <c r="K43" s="495"/>
      <c r="L43" s="607">
        <f>ROUND(SUM(L36:L42),0)</f>
        <v>-1321212</v>
      </c>
      <c r="M43" s="493"/>
      <c r="N43" s="607">
        <f>ROUND(SUM(N36:N42),0)</f>
        <v>-656039</v>
      </c>
      <c r="O43" s="495"/>
      <c r="P43" s="607">
        <f>ROUND(SUM(P36:P42),0)</f>
        <v>-33549</v>
      </c>
      <c r="Q43" s="495"/>
      <c r="R43" s="607">
        <f>ROUND(SUM(R36:R42),0)</f>
        <v>0</v>
      </c>
      <c r="S43" s="495"/>
      <c r="T43" s="607">
        <f>ROUND(SUM(T36:T42),0)</f>
        <v>0</v>
      </c>
      <c r="U43" s="495"/>
      <c r="V43" s="607">
        <f>ROUND(SUM(V36:V42),0)</f>
        <v>0</v>
      </c>
      <c r="W43" s="495"/>
      <c r="X43" s="607">
        <f>ROUND(SUM(X36:X42),0)</f>
        <v>0</v>
      </c>
      <c r="Y43" s="495"/>
      <c r="Z43" s="607">
        <f>ROUND(SUM(Z36:Z42),0)</f>
        <v>156140545</v>
      </c>
      <c r="AB43" s="1691"/>
    </row>
    <row r="44" spans="1:28">
      <c r="B44" s="621"/>
      <c r="C44" s="497"/>
      <c r="D44" s="621"/>
      <c r="E44" s="495"/>
      <c r="F44" s="1191"/>
      <c r="G44" s="495"/>
      <c r="H44" s="1191"/>
      <c r="I44" s="495"/>
      <c r="J44" s="621"/>
      <c r="K44" s="495"/>
      <c r="L44" s="621"/>
      <c r="M44" s="493"/>
      <c r="N44" s="621"/>
      <c r="O44" s="495"/>
      <c r="P44" s="621"/>
      <c r="Q44" s="495"/>
      <c r="R44" s="621"/>
      <c r="S44" s="495"/>
      <c r="T44" s="621"/>
      <c r="U44" s="495"/>
      <c r="V44" s="621"/>
      <c r="W44" s="495"/>
      <c r="X44" s="621"/>
      <c r="Y44" s="495"/>
      <c r="Z44" s="1102"/>
      <c r="AB44" s="1691"/>
    </row>
    <row r="45" spans="1:28" s="186" customFormat="1" ht="15.75">
      <c r="A45" s="187" t="s">
        <v>953</v>
      </c>
      <c r="B45" s="1103">
        <f>ROUND(B33-B43,0)</f>
        <v>451226583</v>
      </c>
      <c r="C45" s="188"/>
      <c r="D45" s="1103">
        <f>ROUND(D33-D43,0)</f>
        <v>-44945856</v>
      </c>
      <c r="E45" s="188"/>
      <c r="F45" s="1103">
        <f>ROUND(F33-F43,0)</f>
        <v>1162970615</v>
      </c>
      <c r="G45" s="188"/>
      <c r="H45" s="1103">
        <f>ROUND(H33-H43,0)</f>
        <v>562975397</v>
      </c>
      <c r="I45" s="188"/>
      <c r="J45" s="1103">
        <f>ROUND(J33-J43,0)</f>
        <v>540653062</v>
      </c>
      <c r="K45" s="188"/>
      <c r="L45" s="1103">
        <f>ROUND(L33-L43,0)</f>
        <v>667357707</v>
      </c>
      <c r="M45" s="183"/>
      <c r="N45" s="1103">
        <f>ROUND(N33-N43,0)</f>
        <v>642666235</v>
      </c>
      <c r="O45" s="188"/>
      <c r="P45" s="1103">
        <f>ROUND(P33-P43,0)</f>
        <v>559991976</v>
      </c>
      <c r="Q45" s="188"/>
      <c r="R45" s="1103">
        <f>ROUND(R33-R43,0)</f>
        <v>0</v>
      </c>
      <c r="S45" s="188"/>
      <c r="T45" s="1103">
        <f>ROUND(T33-T43,0)</f>
        <v>0</v>
      </c>
      <c r="U45" s="188"/>
      <c r="V45" s="1103">
        <f>ROUND(V33-V43,0)</f>
        <v>0</v>
      </c>
      <c r="W45" s="188"/>
      <c r="X45" s="1103">
        <f>ROUND(X33-X43,0)</f>
        <v>0</v>
      </c>
      <c r="Y45" s="188"/>
      <c r="Z45" s="1103">
        <f>ROUND(Z33-Z43,0)</f>
        <v>4542895719</v>
      </c>
      <c r="AA45" s="895"/>
      <c r="AB45" s="1692"/>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8"/>
      <c r="AB46" s="1691"/>
    </row>
    <row r="47" spans="1:28" s="186" customFormat="1" ht="16.5" thickBot="1">
      <c r="A47" s="189" t="s">
        <v>954</v>
      </c>
      <c r="B47" s="833">
        <f>ROUND(B12+B25-B45,0)</f>
        <v>206944842</v>
      </c>
      <c r="C47" s="185"/>
      <c r="D47" s="833">
        <f>ROUND(D12+D25-D45,0)</f>
        <v>880480818</v>
      </c>
      <c r="E47" s="491"/>
      <c r="F47" s="833">
        <f>ROUND(F12+F25-F45,0)</f>
        <v>371093021</v>
      </c>
      <c r="G47" s="491"/>
      <c r="H47" s="833">
        <f>ROUND(H12+H25-H45,0)</f>
        <v>485781049</v>
      </c>
      <c r="I47" s="491"/>
      <c r="J47" s="833">
        <f>ROUND(J12+J25-J45,0)</f>
        <v>587235873</v>
      </c>
      <c r="K47" s="185"/>
      <c r="L47" s="833">
        <f>ROUND(L12+L25-L45,0)</f>
        <v>577863939</v>
      </c>
      <c r="M47" s="183"/>
      <c r="N47" s="833">
        <f>ROUND(N12+N25-N45,0)</f>
        <v>599277602</v>
      </c>
      <c r="O47" s="185"/>
      <c r="P47" s="833">
        <f>ROUND(P12+P25-P45,0)</f>
        <v>651675683</v>
      </c>
      <c r="Q47" s="185"/>
      <c r="R47" s="833">
        <f>ROUND(R12+R25-R45,0)</f>
        <v>0</v>
      </c>
      <c r="S47" s="185"/>
      <c r="T47" s="833">
        <f>ROUND(T12+T25-T45,0)</f>
        <v>0</v>
      </c>
      <c r="U47" s="185"/>
      <c r="V47" s="833">
        <f>ROUND(V12+V25-V45,0)</f>
        <v>0</v>
      </c>
      <c r="W47" s="185"/>
      <c r="X47" s="833">
        <f>ROUND(X12+X25-X45,0)</f>
        <v>0</v>
      </c>
      <c r="Y47" s="185"/>
      <c r="Z47" s="833">
        <f>ROUND(Z12+Z25-Z45,0)</f>
        <v>651675683</v>
      </c>
      <c r="AA47" s="895"/>
      <c r="AB47" s="1691"/>
    </row>
    <row r="48" spans="1:28" ht="15.75"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8"/>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2" t="s">
        <v>103</v>
      </c>
    </row>
    <row r="51" spans="1:26" ht="18">
      <c r="A51" s="609"/>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4"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5"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5"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0"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0"/>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0"/>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0"/>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10"/>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380" customWidth="1"/>
    <col min="2" max="2" width="22.109375" style="380" customWidth="1"/>
    <col min="3" max="3" width="24.88671875" style="380" customWidth="1"/>
    <col min="4" max="4" width="30.88671875" style="380" customWidth="1"/>
    <col min="5" max="5" width="2" style="380" customWidth="1"/>
    <col min="6" max="6" width="13" style="667" bestFit="1" customWidth="1"/>
    <col min="7" max="16384" width="8.88671875" style="380"/>
  </cols>
  <sheetData>
    <row r="1" spans="1:6">
      <c r="A1" s="855" t="s">
        <v>97</v>
      </c>
      <c r="B1" s="572"/>
      <c r="C1" s="572"/>
      <c r="D1" s="572"/>
      <c r="E1" s="381"/>
    </row>
    <row r="2" spans="1:6">
      <c r="A2" s="856"/>
      <c r="B2" s="572"/>
      <c r="C2" s="572"/>
      <c r="D2" s="552"/>
      <c r="E2" s="381"/>
    </row>
    <row r="3" spans="1:6" s="264" customFormat="1" ht="15">
      <c r="A3" s="266" t="s">
        <v>955</v>
      </c>
      <c r="B3" s="572"/>
      <c r="C3" s="572"/>
      <c r="D3" s="887" t="s">
        <v>956</v>
      </c>
      <c r="E3" s="844"/>
      <c r="F3" s="668"/>
    </row>
    <row r="4" spans="1:6" s="264" customFormat="1" ht="15">
      <c r="A4" s="266" t="s">
        <v>957</v>
      </c>
      <c r="B4" s="572"/>
      <c r="C4" s="572"/>
      <c r="D4" s="572"/>
      <c r="E4" s="844"/>
      <c r="F4" s="668"/>
    </row>
    <row r="5" spans="1:6" s="264" customFormat="1" ht="15">
      <c r="A5" s="266" t="s">
        <v>958</v>
      </c>
      <c r="B5" s="572"/>
      <c r="C5" s="572"/>
      <c r="D5" s="572"/>
      <c r="E5" s="844"/>
      <c r="F5" s="668"/>
    </row>
    <row r="6" spans="1:6" s="264" customFormat="1" ht="15">
      <c r="A6" s="563" t="str">
        <f>'HCRA '!A6</f>
        <v>FISCAL YEAR 2025-2026</v>
      </c>
      <c r="B6" s="572"/>
      <c r="C6" s="572"/>
      <c r="D6" s="572"/>
      <c r="E6" s="844"/>
      <c r="F6" s="668"/>
    </row>
    <row r="7" spans="1:6">
      <c r="A7" s="563"/>
      <c r="B7" s="572"/>
      <c r="C7" s="572"/>
      <c r="D7" s="572"/>
      <c r="E7" s="381"/>
    </row>
    <row r="8" spans="1:6" ht="27" customHeight="1">
      <c r="A8" s="916" t="s">
        <v>959</v>
      </c>
      <c r="B8" s="916" t="s">
        <v>960</v>
      </c>
      <c r="C8" s="1695" t="str">
        <f>PROPER('Sch 5 '!G12)</f>
        <v>November</v>
      </c>
      <c r="D8" s="1292" t="str">
        <f>PROPER('Cashflow Governmental'!AB12)&amp; ", 2025"&amp; " (**)"</f>
        <v>8 Months Ended November 30, 2025 (**)</v>
      </c>
      <c r="E8" s="845"/>
    </row>
    <row r="9" spans="1:6" s="264" customFormat="1">
      <c r="A9" s="927" t="s">
        <v>961</v>
      </c>
      <c r="B9" s="932">
        <v>7680000</v>
      </c>
      <c r="C9" s="932">
        <v>178461.99</v>
      </c>
      <c r="D9" s="932">
        <v>1661686.6400000001</v>
      </c>
      <c r="E9" s="591"/>
      <c r="F9" s="668"/>
    </row>
    <row r="10" spans="1:6" s="264" customFormat="1" ht="15">
      <c r="A10" s="923" t="s">
        <v>962</v>
      </c>
      <c r="B10" s="347">
        <v>7680000</v>
      </c>
      <c r="C10" s="347">
        <v>178461.99</v>
      </c>
      <c r="D10" s="347">
        <v>1661686.6400000001</v>
      </c>
      <c r="E10" s="846"/>
      <c r="F10" s="668"/>
    </row>
    <row r="11" spans="1:6" s="264" customFormat="1">
      <c r="A11" s="927" t="s">
        <v>963</v>
      </c>
      <c r="B11" s="928">
        <v>5933183000</v>
      </c>
      <c r="C11" s="928">
        <v>95860981.150000006</v>
      </c>
      <c r="D11" s="928">
        <v>968038784.44999993</v>
      </c>
      <c r="E11" s="591"/>
      <c r="F11" s="668"/>
    </row>
    <row r="12" spans="1:6" s="264" customFormat="1">
      <c r="A12" s="923" t="s">
        <v>964</v>
      </c>
      <c r="B12" s="347">
        <v>5933183000</v>
      </c>
      <c r="C12" s="347">
        <v>95860981.150000006</v>
      </c>
      <c r="D12" s="347">
        <v>968038784.44999993</v>
      </c>
      <c r="E12" s="591"/>
      <c r="F12" s="668"/>
    </row>
    <row r="13" spans="1:6" s="264" customFormat="1">
      <c r="A13" s="927" t="s">
        <v>965</v>
      </c>
      <c r="B13" s="928">
        <v>306151000</v>
      </c>
      <c r="C13" s="928">
        <v>2166238.2800000003</v>
      </c>
      <c r="D13" s="928">
        <v>21155061.84</v>
      </c>
      <c r="E13" s="591"/>
      <c r="F13" s="668"/>
    </row>
    <row r="14" spans="1:6" s="264" customFormat="1">
      <c r="A14" s="923" t="s">
        <v>966</v>
      </c>
      <c r="B14" s="347">
        <v>306151000</v>
      </c>
      <c r="C14" s="347">
        <v>2166238.2800000003</v>
      </c>
      <c r="D14" s="347">
        <v>21155061.84</v>
      </c>
      <c r="E14" s="591"/>
      <c r="F14" s="668"/>
    </row>
    <row r="15" spans="1:6" s="264" customFormat="1">
      <c r="A15" s="927" t="s">
        <v>967</v>
      </c>
      <c r="B15" s="928">
        <v>2267174059.0299997</v>
      </c>
      <c r="C15" s="928">
        <v>25101577.020000003</v>
      </c>
      <c r="D15" s="928">
        <v>500521182.31999999</v>
      </c>
      <c r="E15" s="591"/>
      <c r="F15" s="668"/>
    </row>
    <row r="16" spans="1:6" s="264" customFormat="1">
      <c r="A16" s="923" t="s">
        <v>968</v>
      </c>
      <c r="B16" s="347">
        <v>173800000</v>
      </c>
      <c r="C16" s="347">
        <v>22500000</v>
      </c>
      <c r="D16" s="347">
        <v>22500000</v>
      </c>
      <c r="E16" s="591"/>
      <c r="F16" s="668"/>
    </row>
    <row r="17" spans="1:6" s="264" customFormat="1">
      <c r="A17" s="927" t="s">
        <v>969</v>
      </c>
      <c r="B17" s="928">
        <v>3537000</v>
      </c>
      <c r="C17" s="928">
        <v>0</v>
      </c>
      <c r="D17" s="928">
        <v>0</v>
      </c>
      <c r="E17" s="591"/>
      <c r="F17" s="668"/>
    </row>
    <row r="18" spans="1:6" s="264" customFormat="1">
      <c r="A18" s="923" t="s">
        <v>970</v>
      </c>
      <c r="B18" s="347">
        <v>11962000</v>
      </c>
      <c r="C18" s="347">
        <v>0</v>
      </c>
      <c r="D18" s="347">
        <v>1601798.0499999998</v>
      </c>
      <c r="E18" s="591"/>
      <c r="F18" s="668"/>
    </row>
    <row r="19" spans="1:6" s="264" customFormat="1">
      <c r="A19" s="923" t="s">
        <v>971</v>
      </c>
      <c r="B19" s="347">
        <v>48940600</v>
      </c>
      <c r="C19" s="347">
        <v>0</v>
      </c>
      <c r="D19" s="347">
        <v>9059655.8000000007</v>
      </c>
      <c r="E19" s="591"/>
      <c r="F19" s="668"/>
    </row>
    <row r="20" spans="1:6" s="264" customFormat="1">
      <c r="A20" s="923" t="s">
        <v>972</v>
      </c>
      <c r="B20" s="347">
        <v>163200000</v>
      </c>
      <c r="C20" s="347">
        <v>0</v>
      </c>
      <c r="D20" s="347">
        <v>0</v>
      </c>
      <c r="E20" s="591"/>
      <c r="F20" s="668"/>
    </row>
    <row r="21" spans="1:6" s="264" customFormat="1">
      <c r="A21" s="923" t="s">
        <v>973</v>
      </c>
      <c r="B21" s="347">
        <v>7232000</v>
      </c>
      <c r="C21" s="347">
        <v>613452.80000000005</v>
      </c>
      <c r="D21" s="347">
        <v>613452.80000000005</v>
      </c>
      <c r="E21" s="591"/>
      <c r="F21" s="668"/>
    </row>
    <row r="22" spans="1:6" s="264" customFormat="1">
      <c r="A22" s="923" t="s">
        <v>974</v>
      </c>
      <c r="B22" s="347">
        <v>10335000</v>
      </c>
      <c r="C22" s="347">
        <v>0</v>
      </c>
      <c r="D22" s="347">
        <v>0</v>
      </c>
      <c r="E22" s="591"/>
      <c r="F22" s="668"/>
    </row>
    <row r="23" spans="1:6" s="264" customFormat="1">
      <c r="A23" s="923" t="s">
        <v>975</v>
      </c>
      <c r="B23" s="347">
        <v>9840000</v>
      </c>
      <c r="C23" s="347">
        <v>34097.75</v>
      </c>
      <c r="D23" s="347">
        <v>796596.64</v>
      </c>
      <c r="E23" s="591"/>
      <c r="F23" s="668"/>
    </row>
    <row r="24" spans="1:6" s="264" customFormat="1">
      <c r="A24" s="923" t="s">
        <v>976</v>
      </c>
      <c r="B24" s="347">
        <v>158800000</v>
      </c>
      <c r="C24" s="347">
        <v>0</v>
      </c>
      <c r="D24" s="347">
        <v>119600000</v>
      </c>
      <c r="E24" s="591"/>
      <c r="F24" s="668"/>
    </row>
    <row r="25" spans="1:6" s="264" customFormat="1">
      <c r="A25" s="923" t="s">
        <v>977</v>
      </c>
      <c r="B25" s="347">
        <v>18320000</v>
      </c>
      <c r="C25" s="347">
        <v>0</v>
      </c>
      <c r="D25" s="347">
        <v>0</v>
      </c>
      <c r="E25" s="591"/>
      <c r="F25" s="668"/>
    </row>
    <row r="26" spans="1:6" s="264" customFormat="1">
      <c r="A26" s="923" t="s">
        <v>978</v>
      </c>
      <c r="B26" s="347">
        <v>9555000</v>
      </c>
      <c r="C26" s="347">
        <v>0</v>
      </c>
      <c r="D26" s="347">
        <v>483517.38</v>
      </c>
      <c r="E26" s="591"/>
      <c r="F26" s="668"/>
    </row>
    <row r="27" spans="1:6" s="264" customFormat="1">
      <c r="A27" s="923" t="s">
        <v>979</v>
      </c>
      <c r="B27" s="347">
        <v>373000000</v>
      </c>
      <c r="C27" s="347">
        <v>0</v>
      </c>
      <c r="D27" s="347">
        <v>211000000</v>
      </c>
      <c r="E27" s="381"/>
      <c r="F27" s="668"/>
    </row>
    <row r="28" spans="1:6" s="264" customFormat="1">
      <c r="A28" s="923" t="s">
        <v>980</v>
      </c>
      <c r="B28" s="347">
        <v>11500000</v>
      </c>
      <c r="C28" s="347">
        <v>37500</v>
      </c>
      <c r="D28" s="347">
        <v>973063.64</v>
      </c>
      <c r="E28" s="381"/>
      <c r="F28" s="668"/>
    </row>
    <row r="29" spans="1:6">
      <c r="A29" s="923" t="s">
        <v>981</v>
      </c>
      <c r="B29" s="347">
        <v>60306000</v>
      </c>
      <c r="C29" s="347">
        <v>366884.92000000004</v>
      </c>
      <c r="D29" s="347">
        <v>2794846.94</v>
      </c>
      <c r="E29" s="381"/>
    </row>
    <row r="30" spans="1:6">
      <c r="A30" s="923" t="s">
        <v>982</v>
      </c>
      <c r="B30" s="347">
        <v>1250000</v>
      </c>
      <c r="C30" s="347">
        <v>0</v>
      </c>
      <c r="D30" s="347">
        <v>0</v>
      </c>
      <c r="E30" s="381"/>
    </row>
    <row r="31" spans="1:6">
      <c r="A31" s="923" t="s">
        <v>983</v>
      </c>
      <c r="B31" s="347">
        <v>340600000</v>
      </c>
      <c r="C31" s="347">
        <v>0</v>
      </c>
      <c r="D31" s="347">
        <v>78500000</v>
      </c>
      <c r="E31" s="381"/>
    </row>
    <row r="32" spans="1:6">
      <c r="A32" s="923" t="s">
        <v>984</v>
      </c>
      <c r="B32" s="347">
        <v>99717000</v>
      </c>
      <c r="C32" s="347">
        <v>452235.72</v>
      </c>
      <c r="D32" s="347">
        <v>6774215.3700000001</v>
      </c>
      <c r="E32" s="381"/>
    </row>
    <row r="33" spans="1:5">
      <c r="A33" s="923" t="s">
        <v>985</v>
      </c>
      <c r="B33" s="347">
        <v>1461000</v>
      </c>
      <c r="C33" s="347">
        <v>0</v>
      </c>
      <c r="D33" s="347">
        <v>243500</v>
      </c>
      <c r="E33" s="847"/>
    </row>
    <row r="34" spans="1:5">
      <c r="A34" s="923" t="s">
        <v>986</v>
      </c>
      <c r="B34" s="347">
        <v>13520000</v>
      </c>
      <c r="C34" s="347">
        <v>0</v>
      </c>
      <c r="D34" s="347">
        <v>0</v>
      </c>
      <c r="E34" s="381"/>
    </row>
    <row r="35" spans="1:5">
      <c r="A35" s="923" t="s">
        <v>987</v>
      </c>
      <c r="B35" s="347">
        <v>5698000</v>
      </c>
      <c r="C35" s="347">
        <v>0</v>
      </c>
      <c r="D35" s="347">
        <v>0</v>
      </c>
      <c r="E35" s="381"/>
    </row>
    <row r="36" spans="1:5">
      <c r="A36" s="923" t="s">
        <v>988</v>
      </c>
      <c r="B36" s="347">
        <v>166389000</v>
      </c>
      <c r="C36" s="347">
        <v>0</v>
      </c>
      <c r="D36" s="347">
        <v>41597250</v>
      </c>
      <c r="E36" s="381"/>
    </row>
    <row r="37" spans="1:5">
      <c r="A37" s="923" t="s">
        <v>989</v>
      </c>
      <c r="B37" s="347">
        <v>50000</v>
      </c>
      <c r="C37" s="347">
        <v>0</v>
      </c>
      <c r="D37" s="347">
        <v>0</v>
      </c>
      <c r="E37" s="381"/>
    </row>
    <row r="38" spans="1:5">
      <c r="A38" s="923" t="s">
        <v>990</v>
      </c>
      <c r="B38" s="347">
        <v>15950000</v>
      </c>
      <c r="C38" s="347">
        <v>0</v>
      </c>
      <c r="D38" s="347">
        <v>0</v>
      </c>
      <c r="E38" s="381"/>
    </row>
    <row r="39" spans="1:5">
      <c r="A39" s="923" t="s">
        <v>991</v>
      </c>
      <c r="B39" s="347">
        <v>37640000</v>
      </c>
      <c r="C39" s="347">
        <v>1097405.83</v>
      </c>
      <c r="D39" s="347">
        <v>3289549.32</v>
      </c>
      <c r="E39" s="381"/>
    </row>
    <row r="40" spans="1:5">
      <c r="A40" s="923" t="s">
        <v>992</v>
      </c>
      <c r="B40" s="347">
        <v>4400400</v>
      </c>
      <c r="C40" s="347">
        <v>0</v>
      </c>
      <c r="D40" s="347">
        <v>693736.38</v>
      </c>
      <c r="E40" s="381"/>
    </row>
    <row r="41" spans="1:5">
      <c r="A41" s="923" t="s">
        <v>993</v>
      </c>
      <c r="B41" s="347">
        <v>11610000</v>
      </c>
      <c r="C41" s="347">
        <v>0</v>
      </c>
      <c r="D41" s="347">
        <v>0</v>
      </c>
      <c r="E41" s="381"/>
    </row>
    <row r="42" spans="1:5">
      <c r="A42" s="923" t="s">
        <v>994</v>
      </c>
      <c r="B42" s="347">
        <v>6345000</v>
      </c>
      <c r="C42" s="347">
        <v>0</v>
      </c>
      <c r="D42" s="347">
        <v>0</v>
      </c>
      <c r="E42" s="381"/>
    </row>
    <row r="43" spans="1:5">
      <c r="A43" s="923" t="s">
        <v>995</v>
      </c>
      <c r="B43" s="347">
        <v>12690000</v>
      </c>
      <c r="C43" s="347">
        <v>0</v>
      </c>
      <c r="D43" s="347">
        <v>0</v>
      </c>
      <c r="E43" s="381"/>
    </row>
    <row r="44" spans="1:5">
      <c r="A44" s="923" t="s">
        <v>996</v>
      </c>
      <c r="B44" s="347">
        <v>489526059.02999997</v>
      </c>
      <c r="C44" s="347">
        <v>0</v>
      </c>
      <c r="D44" s="347">
        <v>0</v>
      </c>
      <c r="E44" s="381"/>
    </row>
    <row r="45" spans="1:5">
      <c r="A45" s="927" t="s">
        <v>997</v>
      </c>
      <c r="B45" s="928">
        <v>20911574000</v>
      </c>
      <c r="C45" s="928">
        <v>433222558.94999999</v>
      </c>
      <c r="D45" s="928">
        <v>3181046103.4099998</v>
      </c>
      <c r="E45" s="381"/>
    </row>
    <row r="46" spans="1:5">
      <c r="A46" s="923" t="s">
        <v>998</v>
      </c>
      <c r="B46" s="347">
        <v>200000000</v>
      </c>
      <c r="C46" s="347">
        <v>0</v>
      </c>
      <c r="D46" s="347">
        <v>0</v>
      </c>
      <c r="E46" s="381"/>
    </row>
    <row r="47" spans="1:5">
      <c r="A47" s="923" t="s">
        <v>999</v>
      </c>
      <c r="B47" s="347">
        <v>2524400000</v>
      </c>
      <c r="C47" s="347">
        <v>33222558.949999999</v>
      </c>
      <c r="D47" s="347">
        <v>266549103.41</v>
      </c>
      <c r="E47" s="381"/>
    </row>
    <row r="48" spans="1:5">
      <c r="A48" s="923" t="s">
        <v>1000</v>
      </c>
      <c r="B48" s="347">
        <v>17598374000</v>
      </c>
      <c r="C48" s="347">
        <v>400000000</v>
      </c>
      <c r="D48" s="347">
        <v>2914497000</v>
      </c>
      <c r="E48" s="381"/>
    </row>
    <row r="49" spans="1:6">
      <c r="A49" s="923" t="s">
        <v>1001</v>
      </c>
      <c r="B49" s="347">
        <v>544000000</v>
      </c>
      <c r="C49" s="347">
        <v>0</v>
      </c>
      <c r="D49" s="347">
        <v>0</v>
      </c>
      <c r="E49" s="381"/>
    </row>
    <row r="50" spans="1:6">
      <c r="A50" s="923" t="s">
        <v>1002</v>
      </c>
      <c r="B50" s="347">
        <v>44800000</v>
      </c>
      <c r="C50" s="347">
        <v>0</v>
      </c>
      <c r="D50" s="347">
        <v>0</v>
      </c>
      <c r="E50" s="381"/>
    </row>
    <row r="51" spans="1:6">
      <c r="A51" s="927" t="s">
        <v>1003</v>
      </c>
      <c r="B51" s="928">
        <v>81083000</v>
      </c>
      <c r="C51" s="928">
        <v>1554957.1999999997</v>
      </c>
      <c r="D51" s="928">
        <v>13790538.219999999</v>
      </c>
      <c r="E51" s="381"/>
    </row>
    <row r="52" spans="1:6">
      <c r="A52" s="923" t="s">
        <v>1004</v>
      </c>
      <c r="B52" s="347">
        <v>81083000</v>
      </c>
      <c r="C52" s="347">
        <v>1554957.1999999997</v>
      </c>
      <c r="D52" s="347">
        <v>13790538.219999999</v>
      </c>
      <c r="E52" s="381"/>
    </row>
    <row r="53" spans="1:6">
      <c r="A53" s="927" t="s">
        <v>1005</v>
      </c>
      <c r="B53" s="928">
        <v>1834000</v>
      </c>
      <c r="C53" s="928">
        <v>0</v>
      </c>
      <c r="D53" s="928">
        <v>0</v>
      </c>
      <c r="E53" s="381"/>
    </row>
    <row r="54" spans="1:6">
      <c r="A54" s="923" t="s">
        <v>1006</v>
      </c>
      <c r="B54" s="347">
        <v>1834000</v>
      </c>
      <c r="C54" s="347">
        <v>0</v>
      </c>
      <c r="D54" s="347">
        <v>0</v>
      </c>
      <c r="E54" s="381"/>
    </row>
    <row r="55" spans="1:6">
      <c r="A55" s="927" t="s">
        <v>1007</v>
      </c>
      <c r="B55" s="928">
        <v>111438000</v>
      </c>
      <c r="C55" s="928">
        <v>1500078.16</v>
      </c>
      <c r="D55" s="928">
        <v>10369372.75</v>
      </c>
      <c r="E55" s="381"/>
    </row>
    <row r="56" spans="1:6">
      <c r="A56" s="923" t="s">
        <v>1008</v>
      </c>
      <c r="B56" s="347">
        <v>111438000</v>
      </c>
      <c r="C56" s="347">
        <v>1500078.16</v>
      </c>
      <c r="D56" s="347">
        <v>10369372.75</v>
      </c>
      <c r="E56" s="381"/>
    </row>
    <row r="57" spans="1:6">
      <c r="A57" s="927" t="s">
        <v>1009</v>
      </c>
      <c r="B57" s="928">
        <v>8975000</v>
      </c>
      <c r="C57" s="928">
        <v>406933.68</v>
      </c>
      <c r="D57" s="928">
        <v>2829802.9</v>
      </c>
      <c r="E57" s="381"/>
    </row>
    <row r="58" spans="1:6">
      <c r="A58" s="923" t="s">
        <v>1009</v>
      </c>
      <c r="B58" s="347">
        <v>8975000</v>
      </c>
      <c r="C58" s="347">
        <v>406933.68</v>
      </c>
      <c r="D58" s="347">
        <v>2829802.9</v>
      </c>
      <c r="E58" s="381"/>
    </row>
    <row r="59" spans="1:6">
      <c r="A59" s="942" t="s">
        <v>1010</v>
      </c>
      <c r="B59" s="944">
        <v>29629092059.029999</v>
      </c>
      <c r="C59" s="944">
        <v>559991786.43000031</v>
      </c>
      <c r="D59" s="944">
        <v>4699412532.5299988</v>
      </c>
      <c r="E59" s="381"/>
    </row>
    <row r="60" spans="1:6" ht="15" customHeight="1">
      <c r="A60" s="924" t="s">
        <v>1011</v>
      </c>
      <c r="B60" s="943"/>
      <c r="C60" s="917">
        <v>-33548.730000000003</v>
      </c>
      <c r="D60" s="917">
        <v>-376910.08000000002</v>
      </c>
      <c r="E60" s="381"/>
      <c r="F60" s="667" t="s">
        <v>103</v>
      </c>
    </row>
    <row r="61" spans="1:6" ht="15.6" customHeight="1">
      <c r="A61" s="924" t="s">
        <v>1012</v>
      </c>
      <c r="B61" s="943"/>
      <c r="C61" s="917">
        <v>0</v>
      </c>
      <c r="D61" s="917">
        <v>0</v>
      </c>
      <c r="E61" s="381"/>
    </row>
    <row r="62" spans="1:6" ht="12.75" customHeight="1">
      <c r="A62" s="924" t="s">
        <v>1013</v>
      </c>
      <c r="B62" s="917"/>
      <c r="C62" s="917">
        <v>0</v>
      </c>
      <c r="D62" s="917">
        <v>0</v>
      </c>
      <c r="E62" s="848"/>
    </row>
    <row r="63" spans="1:6">
      <c r="A63" s="924" t="s">
        <v>1014</v>
      </c>
      <c r="B63" s="917"/>
      <c r="C63" s="917">
        <v>188.99</v>
      </c>
      <c r="D63" s="917">
        <v>641.45000000000005</v>
      </c>
      <c r="E63" s="381"/>
    </row>
    <row r="64" spans="1:6" ht="13.5" thickBot="1">
      <c r="A64" s="918" t="s">
        <v>1015</v>
      </c>
      <c r="B64" s="1291">
        <v>29629092059.029999</v>
      </c>
      <c r="C64" s="1291">
        <v>559958426.6900003</v>
      </c>
      <c r="D64" s="1291">
        <v>4699036263.8999987</v>
      </c>
      <c r="E64" s="381"/>
    </row>
    <row r="65" spans="1:5" ht="13.5" thickTop="1">
      <c r="A65" s="572"/>
      <c r="B65" s="917"/>
      <c r="C65" s="917"/>
      <c r="D65" s="917"/>
      <c r="E65" s="381"/>
    </row>
    <row r="66" spans="1:5">
      <c r="A66" s="919" t="s">
        <v>1496</v>
      </c>
      <c r="B66" s="572"/>
      <c r="C66" s="572"/>
      <c r="D66" s="572"/>
      <c r="E66" s="381"/>
    </row>
    <row r="67" spans="1:5">
      <c r="A67" s="919" t="s">
        <v>1544</v>
      </c>
      <c r="B67" s="572"/>
      <c r="C67" s="572"/>
      <c r="D67" s="572"/>
      <c r="E67" s="381"/>
    </row>
    <row r="68" spans="1:5" ht="13.35" customHeight="1">
      <c r="A68" s="920" t="s">
        <v>1016</v>
      </c>
      <c r="B68" s="572"/>
      <c r="C68" s="572"/>
      <c r="D68" s="572"/>
    </row>
    <row r="69" spans="1:5" ht="12.75" customHeight="1">
      <c r="A69" s="921" t="s">
        <v>1017</v>
      </c>
      <c r="B69" s="572"/>
      <c r="C69" s="572"/>
      <c r="D69" s="922"/>
    </row>
    <row r="70" spans="1:5">
      <c r="A70" s="921" t="s">
        <v>1018</v>
      </c>
      <c r="B70" s="572"/>
      <c r="C70" s="572"/>
      <c r="D70" s="917"/>
    </row>
    <row r="71" spans="1:5">
      <c r="B71" s="382"/>
      <c r="C71" s="382"/>
    </row>
    <row r="72" spans="1:5">
      <c r="C72" s="917"/>
      <c r="D72" s="917"/>
    </row>
    <row r="73" spans="1:5">
      <c r="C73" s="917"/>
      <c r="D73" s="917"/>
    </row>
    <row r="74" spans="1:5">
      <c r="C74" s="917"/>
      <c r="D74" s="917"/>
    </row>
    <row r="75" spans="1:5">
      <c r="C75" s="954"/>
      <c r="D75" s="954"/>
    </row>
    <row r="76" spans="1:5" ht="12.75" customHeight="1">
      <c r="C76" s="917"/>
      <c r="D76" s="917"/>
    </row>
    <row r="77" spans="1:5" ht="12.75" customHeight="1">
      <c r="C77" s="917"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3"/>
  <sheetViews>
    <sheetView showGridLines="0" zoomScale="90" workbookViewId="0"/>
  </sheetViews>
  <sheetFormatPr defaultColWidth="8.88671875" defaultRowHeight="15" customHeight="1"/>
  <cols>
    <col min="1" max="1" width="55.109375" style="446" customWidth="1"/>
    <col min="2" max="2" width="4.88671875" style="446" customWidth="1"/>
    <col min="3" max="3" width="1.88671875" style="447" customWidth="1"/>
    <col min="4" max="4" width="20.88671875" style="447" customWidth="1"/>
    <col min="5" max="5" width="1.88671875" style="447" customWidth="1"/>
    <col min="6" max="6" width="20.88671875" style="447" customWidth="1"/>
    <col min="7" max="7" width="1.88671875" style="447" customWidth="1"/>
    <col min="8" max="8" width="20.88671875" style="447" customWidth="1"/>
    <col min="9" max="9" width="1.77734375" style="447" customWidth="1"/>
    <col min="10" max="10" width="20.88671875" style="447" customWidth="1"/>
    <col min="11" max="12" width="1.88671875" style="447" customWidth="1"/>
    <col min="13" max="13" width="20.88671875" style="447" customWidth="1"/>
    <col min="14" max="14" width="8.88671875" style="447"/>
    <col min="15" max="15" width="20.88671875" style="446" customWidth="1"/>
    <col min="16" max="16384" width="8.88671875" style="446"/>
  </cols>
  <sheetData>
    <row r="1" spans="1:15" ht="15" customHeight="1">
      <c r="A1" s="270" t="s">
        <v>97</v>
      </c>
    </row>
    <row r="2" spans="1:15" ht="15" customHeight="1">
      <c r="A2" s="469"/>
    </row>
    <row r="3" spans="1:15" ht="15" customHeight="1">
      <c r="M3" s="511" t="s">
        <v>1019</v>
      </c>
    </row>
    <row r="4" spans="1:15" ht="19.5" customHeight="1">
      <c r="A4" s="512" t="s">
        <v>955</v>
      </c>
      <c r="B4" s="461"/>
      <c r="C4" s="461"/>
      <c r="D4" s="461"/>
      <c r="E4" s="461"/>
      <c r="F4" s="461"/>
      <c r="G4" s="461"/>
      <c r="H4" s="461"/>
      <c r="I4" s="461"/>
      <c r="J4" s="461"/>
      <c r="K4" s="461"/>
      <c r="L4" s="513"/>
      <c r="M4" s="513"/>
    </row>
    <row r="5" spans="1:15" ht="19.5" customHeight="1">
      <c r="A5" s="512" t="s">
        <v>1020</v>
      </c>
      <c r="B5" s="512"/>
      <c r="C5" s="512"/>
      <c r="D5" s="512"/>
      <c r="E5" s="512"/>
      <c r="F5" s="512"/>
      <c r="G5" s="512"/>
      <c r="H5" s="512"/>
      <c r="I5" s="512"/>
      <c r="J5" s="512"/>
      <c r="K5" s="512"/>
      <c r="L5" s="512"/>
      <c r="M5" s="512"/>
    </row>
    <row r="6" spans="1:15" ht="19.5" customHeight="1">
      <c r="A6" s="512" t="str">
        <f>'HCRA PROG DISB'!A6</f>
        <v>FISCAL YEAR 2025-2026</v>
      </c>
      <c r="B6" s="670"/>
      <c r="C6" s="670"/>
      <c r="D6" s="670"/>
      <c r="E6" s="670"/>
      <c r="F6" s="670"/>
      <c r="G6" s="670"/>
      <c r="H6" s="670"/>
      <c r="I6" s="670"/>
      <c r="J6" s="670"/>
      <c r="K6" s="670"/>
      <c r="L6" s="512"/>
      <c r="M6" s="512"/>
    </row>
    <row r="7" spans="1:15" ht="15" customHeight="1">
      <c r="A7" s="671"/>
      <c r="B7" s="671"/>
      <c r="C7" s="671"/>
      <c r="D7" s="671"/>
      <c r="E7" s="671"/>
      <c r="F7" s="671"/>
      <c r="G7" s="671"/>
      <c r="H7" s="671"/>
      <c r="I7" s="671"/>
      <c r="J7" s="671"/>
      <c r="K7" s="671"/>
      <c r="L7" s="514"/>
      <c r="M7" s="514"/>
    </row>
    <row r="8" spans="1:15" ht="15" customHeight="1">
      <c r="A8" s="470"/>
      <c r="B8" s="471"/>
      <c r="C8" s="472"/>
      <c r="D8" s="452"/>
      <c r="E8" s="452"/>
      <c r="F8" s="452"/>
      <c r="G8" s="452"/>
      <c r="H8" s="452"/>
      <c r="I8" s="452"/>
      <c r="J8" s="452"/>
      <c r="K8" s="472"/>
      <c r="L8" s="515"/>
      <c r="M8" s="456"/>
    </row>
    <row r="9" spans="1:15" s="455" customFormat="1" ht="15" customHeight="1">
      <c r="A9" s="453"/>
      <c r="B9" s="453"/>
      <c r="C9" s="588"/>
      <c r="D9" s="588" t="s">
        <v>1536</v>
      </c>
      <c r="E9" s="588"/>
      <c r="F9" s="588" t="s">
        <v>1557</v>
      </c>
      <c r="G9" s="588"/>
      <c r="H9" s="588">
        <v>2025</v>
      </c>
      <c r="I9" s="588"/>
      <c r="J9" s="588">
        <v>2025</v>
      </c>
      <c r="K9" s="588"/>
      <c r="L9" s="454"/>
      <c r="M9" s="454"/>
      <c r="N9" s="454"/>
    </row>
    <row r="10" spans="1:15" ht="15" customHeight="1">
      <c r="C10" s="456"/>
      <c r="D10" s="1267" t="s">
        <v>1548</v>
      </c>
      <c r="E10" s="456"/>
      <c r="F10" s="1267" t="s">
        <v>1558</v>
      </c>
      <c r="G10" s="456"/>
      <c r="H10" s="1267" t="s">
        <v>449</v>
      </c>
      <c r="I10" s="456"/>
      <c r="J10" s="1267" t="s">
        <v>339</v>
      </c>
      <c r="K10" s="456"/>
      <c r="M10" s="456" t="str">
        <f>RIGHT(A6,9)</f>
        <v>2025-2026</v>
      </c>
    </row>
    <row r="11" spans="1:15" ht="15" customHeight="1">
      <c r="M11" s="629"/>
    </row>
    <row r="12" spans="1:15" s="455" customFormat="1" ht="15" customHeight="1">
      <c r="A12" s="455" t="s">
        <v>929</v>
      </c>
      <c r="C12" s="457"/>
      <c r="D12" s="457">
        <v>463527203.06999999</v>
      </c>
      <c r="E12" s="457"/>
      <c r="F12" s="457">
        <f>D50</f>
        <v>492340891.69</v>
      </c>
      <c r="G12" s="457"/>
      <c r="H12" s="457">
        <f>F50</f>
        <v>489799458.04000002</v>
      </c>
      <c r="I12" s="457"/>
      <c r="J12" s="457">
        <f>H50</f>
        <v>501550986.55000001</v>
      </c>
      <c r="K12" s="457"/>
      <c r="L12" s="473"/>
      <c r="M12" s="457">
        <f>D12</f>
        <v>463527203.06999999</v>
      </c>
      <c r="N12" s="454"/>
    </row>
    <row r="13" spans="1:15" ht="15" customHeight="1">
      <c r="A13" s="455"/>
      <c r="L13" s="474"/>
      <c r="M13" s="460"/>
    </row>
    <row r="14" spans="1:15" ht="15" customHeight="1">
      <c r="A14" s="455" t="s">
        <v>114</v>
      </c>
      <c r="C14" s="460"/>
      <c r="D14" s="460"/>
      <c r="E14" s="460"/>
      <c r="F14" s="460"/>
      <c r="G14" s="460"/>
      <c r="H14" s="460"/>
      <c r="I14" s="460"/>
      <c r="J14" s="460"/>
      <c r="K14" s="460"/>
      <c r="L14" s="475"/>
      <c r="M14" s="460"/>
    </row>
    <row r="15" spans="1:15" ht="15" customHeight="1">
      <c r="A15" s="446" t="s">
        <v>1021</v>
      </c>
      <c r="C15" s="460"/>
      <c r="D15" s="460">
        <v>1323608456.6199999</v>
      </c>
      <c r="E15" s="460"/>
      <c r="F15" s="460">
        <v>1329872326.1800001</v>
      </c>
      <c r="G15" s="460"/>
      <c r="H15" s="460">
        <v>459784747.81999999</v>
      </c>
      <c r="I15" s="460"/>
      <c r="J15" s="460">
        <v>247107043.83000001</v>
      </c>
      <c r="K15" s="1355"/>
      <c r="L15" s="475"/>
      <c r="M15" s="460">
        <f t="shared" ref="M15:M21" si="0">SUM(D15:L15)</f>
        <v>3360372574.4500003</v>
      </c>
      <c r="O15" s="460"/>
    </row>
    <row r="16" spans="1:15" ht="15" customHeight="1">
      <c r="A16" s="446" t="s">
        <v>1022</v>
      </c>
      <c r="C16" s="460"/>
      <c r="D16" s="460">
        <v>276580033.69</v>
      </c>
      <c r="E16" s="460"/>
      <c r="F16" s="460">
        <v>279532711.79000002</v>
      </c>
      <c r="G16" s="460"/>
      <c r="H16" s="460">
        <v>91511044.019999996</v>
      </c>
      <c r="I16" s="460"/>
      <c r="J16" s="460">
        <v>43728944.229999997</v>
      </c>
      <c r="K16" s="1355"/>
      <c r="L16" s="475"/>
      <c r="M16" s="460">
        <f t="shared" si="0"/>
        <v>691352733.73000002</v>
      </c>
      <c r="O16" s="460"/>
    </row>
    <row r="17" spans="1:15" ht="15" customHeight="1">
      <c r="A17" s="446" t="s">
        <v>1023</v>
      </c>
      <c r="C17" s="460"/>
      <c r="D17" s="460">
        <v>32242504.710000001</v>
      </c>
      <c r="E17" s="460"/>
      <c r="F17" s="460">
        <v>31555126.07</v>
      </c>
      <c r="G17" s="460"/>
      <c r="H17" s="460">
        <v>12342027.74</v>
      </c>
      <c r="I17" s="460"/>
      <c r="J17" s="460">
        <v>7636077.7699999996</v>
      </c>
      <c r="K17" s="1355"/>
      <c r="L17" s="475"/>
      <c r="M17" s="460">
        <f t="shared" si="0"/>
        <v>83775736.289999992</v>
      </c>
      <c r="O17" s="460"/>
    </row>
    <row r="18" spans="1:15" ht="15" customHeight="1">
      <c r="A18" s="446" t="s">
        <v>1024</v>
      </c>
      <c r="C18" s="460"/>
      <c r="D18" s="460">
        <v>139256415</v>
      </c>
      <c r="E18" s="460"/>
      <c r="F18" s="460">
        <v>138902771</v>
      </c>
      <c r="G18" s="460"/>
      <c r="H18" s="460">
        <v>51684391</v>
      </c>
      <c r="I18" s="460"/>
      <c r="J18" s="460">
        <v>41384208</v>
      </c>
      <c r="K18" s="1355"/>
      <c r="L18" s="475"/>
      <c r="M18" s="460">
        <f t="shared" si="0"/>
        <v>371227785</v>
      </c>
      <c r="O18" s="460"/>
    </row>
    <row r="19" spans="1:15">
      <c r="A19" s="446" t="s">
        <v>1025</v>
      </c>
      <c r="C19" s="337"/>
      <c r="D19" s="337">
        <v>0</v>
      </c>
      <c r="E19" s="337"/>
      <c r="F19" s="337">
        <v>0</v>
      </c>
      <c r="G19" s="337"/>
      <c r="H19" s="337">
        <v>0</v>
      </c>
      <c r="I19" s="337"/>
      <c r="J19" s="337">
        <v>0</v>
      </c>
      <c r="K19" s="1353"/>
      <c r="L19" s="475"/>
      <c r="M19" s="460">
        <f t="shared" si="0"/>
        <v>0</v>
      </c>
      <c r="O19" s="460"/>
    </row>
    <row r="20" spans="1:15" ht="15" customHeight="1">
      <c r="A20" s="446" t="s">
        <v>1026</v>
      </c>
      <c r="C20" s="460"/>
      <c r="D20" s="460">
        <v>1507787.21</v>
      </c>
      <c r="E20" s="460"/>
      <c r="F20" s="460">
        <v>1601888.37</v>
      </c>
      <c r="G20" s="460"/>
      <c r="H20" s="460">
        <v>489196.72</v>
      </c>
      <c r="I20" s="460"/>
      <c r="J20" s="460">
        <v>527660.73</v>
      </c>
      <c r="K20" s="1355"/>
      <c r="L20" s="475"/>
      <c r="M20" s="460">
        <f t="shared" si="0"/>
        <v>4126533.03</v>
      </c>
      <c r="O20" s="460"/>
    </row>
    <row r="21" spans="1:15" ht="15" customHeight="1">
      <c r="A21" s="446" t="s">
        <v>1027</v>
      </c>
      <c r="C21" s="464"/>
      <c r="D21" s="1268">
        <v>11855.38</v>
      </c>
      <c r="E21" s="464"/>
      <c r="F21" s="1268">
        <v>326772.27</v>
      </c>
      <c r="G21" s="464"/>
      <c r="H21" s="1268">
        <v>588193.77</v>
      </c>
      <c r="I21" s="464"/>
      <c r="J21" s="1268">
        <v>51408070.539999999</v>
      </c>
      <c r="K21" s="1357"/>
      <c r="L21" s="476"/>
      <c r="M21" s="460">
        <f t="shared" si="0"/>
        <v>52334891.960000001</v>
      </c>
      <c r="O21" s="460"/>
    </row>
    <row r="22" spans="1:15" s="455" customFormat="1" ht="15.75">
      <c r="A22" s="455" t="s">
        <v>430</v>
      </c>
      <c r="C22" s="478"/>
      <c r="D22" s="1269">
        <f>ROUND(SUM(D15:D21),2)</f>
        <v>1773207052.6099999</v>
      </c>
      <c r="E22" s="478"/>
      <c r="F22" s="1269">
        <f>ROUND(SUM(F15:F21),2)</f>
        <v>1781791595.6800001</v>
      </c>
      <c r="G22" s="478"/>
      <c r="H22" s="1269">
        <f>ROUND(SUM(H15:H21),2)</f>
        <v>616399601.07000005</v>
      </c>
      <c r="I22" s="478"/>
      <c r="J22" s="1269">
        <f>ROUND(SUM(J15:J21),2)</f>
        <v>391792005.10000002</v>
      </c>
      <c r="K22" s="478"/>
      <c r="L22" s="477"/>
      <c r="M22" s="633">
        <f>ROUND(SUM(M15:M21),2)</f>
        <v>4563190254.46</v>
      </c>
      <c r="N22" s="447"/>
      <c r="O22" s="460"/>
    </row>
    <row r="23" spans="1:15" ht="15" customHeight="1">
      <c r="C23" s="460"/>
      <c r="D23" s="460"/>
      <c r="E23" s="460"/>
      <c r="F23" s="460"/>
      <c r="G23" s="460"/>
      <c r="H23" s="460"/>
      <c r="I23" s="460"/>
      <c r="J23" s="460"/>
      <c r="K23" s="460"/>
      <c r="L23" s="475"/>
      <c r="M23" s="460"/>
      <c r="O23" s="460"/>
    </row>
    <row r="24" spans="1:15" ht="15" customHeight="1">
      <c r="A24" s="455" t="s">
        <v>1028</v>
      </c>
      <c r="C24" s="479"/>
      <c r="D24" s="479"/>
      <c r="E24" s="479"/>
      <c r="F24" s="479"/>
      <c r="G24" s="479"/>
      <c r="H24" s="479"/>
      <c r="I24" s="479"/>
      <c r="J24" s="479"/>
      <c r="K24" s="479"/>
      <c r="L24" s="475"/>
      <c r="M24" s="460"/>
      <c r="O24" s="460"/>
    </row>
    <row r="25" spans="1:15" ht="15" customHeight="1">
      <c r="A25" s="451" t="s">
        <v>1029</v>
      </c>
      <c r="C25" s="460"/>
      <c r="D25" s="460">
        <v>0</v>
      </c>
      <c r="E25" s="460"/>
      <c r="F25" s="460">
        <v>0</v>
      </c>
      <c r="G25" s="460"/>
      <c r="H25" s="460">
        <v>0</v>
      </c>
      <c r="I25" s="460"/>
      <c r="J25" s="460">
        <v>0</v>
      </c>
      <c r="K25" s="460"/>
      <c r="L25" s="475"/>
      <c r="M25" s="460">
        <f>SUM(D25:L25)</f>
        <v>0</v>
      </c>
      <c r="O25" s="460"/>
    </row>
    <row r="26" spans="1:15" ht="15" customHeight="1">
      <c r="A26" s="451" t="s">
        <v>1030</v>
      </c>
      <c r="C26" s="460"/>
      <c r="D26" s="460">
        <v>0</v>
      </c>
      <c r="E26" s="460"/>
      <c r="F26" s="460">
        <v>0</v>
      </c>
      <c r="G26" s="460"/>
      <c r="H26" s="460">
        <v>0</v>
      </c>
      <c r="I26" s="460"/>
      <c r="J26" s="460">
        <v>0</v>
      </c>
      <c r="K26" s="460"/>
      <c r="L26" s="475"/>
      <c r="M26" s="460">
        <f>SUM(D26:L26)</f>
        <v>0</v>
      </c>
      <c r="O26" s="460"/>
    </row>
    <row r="27" spans="1:15" ht="15" customHeight="1">
      <c r="A27" s="451" t="s">
        <v>1031</v>
      </c>
      <c r="C27" s="460"/>
      <c r="D27" s="460">
        <v>0</v>
      </c>
      <c r="E27" s="460"/>
      <c r="F27" s="460">
        <v>0</v>
      </c>
      <c r="G27" s="460"/>
      <c r="H27" s="460">
        <v>0</v>
      </c>
      <c r="I27" s="460"/>
      <c r="J27" s="460">
        <v>0</v>
      </c>
      <c r="K27" s="460"/>
      <c r="L27" s="476"/>
      <c r="M27" s="460">
        <f>SUM(D27:L27)</f>
        <v>0</v>
      </c>
      <c r="O27" s="460"/>
    </row>
    <row r="28" spans="1:15" ht="15.75">
      <c r="A28" s="461" t="s">
        <v>1032</v>
      </c>
      <c r="B28" s="455"/>
      <c r="C28" s="478"/>
      <c r="D28" s="633">
        <f>ROUND(SUM(D25:D27),2)</f>
        <v>0</v>
      </c>
      <c r="E28" s="478"/>
      <c r="F28" s="633">
        <f>ROUND(SUM(F25:F27),2)</f>
        <v>0</v>
      </c>
      <c r="G28" s="478"/>
      <c r="H28" s="633">
        <f>ROUND(SUM(H25:H27),2)</f>
        <v>0</v>
      </c>
      <c r="I28" s="478"/>
      <c r="J28" s="633">
        <f>ROUND(SUM(J25:J27),2)</f>
        <v>0</v>
      </c>
      <c r="K28" s="478"/>
      <c r="L28" s="477"/>
      <c r="M28" s="633">
        <f>ROUND(SUM(M25:M27),2)</f>
        <v>0</v>
      </c>
      <c r="O28" s="460"/>
    </row>
    <row r="29" spans="1:15" ht="15" customHeight="1">
      <c r="C29" s="460"/>
      <c r="D29" s="460"/>
      <c r="E29" s="460"/>
      <c r="F29" s="460"/>
      <c r="G29" s="460"/>
      <c r="H29" s="460"/>
      <c r="I29" s="460"/>
      <c r="J29" s="460"/>
      <c r="K29" s="460"/>
      <c r="L29" s="475"/>
      <c r="M29" s="460"/>
      <c r="O29" s="460"/>
    </row>
    <row r="30" spans="1:15" ht="15" customHeight="1">
      <c r="A30" s="455" t="s">
        <v>1033</v>
      </c>
      <c r="B30" s="455"/>
      <c r="C30" s="478"/>
      <c r="D30" s="1269">
        <f>ROUND(+D22+D28,2)</f>
        <v>1773207052.6099999</v>
      </c>
      <c r="E30" s="478"/>
      <c r="F30" s="1269">
        <f>ROUND(+F22+F28,2)</f>
        <v>1781791595.6800001</v>
      </c>
      <c r="G30" s="478"/>
      <c r="H30" s="1269">
        <f>ROUND(+H22+H28,2)</f>
        <v>616399601.07000005</v>
      </c>
      <c r="I30" s="478"/>
      <c r="J30" s="1269">
        <f>ROUND(+J22+J28,2)</f>
        <v>391792005.10000002</v>
      </c>
      <c r="K30" s="478"/>
      <c r="L30" s="480"/>
      <c r="M30" s="478">
        <f>ROUND(+M22+M28,2)</f>
        <v>4563190254.46</v>
      </c>
      <c r="O30" s="460"/>
    </row>
    <row r="31" spans="1:15" ht="15" customHeight="1">
      <c r="C31" s="460"/>
      <c r="D31" s="460"/>
      <c r="E31" s="460"/>
      <c r="F31" s="460"/>
      <c r="G31" s="460"/>
      <c r="H31" s="460"/>
      <c r="I31" s="460"/>
      <c r="J31" s="460"/>
      <c r="K31" s="460"/>
      <c r="L31" s="475"/>
      <c r="M31" s="631"/>
      <c r="O31" s="460"/>
    </row>
    <row r="32" spans="1:15" ht="15" customHeight="1">
      <c r="A32" s="455" t="s">
        <v>145</v>
      </c>
      <c r="C32" s="460"/>
      <c r="D32" s="460"/>
      <c r="E32" s="460"/>
      <c r="F32" s="460"/>
      <c r="G32" s="460"/>
      <c r="H32" s="460"/>
      <c r="I32" s="460"/>
      <c r="J32" s="460"/>
      <c r="K32" s="460"/>
      <c r="L32" s="475"/>
      <c r="M32" s="460"/>
      <c r="O32" s="460"/>
    </row>
    <row r="33" spans="1:15" ht="15" customHeight="1">
      <c r="A33" s="455" t="s">
        <v>1034</v>
      </c>
      <c r="C33" s="460"/>
      <c r="D33" s="460"/>
      <c r="E33" s="460"/>
      <c r="F33" s="460"/>
      <c r="G33" s="460"/>
      <c r="H33" s="460"/>
      <c r="I33" s="460"/>
      <c r="J33" s="460"/>
      <c r="K33" s="460"/>
      <c r="L33" s="475"/>
      <c r="M33" s="460"/>
      <c r="O33" s="460"/>
    </row>
    <row r="34" spans="1:15" ht="15" customHeight="1">
      <c r="A34" s="446" t="s">
        <v>1035</v>
      </c>
      <c r="C34" s="460"/>
      <c r="D34" s="460">
        <v>0</v>
      </c>
      <c r="E34" s="460"/>
      <c r="F34" s="460">
        <v>0</v>
      </c>
      <c r="G34" s="460"/>
      <c r="H34" s="460">
        <v>0</v>
      </c>
      <c r="I34" s="460"/>
      <c r="J34" s="460">
        <v>0</v>
      </c>
      <c r="K34" s="460"/>
      <c r="L34" s="475"/>
      <c r="M34" s="460">
        <f>SUM(D34:L34)</f>
        <v>0</v>
      </c>
      <c r="O34" s="460"/>
    </row>
    <row r="35" spans="1:15" ht="15" customHeight="1">
      <c r="A35" s="451" t="s">
        <v>1036</v>
      </c>
      <c r="C35" s="460"/>
      <c r="D35" s="460">
        <v>16920070</v>
      </c>
      <c r="E35" s="460"/>
      <c r="F35" s="460">
        <v>17793028</v>
      </c>
      <c r="G35" s="460"/>
      <c r="H35" s="460">
        <v>6015038</v>
      </c>
      <c r="I35" s="460"/>
      <c r="J35" s="460">
        <v>6126979</v>
      </c>
      <c r="K35" s="1355"/>
      <c r="L35" s="475"/>
      <c r="M35" s="460">
        <f>SUM(D35:L35)</f>
        <v>46855115</v>
      </c>
      <c r="O35" s="460"/>
    </row>
    <row r="36" spans="1:15" ht="15" customHeight="1">
      <c r="A36" s="455" t="s">
        <v>1037</v>
      </c>
      <c r="C36" s="460"/>
      <c r="D36" s="460"/>
      <c r="E36" s="460"/>
      <c r="F36" s="460"/>
      <c r="G36" s="460"/>
      <c r="H36" s="460"/>
      <c r="I36" s="460"/>
      <c r="J36" s="460"/>
      <c r="K36" s="1356"/>
      <c r="L36" s="460"/>
      <c r="M36" s="460" t="s">
        <v>103</v>
      </c>
      <c r="O36" s="460"/>
    </row>
    <row r="37" spans="1:15" ht="15" customHeight="1">
      <c r="A37" s="451" t="s">
        <v>1038</v>
      </c>
      <c r="C37" s="460"/>
      <c r="D37" s="460">
        <v>0</v>
      </c>
      <c r="E37" s="460"/>
      <c r="F37" s="460">
        <v>0</v>
      </c>
      <c r="G37" s="460"/>
      <c r="H37" s="460">
        <v>0</v>
      </c>
      <c r="I37" s="460"/>
      <c r="J37" s="460">
        <v>0</v>
      </c>
      <c r="K37" s="1358"/>
      <c r="L37" s="460"/>
      <c r="M37" s="460">
        <f>SUM(D37:L37)</f>
        <v>0</v>
      </c>
      <c r="O37" s="460"/>
    </row>
    <row r="38" spans="1:15" s="455" customFormat="1" ht="15.75">
      <c r="A38" s="455" t="s">
        <v>1039</v>
      </c>
      <c r="C38" s="478"/>
      <c r="D38" s="633">
        <f>ROUND(SUM(D34:D37),2)</f>
        <v>16920070</v>
      </c>
      <c r="E38" s="478"/>
      <c r="F38" s="633">
        <f>ROUND(SUM(F34:F37),2)</f>
        <v>17793028</v>
      </c>
      <c r="G38" s="478"/>
      <c r="H38" s="633">
        <f>ROUND(SUM(H34:H37),2)</f>
        <v>6015038</v>
      </c>
      <c r="I38" s="478"/>
      <c r="J38" s="633">
        <f>ROUND(SUM(J34:J37),2)</f>
        <v>6126979</v>
      </c>
      <c r="K38" s="478"/>
      <c r="L38" s="477"/>
      <c r="M38" s="633">
        <f>ROUND(SUM(M34:M37),2)</f>
        <v>46855115</v>
      </c>
      <c r="N38" s="454"/>
      <c r="O38" s="460"/>
    </row>
    <row r="39" spans="1:15" ht="15" customHeight="1">
      <c r="C39" s="460"/>
      <c r="D39" s="460"/>
      <c r="E39" s="460"/>
      <c r="F39" s="460"/>
      <c r="G39" s="460"/>
      <c r="H39" s="460"/>
      <c r="I39" s="460"/>
      <c r="J39" s="460"/>
      <c r="K39" s="460"/>
      <c r="L39" s="475"/>
      <c r="M39" s="460"/>
      <c r="O39" s="460"/>
    </row>
    <row r="40" spans="1:15" ht="15" customHeight="1">
      <c r="A40" s="455" t="s">
        <v>1040</v>
      </c>
      <c r="C40" s="460"/>
      <c r="D40" s="460"/>
      <c r="E40" s="460"/>
      <c r="F40" s="460"/>
      <c r="G40" s="460"/>
      <c r="H40" s="460"/>
      <c r="I40" s="460"/>
      <c r="J40" s="460"/>
      <c r="K40" s="460"/>
      <c r="L40" s="475"/>
      <c r="M40" s="460"/>
      <c r="O40" s="460"/>
    </row>
    <row r="41" spans="1:15" ht="15" customHeight="1">
      <c r="A41" s="446" t="s">
        <v>1035</v>
      </c>
      <c r="C41" s="460"/>
      <c r="D41" s="460">
        <v>0</v>
      </c>
      <c r="E41" s="460"/>
      <c r="F41" s="460">
        <v>0</v>
      </c>
      <c r="G41" s="460"/>
      <c r="H41" s="460">
        <v>0</v>
      </c>
      <c r="I41" s="460"/>
      <c r="J41" s="460">
        <v>0</v>
      </c>
      <c r="K41" s="460"/>
      <c r="L41" s="475"/>
      <c r="M41" s="460">
        <f>SUM(D41:L41)</f>
        <v>0</v>
      </c>
      <c r="O41" s="460"/>
    </row>
    <row r="42" spans="1:15" ht="15" customHeight="1">
      <c r="A42" s="446" t="s">
        <v>1041</v>
      </c>
      <c r="C42" s="460"/>
      <c r="D42" s="460">
        <v>0</v>
      </c>
      <c r="E42" s="460"/>
      <c r="F42" s="460">
        <v>0</v>
      </c>
      <c r="G42" s="460"/>
      <c r="H42" s="460">
        <v>0</v>
      </c>
      <c r="I42" s="460"/>
      <c r="J42" s="460">
        <v>0</v>
      </c>
      <c r="K42" s="460"/>
      <c r="L42" s="475"/>
      <c r="M42" s="460">
        <f>SUM(D42:L42)</f>
        <v>0</v>
      </c>
      <c r="O42" s="460"/>
    </row>
    <row r="43" spans="1:15" ht="15" customHeight="1">
      <c r="A43" s="455" t="s">
        <v>1042</v>
      </c>
      <c r="C43" s="460"/>
      <c r="D43" s="460"/>
      <c r="E43" s="460"/>
      <c r="F43" s="460"/>
      <c r="G43" s="460"/>
      <c r="H43" s="460"/>
      <c r="I43" s="460"/>
      <c r="J43" s="460"/>
      <c r="K43" s="460"/>
      <c r="L43" s="475"/>
      <c r="M43" s="460"/>
      <c r="O43" s="460"/>
    </row>
    <row r="44" spans="1:15" ht="15" customHeight="1">
      <c r="A44" s="451" t="s">
        <v>1038</v>
      </c>
      <c r="C44" s="460"/>
      <c r="D44" s="460">
        <v>-1761313433.99</v>
      </c>
      <c r="E44" s="460"/>
      <c r="F44" s="460">
        <v>-1802126057.3299999</v>
      </c>
      <c r="G44" s="460"/>
      <c r="H44" s="460">
        <v>-610663110.55999994</v>
      </c>
      <c r="I44" s="460"/>
      <c r="J44" s="460">
        <v>-568385887</v>
      </c>
      <c r="K44" s="460"/>
      <c r="L44" s="475"/>
      <c r="M44" s="460">
        <f>SUM(D44:L44)</f>
        <v>-4742488488.8799992</v>
      </c>
      <c r="O44" s="460"/>
    </row>
    <row r="45" spans="1:15" ht="15.75">
      <c r="A45" s="455" t="s">
        <v>1043</v>
      </c>
      <c r="B45" s="455"/>
      <c r="C45" s="478"/>
      <c r="D45" s="633">
        <f>ROUND(SUM(D41:D44),2)</f>
        <v>-1761313433.99</v>
      </c>
      <c r="E45" s="478"/>
      <c r="F45" s="633">
        <f>ROUND(SUM(F41:F44),2)</f>
        <v>-1802126057.3299999</v>
      </c>
      <c r="G45" s="478"/>
      <c r="H45" s="633">
        <f>ROUND(SUM(H41:H44),2)</f>
        <v>-610663110.55999994</v>
      </c>
      <c r="I45" s="478"/>
      <c r="J45" s="633">
        <f>ROUND(SUM(J41:J44),2)</f>
        <v>-568385887</v>
      </c>
      <c r="K45" s="478"/>
      <c r="L45" s="477"/>
      <c r="M45" s="633">
        <f>ROUND(SUM(M41:M44),2)</f>
        <v>-4742488488.8800001</v>
      </c>
      <c r="O45" s="460"/>
    </row>
    <row r="46" spans="1:15" ht="15" customHeight="1">
      <c r="C46" s="460"/>
      <c r="D46" s="460"/>
      <c r="E46" s="460"/>
      <c r="F46" s="460"/>
      <c r="G46" s="460"/>
      <c r="H46" s="460"/>
      <c r="I46" s="460"/>
      <c r="J46" s="460"/>
      <c r="K46" s="460"/>
      <c r="L46" s="475"/>
      <c r="M46" s="460"/>
      <c r="O46" s="460"/>
    </row>
    <row r="47" spans="1:15" ht="15" customHeight="1">
      <c r="A47" s="455" t="s">
        <v>1044</v>
      </c>
      <c r="C47" s="460"/>
      <c r="D47" s="460"/>
      <c r="E47" s="460"/>
      <c r="F47" s="460"/>
      <c r="G47" s="460"/>
      <c r="H47" s="460"/>
      <c r="I47" s="460"/>
      <c r="J47" s="460"/>
      <c r="K47" s="460"/>
      <c r="L47" s="475"/>
      <c r="M47" s="460"/>
      <c r="O47" s="460"/>
    </row>
    <row r="48" spans="1:15" ht="15" customHeight="1">
      <c r="A48" s="455" t="s">
        <v>1045</v>
      </c>
      <c r="C48" s="478"/>
      <c r="D48" s="1269">
        <f>ROUND(+D30+D38+D45,2)</f>
        <v>28813688.620000001</v>
      </c>
      <c r="E48" s="478"/>
      <c r="F48" s="1269">
        <f>ROUND(+F30+F38+F45,2)</f>
        <v>-2541433.65</v>
      </c>
      <c r="G48" s="478"/>
      <c r="H48" s="1269">
        <f>ROUND(+H30+H38+H45,2)</f>
        <v>11751528.51</v>
      </c>
      <c r="I48" s="478"/>
      <c r="J48" s="1269">
        <f>ROUND(+J30+J38+J45,2)</f>
        <v>-170466902.90000001</v>
      </c>
      <c r="K48" s="478"/>
      <c r="L48" s="480"/>
      <c r="M48" s="703">
        <f>ROUND(+M30+M38+M45,2)</f>
        <v>-132443119.42</v>
      </c>
      <c r="O48" s="460"/>
    </row>
    <row r="49" spans="1:15" ht="15" customHeight="1">
      <c r="L49" s="481"/>
      <c r="M49" s="460"/>
      <c r="O49" s="460"/>
    </row>
    <row r="50" spans="1:15" s="455" customFormat="1" ht="21" customHeight="1" thickBot="1">
      <c r="A50" s="455" t="s">
        <v>1046</v>
      </c>
      <c r="C50" s="457"/>
      <c r="D50" s="1270">
        <f>ROUND(D12+D48,2)</f>
        <v>492340891.69</v>
      </c>
      <c r="E50" s="457"/>
      <c r="F50" s="1270">
        <f>ROUND(F12+F48,2)</f>
        <v>489799458.04000002</v>
      </c>
      <c r="G50" s="457"/>
      <c r="H50" s="1270">
        <f>ROUND(H12+H48,2)</f>
        <v>501550986.55000001</v>
      </c>
      <c r="I50" s="457"/>
      <c r="J50" s="1270">
        <f>ROUND(J12+J48,2)</f>
        <v>331084083.64999998</v>
      </c>
      <c r="K50" s="457"/>
      <c r="L50" s="482"/>
      <c r="M50" s="457">
        <f>ROUND(M12+M48,2)</f>
        <v>331084083.64999998</v>
      </c>
      <c r="N50" s="454"/>
      <c r="O50" s="460"/>
    </row>
    <row r="51" spans="1:15" ht="15" customHeight="1" thickTop="1">
      <c r="A51" s="446" t="s">
        <v>103</v>
      </c>
      <c r="M51" s="483"/>
      <c r="O51" s="460"/>
    </row>
    <row r="52" spans="1:15" ht="15" customHeight="1">
      <c r="A52" s="451" t="s">
        <v>1047</v>
      </c>
      <c r="O52" s="460"/>
    </row>
    <row r="53" spans="1:15" ht="15" customHeight="1">
      <c r="A53" s="462"/>
      <c r="O53" s="460"/>
    </row>
  </sheetData>
  <printOptions horizontalCentered="1"/>
  <pageMargins left="0.24" right="0.24" top="0.5" bottom="0.5" header="0.18" footer="0.25"/>
  <pageSetup scale="64"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88671875" defaultRowHeight="15.75"/>
  <cols>
    <col min="1" max="1" width="3.5546875" style="551" customWidth="1"/>
    <col min="2" max="2" width="8.44140625" style="551" customWidth="1"/>
    <col min="3" max="3" width="12.109375" style="551" customWidth="1"/>
    <col min="4" max="4" width="15" style="550" customWidth="1"/>
    <col min="5" max="5" width="15.109375" style="550" customWidth="1"/>
    <col min="6" max="6" width="12.109375" style="551" customWidth="1"/>
    <col min="7" max="7" width="10.109375" style="551" customWidth="1"/>
    <col min="8" max="8" width="9.109375" style="219" customWidth="1"/>
    <col min="9" max="9" width="5.5546875" style="287" customWidth="1"/>
    <col min="10" max="10" width="9.109375" style="287" customWidth="1"/>
    <col min="11" max="11" width="8.109375" style="550" customWidth="1"/>
    <col min="12" max="12" width="16" style="550" customWidth="1"/>
    <col min="13" max="13" width="12.109375" style="550" customWidth="1"/>
    <col min="14" max="14" width="7.88671875" style="550" customWidth="1"/>
    <col min="15" max="15" width="18.88671875" style="566" customWidth="1"/>
    <col min="16" max="16" width="4.88671875" style="566" customWidth="1"/>
    <col min="17" max="17" width="8" style="566" customWidth="1"/>
    <col min="18" max="18" width="3.88671875" style="566" customWidth="1"/>
    <col min="19" max="19" width="13.109375" style="566" customWidth="1"/>
    <col min="20" max="21" width="12.109375" style="566" customWidth="1"/>
    <col min="22" max="16384" width="8.88671875" style="566"/>
  </cols>
  <sheetData>
    <row r="1" spans="1:20">
      <c r="A1" s="912" t="s">
        <v>97</v>
      </c>
    </row>
    <row r="2" spans="1:20">
      <c r="A2" s="216" t="s">
        <v>168</v>
      </c>
      <c r="B2" s="217"/>
      <c r="C2" s="218"/>
      <c r="D2" s="219"/>
      <c r="E2" s="219"/>
      <c r="F2" s="219"/>
      <c r="G2" s="219"/>
      <c r="I2" s="220"/>
      <c r="J2" s="220"/>
      <c r="K2" s="219"/>
      <c r="L2" s="219"/>
      <c r="M2" s="219"/>
      <c r="N2" s="221"/>
      <c r="O2" s="368" t="s">
        <v>169</v>
      </c>
      <c r="Q2" s="222"/>
      <c r="R2" s="222"/>
      <c r="S2" s="223"/>
      <c r="T2" s="224"/>
    </row>
    <row r="3" spans="1:20" ht="13.35" customHeight="1">
      <c r="A3" s="217"/>
      <c r="B3" s="217"/>
      <c r="C3" s="218"/>
      <c r="D3" s="219"/>
      <c r="E3" s="219"/>
      <c r="F3" s="219"/>
      <c r="G3" s="219"/>
      <c r="I3" s="551"/>
      <c r="J3" s="551"/>
      <c r="M3" s="551"/>
      <c r="N3" s="1522"/>
      <c r="O3" s="989" t="str">
        <f>UPPER(TEXT(DATE(YEAR(_xlfn.TEXTAFTER('Exh D Governmental  '!A6," ",4)),MONTH(_xlfn.TEXTAFTER('Exh D Governmental  '!A6," ",4)),DAY(_xlfn.TEXTAFTER('Exh D Governmental  '!A6," ",4))),"MMMM YYYY"))</f>
        <v>NOVEMBER 2025</v>
      </c>
      <c r="T3" s="224"/>
    </row>
    <row r="4" spans="1:20" ht="9" customHeight="1">
      <c r="T4" s="224"/>
    </row>
    <row r="5" spans="1:20" ht="13.5" customHeight="1">
      <c r="T5" s="224"/>
    </row>
    <row r="6" spans="1:20" ht="13.5" customHeight="1">
      <c r="A6" s="225" t="s">
        <v>170</v>
      </c>
      <c r="B6" s="219" t="s">
        <v>171</v>
      </c>
      <c r="C6" s="219"/>
      <c r="D6" s="219"/>
      <c r="E6" s="219"/>
      <c r="F6" s="219"/>
      <c r="G6" s="219"/>
      <c r="H6" s="227"/>
      <c r="J6" s="975" t="s">
        <v>172</v>
      </c>
      <c r="K6" s="976"/>
      <c r="L6" s="958"/>
      <c r="M6" s="958"/>
      <c r="N6" s="977"/>
    </row>
    <row r="7" spans="1:20" ht="13.5" customHeight="1">
      <c r="A7" s="225"/>
      <c r="B7" s="219" t="s">
        <v>173</v>
      </c>
      <c r="C7" s="219"/>
      <c r="D7" s="219"/>
      <c r="E7" s="219"/>
      <c r="F7" s="219"/>
      <c r="G7" s="219"/>
      <c r="H7" s="551"/>
      <c r="J7" s="958" t="s">
        <v>1573</v>
      </c>
      <c r="K7" s="976"/>
      <c r="L7" s="978"/>
      <c r="M7" s="978"/>
      <c r="N7" s="977"/>
    </row>
    <row r="8" spans="1:20" ht="13.35" customHeight="1">
      <c r="A8" s="225"/>
      <c r="B8" s="219" t="s">
        <v>174</v>
      </c>
      <c r="C8" s="219"/>
      <c r="D8" s="219"/>
      <c r="E8" s="219"/>
      <c r="F8" s="219"/>
      <c r="G8" s="219"/>
      <c r="H8" s="551"/>
      <c r="J8" s="219" t="s">
        <v>1502</v>
      </c>
      <c r="K8" s="979"/>
      <c r="L8" s="978"/>
      <c r="M8" s="978"/>
      <c r="N8" s="978"/>
    </row>
    <row r="9" spans="1:20" ht="12.75" customHeight="1">
      <c r="A9" s="225"/>
      <c r="B9" s="219" t="s">
        <v>1480</v>
      </c>
      <c r="C9" s="219"/>
      <c r="D9" s="219"/>
      <c r="E9" s="219"/>
      <c r="F9" s="219"/>
      <c r="G9" s="219"/>
      <c r="H9" s="225"/>
      <c r="J9" s="219" t="s">
        <v>1574</v>
      </c>
      <c r="K9" s="682"/>
      <c r="L9" s="974"/>
      <c r="M9" s="219"/>
      <c r="N9" s="581"/>
    </row>
    <row r="10" spans="1:20" ht="12.75" customHeight="1">
      <c r="F10" s="583"/>
    </row>
    <row r="11" spans="1:20" ht="12.75" customHeight="1">
      <c r="A11" s="219"/>
      <c r="B11" s="219"/>
      <c r="C11" s="220" t="s">
        <v>175</v>
      </c>
      <c r="D11" s="580"/>
      <c r="E11" s="219"/>
      <c r="F11" s="580">
        <v>465.4</v>
      </c>
      <c r="G11" s="219" t="s">
        <v>176</v>
      </c>
      <c r="H11" s="225" t="s">
        <v>103</v>
      </c>
      <c r="J11" s="219" t="s">
        <v>1500</v>
      </c>
    </row>
    <row r="12" spans="1:20" ht="12.75" customHeight="1">
      <c r="A12" s="219"/>
      <c r="B12" s="220"/>
      <c r="C12" s="220" t="s">
        <v>177</v>
      </c>
      <c r="D12" s="584"/>
      <c r="E12" s="219"/>
      <c r="F12" s="995">
        <v>18.600000000000001</v>
      </c>
      <c r="G12" s="219"/>
      <c r="H12" s="219" t="s">
        <v>103</v>
      </c>
    </row>
    <row r="13" spans="1:20" ht="12.75" customHeight="1">
      <c r="A13" s="219"/>
      <c r="B13" s="220"/>
      <c r="C13" s="220" t="s">
        <v>178</v>
      </c>
      <c r="D13" s="584"/>
      <c r="E13" s="219"/>
      <c r="F13" s="963">
        <v>1293.8</v>
      </c>
      <c r="G13" s="219"/>
      <c r="H13" s="566" t="s">
        <v>103</v>
      </c>
      <c r="K13" s="220" t="s">
        <v>1553</v>
      </c>
      <c r="L13" s="580"/>
      <c r="M13" s="219"/>
      <c r="N13" s="594">
        <v>1.2</v>
      </c>
      <c r="O13" s="219" t="s">
        <v>176</v>
      </c>
      <c r="T13" s="219"/>
    </row>
    <row r="14" spans="1:20" ht="12.75" customHeight="1">
      <c r="A14" s="219"/>
      <c r="B14" s="220"/>
      <c r="C14" s="220" t="s">
        <v>179</v>
      </c>
      <c r="D14" s="584"/>
      <c r="E14" s="219"/>
      <c r="F14" s="963">
        <v>12.9</v>
      </c>
      <c r="H14" s="551" t="s">
        <v>103</v>
      </c>
      <c r="K14" s="220" t="s">
        <v>1534</v>
      </c>
      <c r="L14" s="580"/>
      <c r="M14" s="219"/>
      <c r="N14" s="581">
        <v>1.4</v>
      </c>
      <c r="T14" s="226"/>
    </row>
    <row r="15" spans="1:20" ht="12.75" customHeight="1">
      <c r="A15" s="219"/>
      <c r="B15" s="220"/>
      <c r="C15" s="220" t="s">
        <v>180</v>
      </c>
      <c r="D15" s="584"/>
      <c r="E15" s="219"/>
      <c r="F15" s="963">
        <v>887.8</v>
      </c>
      <c r="G15" s="219"/>
      <c r="H15" s="225" t="s">
        <v>103</v>
      </c>
      <c r="K15" s="220" t="s">
        <v>1535</v>
      </c>
      <c r="L15" s="580"/>
      <c r="M15" s="219"/>
      <c r="N15" s="581">
        <v>10.5</v>
      </c>
      <c r="T15" s="226"/>
    </row>
    <row r="16" spans="1:20" ht="12.75" customHeight="1">
      <c r="C16" s="220" t="s">
        <v>181</v>
      </c>
      <c r="F16" s="582">
        <v>2243.9</v>
      </c>
      <c r="K16" s="220" t="s">
        <v>1501</v>
      </c>
      <c r="L16" s="580"/>
      <c r="M16" s="219"/>
      <c r="N16" s="581">
        <v>857.2</v>
      </c>
      <c r="P16" s="580"/>
      <c r="R16" s="219"/>
    </row>
    <row r="17" spans="1:17" ht="12.75" customHeight="1">
      <c r="A17" s="219"/>
      <c r="B17" s="220"/>
      <c r="C17" s="220" t="s">
        <v>183</v>
      </c>
      <c r="D17" s="585"/>
      <c r="E17" s="219"/>
      <c r="F17" s="995">
        <v>340.2</v>
      </c>
      <c r="G17" s="219"/>
      <c r="K17" s="220" t="s">
        <v>1528</v>
      </c>
      <c r="L17" s="580"/>
      <c r="M17" s="219"/>
      <c r="N17" s="581">
        <v>2.5</v>
      </c>
    </row>
    <row r="18" spans="1:17" ht="12.75" customHeight="1">
      <c r="A18" s="219"/>
      <c r="B18" s="220"/>
      <c r="C18" s="220" t="s">
        <v>184</v>
      </c>
      <c r="D18" s="585"/>
      <c r="E18" s="219"/>
      <c r="F18" s="963">
        <v>174.1</v>
      </c>
      <c r="G18" s="219"/>
      <c r="K18" s="220" t="s">
        <v>1529</v>
      </c>
      <c r="L18" s="580"/>
      <c r="M18" s="219"/>
      <c r="N18" s="581">
        <v>6.1</v>
      </c>
    </row>
    <row r="19" spans="1:17" ht="12.75" customHeight="1">
      <c r="A19" s="219"/>
      <c r="B19" s="220"/>
      <c r="G19" s="219"/>
      <c r="K19" s="220" t="s">
        <v>1533</v>
      </c>
      <c r="L19" s="580"/>
      <c r="M19" s="219"/>
      <c r="N19" s="581">
        <v>4.8</v>
      </c>
    </row>
    <row r="20" spans="1:17" ht="13.35" customHeight="1">
      <c r="A20" s="225" t="s">
        <v>187</v>
      </c>
      <c r="B20" s="219" t="s">
        <v>188</v>
      </c>
      <c r="C20" s="219"/>
      <c r="D20" s="219"/>
      <c r="E20" s="219"/>
      <c r="F20" s="219"/>
      <c r="G20" s="219"/>
      <c r="H20" s="225"/>
      <c r="K20" s="220" t="s">
        <v>1531</v>
      </c>
      <c r="L20" s="580"/>
      <c r="M20" s="219"/>
      <c r="N20" s="581">
        <v>3</v>
      </c>
      <c r="Q20" s="993"/>
    </row>
    <row r="21" spans="1:17" ht="12.6" customHeight="1">
      <c r="A21" s="225"/>
      <c r="B21" s="219" t="s">
        <v>190</v>
      </c>
      <c r="C21" s="219"/>
      <c r="D21" s="219"/>
      <c r="E21" s="219"/>
      <c r="F21" s="219"/>
      <c r="G21" s="219"/>
      <c r="K21" s="220" t="s">
        <v>1547</v>
      </c>
      <c r="L21" s="580"/>
      <c r="M21" s="219"/>
      <c r="N21" s="581">
        <v>2.8</v>
      </c>
      <c r="Q21" s="964"/>
    </row>
    <row r="22" spans="1:17" ht="14.1" customHeight="1">
      <c r="A22" s="225"/>
      <c r="B22" s="219"/>
      <c r="C22" s="219"/>
      <c r="D22" s="219"/>
      <c r="E22" s="219"/>
      <c r="F22" s="219"/>
      <c r="G22" s="219"/>
      <c r="K22" s="220" t="s">
        <v>1532</v>
      </c>
      <c r="L22" s="580"/>
      <c r="M22" s="219"/>
      <c r="N22" s="581">
        <v>1.3</v>
      </c>
      <c r="Q22" s="993"/>
    </row>
    <row r="23" spans="1:17" ht="12.75" customHeight="1">
      <c r="A23" s="219"/>
      <c r="B23" s="586" t="s">
        <v>192</v>
      </c>
      <c r="C23" s="586"/>
      <c r="D23" s="219"/>
      <c r="E23" s="219"/>
      <c r="F23" s="992"/>
      <c r="G23" s="219"/>
      <c r="K23" s="220" t="s">
        <v>1537</v>
      </c>
      <c r="L23" s="580"/>
      <c r="M23" s="219"/>
      <c r="N23" s="581">
        <v>1.2</v>
      </c>
    </row>
    <row r="24" spans="1:17" ht="12.75" customHeight="1">
      <c r="G24" s="219"/>
      <c r="K24" s="220" t="s">
        <v>1551</v>
      </c>
      <c r="L24" s="580"/>
      <c r="M24" s="219"/>
      <c r="N24" s="581">
        <v>4.0999999999999996</v>
      </c>
    </row>
    <row r="25" spans="1:17" ht="13.35" customHeight="1">
      <c r="C25" s="220" t="s">
        <v>193</v>
      </c>
      <c r="F25" s="594">
        <v>4237.5</v>
      </c>
      <c r="G25" s="219" t="s">
        <v>176</v>
      </c>
      <c r="J25" s="220"/>
      <c r="K25" s="220" t="s">
        <v>1510</v>
      </c>
      <c r="L25" s="580"/>
      <c r="M25" s="219"/>
      <c r="N25" s="581">
        <v>12</v>
      </c>
    </row>
    <row r="26" spans="1:17" ht="12.75" customHeight="1">
      <c r="C26" s="220" t="s">
        <v>194</v>
      </c>
      <c r="D26" s="580"/>
      <c r="E26" s="219"/>
      <c r="F26" s="581">
        <v>60.1</v>
      </c>
      <c r="G26" s="566"/>
      <c r="H26" s="551"/>
      <c r="K26" s="220" t="s">
        <v>1552</v>
      </c>
      <c r="L26" s="580"/>
      <c r="M26" s="219"/>
      <c r="N26" s="581">
        <v>4.8</v>
      </c>
    </row>
    <row r="27" spans="1:17" ht="12.75" customHeight="1">
      <c r="C27" s="219" t="s">
        <v>195</v>
      </c>
      <c r="F27" s="991">
        <v>21.8</v>
      </c>
      <c r="G27" s="219"/>
      <c r="K27" s="220" t="s">
        <v>1530</v>
      </c>
      <c r="L27" s="580"/>
      <c r="M27" s="219"/>
      <c r="N27" s="581">
        <v>4.7</v>
      </c>
      <c r="O27" s="551"/>
    </row>
    <row r="28" spans="1:17" ht="12.75" customHeight="1">
      <c r="C28" s="219" t="s">
        <v>1509</v>
      </c>
      <c r="F28" s="991">
        <v>33</v>
      </c>
      <c r="H28" s="225"/>
    </row>
    <row r="29" spans="1:17" ht="13.35" customHeight="1">
      <c r="C29" s="219" t="s">
        <v>1568</v>
      </c>
      <c r="F29" s="991">
        <v>4.8</v>
      </c>
      <c r="J29" s="217" t="s">
        <v>182</v>
      </c>
      <c r="K29" s="287"/>
      <c r="O29" s="551"/>
    </row>
    <row r="30" spans="1:17" ht="13.35" customHeight="1">
      <c r="C30" s="219" t="s">
        <v>196</v>
      </c>
      <c r="F30" s="991">
        <v>73.5</v>
      </c>
      <c r="G30" s="1352" t="s">
        <v>103</v>
      </c>
      <c r="K30" s="220" t="s">
        <v>185</v>
      </c>
      <c r="L30" s="580"/>
      <c r="M30" s="219"/>
      <c r="N30" s="594">
        <v>22054.7</v>
      </c>
      <c r="O30" s="219" t="s">
        <v>176</v>
      </c>
    </row>
    <row r="31" spans="1:17" ht="12.75" customHeight="1">
      <c r="C31" s="682" t="s">
        <v>1505</v>
      </c>
      <c r="D31" s="580"/>
      <c r="E31" s="219"/>
      <c r="F31" s="581">
        <v>33</v>
      </c>
      <c r="J31" s="220"/>
      <c r="K31" s="220" t="s">
        <v>186</v>
      </c>
      <c r="L31" s="580"/>
      <c r="M31" s="219"/>
      <c r="N31" s="581">
        <v>6582.6</v>
      </c>
      <c r="O31" s="551"/>
    </row>
    <row r="32" spans="1:17" ht="12.75" customHeight="1">
      <c r="C32" s="682" t="s">
        <v>1527</v>
      </c>
      <c r="D32" s="580"/>
      <c r="E32" s="219"/>
      <c r="F32" s="581">
        <v>60</v>
      </c>
      <c r="J32" s="220"/>
      <c r="K32" s="220" t="s">
        <v>189</v>
      </c>
      <c r="L32" s="580"/>
      <c r="M32" s="219"/>
      <c r="N32" s="581">
        <v>781.7</v>
      </c>
    </row>
    <row r="33" spans="2:20" ht="12.75" customHeight="1">
      <c r="C33" s="682" t="s">
        <v>1506</v>
      </c>
      <c r="D33" s="580"/>
      <c r="E33" s="219"/>
      <c r="F33" s="581">
        <v>2.5</v>
      </c>
      <c r="J33" s="220"/>
      <c r="K33" s="220" t="s">
        <v>191</v>
      </c>
      <c r="L33" s="694"/>
      <c r="M33" s="219"/>
      <c r="N33" s="582">
        <v>1458.3</v>
      </c>
    </row>
    <row r="34" spans="2:20" ht="12.75" customHeight="1">
      <c r="C34" s="682" t="s">
        <v>1507</v>
      </c>
      <c r="D34" s="580"/>
      <c r="E34" s="219"/>
      <c r="F34" s="581">
        <v>4.4000000000000004</v>
      </c>
      <c r="G34" s="566"/>
    </row>
    <row r="35" spans="2:20" ht="12.75" customHeight="1">
      <c r="C35" s="682" t="s">
        <v>1508</v>
      </c>
      <c r="D35" s="580"/>
      <c r="E35" s="219"/>
      <c r="F35" s="581">
        <v>24.4</v>
      </c>
      <c r="G35" s="566"/>
      <c r="K35" s="220"/>
    </row>
    <row r="36" spans="2:20" ht="12.75" customHeight="1">
      <c r="C36" s="682" t="s">
        <v>1541</v>
      </c>
      <c r="D36" s="580"/>
      <c r="E36" s="219"/>
      <c r="F36" s="581">
        <v>3</v>
      </c>
      <c r="G36" s="566"/>
      <c r="J36" s="219" t="s">
        <v>1462</v>
      </c>
      <c r="K36" s="220"/>
      <c r="L36" s="219"/>
      <c r="M36" s="219"/>
      <c r="N36" s="219"/>
    </row>
    <row r="37" spans="2:20" ht="13.35" customHeight="1">
      <c r="C37" s="682" t="s">
        <v>1556</v>
      </c>
      <c r="D37" s="580"/>
      <c r="E37" s="219"/>
      <c r="F37" s="581">
        <v>589</v>
      </c>
      <c r="G37" s="227"/>
      <c r="J37" s="219" t="s">
        <v>1476</v>
      </c>
      <c r="K37" s="220"/>
      <c r="L37" s="219"/>
      <c r="M37" s="219"/>
      <c r="N37" s="219"/>
      <c r="O37" s="227"/>
    </row>
    <row r="38" spans="2:20" ht="12.75" customHeight="1">
      <c r="C38" s="682" t="s">
        <v>1499</v>
      </c>
      <c r="D38" s="580"/>
      <c r="E38" s="219"/>
      <c r="F38" s="581">
        <v>243.3</v>
      </c>
      <c r="G38" s="219"/>
      <c r="J38" s="219" t="s">
        <v>1575</v>
      </c>
      <c r="K38" s="227"/>
      <c r="L38" s="227"/>
      <c r="M38" s="227"/>
      <c r="N38" s="227"/>
      <c r="O38" s="551"/>
    </row>
    <row r="39" spans="2:20" ht="12.75" customHeight="1">
      <c r="C39" s="682" t="s">
        <v>197</v>
      </c>
      <c r="D39" s="580"/>
      <c r="E39" s="219"/>
      <c r="F39" s="581">
        <v>19</v>
      </c>
      <c r="G39" s="550"/>
      <c r="J39" s="227"/>
      <c r="K39" s="551"/>
      <c r="N39" s="551"/>
      <c r="O39" s="551"/>
      <c r="P39" s="219"/>
      <c r="R39" s="219"/>
    </row>
    <row r="40" spans="2:20" ht="12.75" customHeight="1">
      <c r="C40" s="682" t="s">
        <v>1463</v>
      </c>
      <c r="D40" s="580"/>
      <c r="E40" s="219"/>
      <c r="F40" s="581">
        <v>105.1</v>
      </c>
      <c r="G40" s="566"/>
      <c r="J40" s="217" t="s">
        <v>1570</v>
      </c>
      <c r="K40" s="682"/>
      <c r="L40" s="694"/>
      <c r="M40" s="219"/>
      <c r="N40" s="582"/>
      <c r="R40" s="226"/>
    </row>
    <row r="41" spans="2:20" ht="12.75" customHeight="1">
      <c r="C41" s="682" t="s">
        <v>198</v>
      </c>
      <c r="D41" s="580"/>
      <c r="E41" s="219"/>
      <c r="F41" s="581">
        <v>2.7</v>
      </c>
      <c r="G41" s="566"/>
      <c r="J41" s="220" t="s">
        <v>1543</v>
      </c>
      <c r="K41" s="220"/>
      <c r="L41" s="580"/>
      <c r="M41" s="219"/>
      <c r="N41" s="581"/>
      <c r="O41" s="227"/>
      <c r="R41" s="226"/>
      <c r="T41" s="283"/>
    </row>
    <row r="42" spans="2:20" ht="12.75" customHeight="1">
      <c r="C42" s="682" t="s">
        <v>1498</v>
      </c>
      <c r="D42" s="580"/>
      <c r="E42" s="219"/>
      <c r="F42" s="581">
        <v>2.6</v>
      </c>
      <c r="J42" s="220"/>
      <c r="K42" s="220"/>
      <c r="L42" s="580"/>
      <c r="M42" s="219"/>
      <c r="N42" s="581"/>
      <c r="O42" s="227"/>
      <c r="T42" s="283"/>
    </row>
    <row r="43" spans="2:20" ht="13.35" customHeight="1">
      <c r="C43" s="682" t="s">
        <v>1492</v>
      </c>
      <c r="D43" s="694"/>
      <c r="E43" s="219"/>
      <c r="F43" s="582">
        <v>1629.6</v>
      </c>
      <c r="I43" s="225" t="s">
        <v>1513</v>
      </c>
      <c r="J43" s="220" t="s">
        <v>1514</v>
      </c>
      <c r="K43" s="682"/>
      <c r="L43" s="694"/>
      <c r="M43" s="219"/>
      <c r="N43" s="582"/>
      <c r="O43" s="227"/>
      <c r="T43" s="283"/>
    </row>
    <row r="44" spans="2:20" ht="12.75" customHeight="1">
      <c r="C44" s="682" t="s">
        <v>1569</v>
      </c>
      <c r="D44" s="694"/>
      <c r="E44" s="219"/>
      <c r="F44" s="582">
        <v>39</v>
      </c>
      <c r="J44" s="220" t="s">
        <v>1515</v>
      </c>
      <c r="K44" s="682"/>
      <c r="L44" s="694"/>
      <c r="M44" s="219"/>
      <c r="N44" s="582"/>
      <c r="O44" s="227"/>
      <c r="Q44" s="964"/>
      <c r="T44" s="283"/>
    </row>
    <row r="45" spans="2:20" ht="12.75" customHeight="1">
      <c r="C45" s="682" t="s">
        <v>1518</v>
      </c>
      <c r="D45" s="694"/>
      <c r="E45" s="219"/>
      <c r="F45" s="582">
        <v>6000</v>
      </c>
      <c r="J45" s="220" t="s">
        <v>1516</v>
      </c>
      <c r="K45" s="220"/>
      <c r="L45" s="580"/>
      <c r="M45" s="219"/>
      <c r="N45" s="581"/>
      <c r="O45" s="227"/>
      <c r="Q45" s="994"/>
      <c r="T45" s="283"/>
    </row>
    <row r="46" spans="2:20" ht="12.75" customHeight="1">
      <c r="C46" s="682" t="s">
        <v>1550</v>
      </c>
      <c r="D46" s="694"/>
      <c r="E46" s="219"/>
      <c r="F46" s="582">
        <v>76.5</v>
      </c>
      <c r="T46" s="283"/>
    </row>
    <row r="47" spans="2:20" ht="12.75" customHeight="1">
      <c r="C47" s="550"/>
      <c r="F47" s="550"/>
      <c r="T47" s="283"/>
    </row>
    <row r="48" spans="2:20" ht="12.75" customHeight="1">
      <c r="B48" s="220" t="s">
        <v>199</v>
      </c>
      <c r="C48" s="550"/>
      <c r="F48" s="550"/>
      <c r="S48" s="964"/>
      <c r="T48" s="283"/>
    </row>
    <row r="49" spans="1:19" ht="13.5" customHeight="1">
      <c r="B49" s="219" t="s">
        <v>1571</v>
      </c>
      <c r="C49" s="550"/>
      <c r="F49" s="550"/>
      <c r="S49" s="964"/>
    </row>
    <row r="50" spans="1:19" ht="12.75" customHeight="1">
      <c r="B50" s="219" t="s">
        <v>1572</v>
      </c>
      <c r="C50" s="220"/>
      <c r="D50" s="220"/>
      <c r="F50" s="582"/>
      <c r="J50" s="220"/>
      <c r="K50" s="219"/>
      <c r="L50" s="219"/>
      <c r="M50" s="219"/>
      <c r="N50" s="219"/>
      <c r="O50" s="227"/>
    </row>
    <row r="51" spans="1:19" ht="12.75" customHeight="1">
      <c r="C51" s="220"/>
      <c r="D51" s="220"/>
      <c r="F51" s="582"/>
      <c r="J51" s="220"/>
      <c r="K51" s="219"/>
      <c r="L51" s="219"/>
      <c r="M51" s="219"/>
      <c r="N51" s="219"/>
      <c r="O51" s="227"/>
    </row>
    <row r="52" spans="1:19" ht="12.75" customHeight="1">
      <c r="B52" s="219" t="s">
        <v>200</v>
      </c>
      <c r="C52" s="220"/>
      <c r="D52" s="220"/>
      <c r="F52" s="582"/>
      <c r="H52" s="582"/>
      <c r="I52" s="566"/>
      <c r="J52" s="220" t="s">
        <v>103</v>
      </c>
      <c r="M52" s="229"/>
      <c r="N52" s="230"/>
      <c r="P52" s="222"/>
      <c r="R52" s="232"/>
    </row>
    <row r="53" spans="1:19" ht="12.75" customHeight="1">
      <c r="B53" s="219" t="s">
        <v>201</v>
      </c>
      <c r="C53" s="682"/>
      <c r="F53" s="581"/>
      <c r="H53" s="582"/>
      <c r="I53" s="566"/>
      <c r="J53" s="220" t="s">
        <v>103</v>
      </c>
      <c r="M53" s="229"/>
      <c r="N53" s="230"/>
      <c r="P53" s="222"/>
      <c r="R53" s="219"/>
    </row>
    <row r="54" spans="1:19" ht="12.75" customHeight="1">
      <c r="B54" s="219" t="s">
        <v>1565</v>
      </c>
      <c r="C54" s="682"/>
      <c r="F54" s="582"/>
      <c r="H54" s="582"/>
      <c r="I54" s="566"/>
      <c r="J54" s="220" t="s">
        <v>103</v>
      </c>
      <c r="M54" s="229"/>
      <c r="N54" s="230"/>
      <c r="P54" s="222"/>
      <c r="R54" s="219"/>
    </row>
    <row r="55" spans="1:19" ht="12.6" customHeight="1">
      <c r="B55" s="219" t="s">
        <v>1566</v>
      </c>
      <c r="D55" s="219"/>
      <c r="E55" s="219"/>
      <c r="F55" s="219"/>
      <c r="H55" s="582"/>
      <c r="I55" s="566"/>
      <c r="M55" s="229"/>
      <c r="N55" s="230"/>
      <c r="P55" s="222"/>
      <c r="R55" s="219"/>
    </row>
    <row r="56" spans="1:19" ht="12.75" customHeight="1">
      <c r="B56" s="219" t="s">
        <v>1567</v>
      </c>
      <c r="D56" s="219"/>
      <c r="E56" s="219"/>
      <c r="F56" s="219"/>
      <c r="H56" s="582"/>
      <c r="I56" s="220"/>
      <c r="M56" s="229"/>
      <c r="N56" s="230"/>
      <c r="P56" s="222"/>
    </row>
    <row r="57" spans="1:19" ht="12.75" customHeight="1">
      <c r="H57" s="582"/>
      <c r="I57" s="220"/>
      <c r="M57" s="229"/>
      <c r="N57" s="230"/>
      <c r="P57" s="222"/>
    </row>
    <row r="58" spans="1:19" ht="12.6" customHeight="1">
      <c r="I58" s="220"/>
      <c r="M58" s="229"/>
      <c r="N58" s="230"/>
      <c r="P58" s="222"/>
    </row>
    <row r="59" spans="1:19">
      <c r="I59" s="220"/>
      <c r="M59" s="229"/>
      <c r="N59" s="230"/>
      <c r="P59" s="222"/>
      <c r="Q59" s="219"/>
    </row>
    <row r="60" spans="1:19">
      <c r="I60" s="220"/>
      <c r="J60" s="220"/>
      <c r="K60" s="219"/>
      <c r="L60" s="228"/>
      <c r="M60" s="229"/>
      <c r="N60" s="229"/>
      <c r="P60" s="222"/>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4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zoomScaleNormal="90" workbookViewId="0"/>
  </sheetViews>
  <sheetFormatPr defaultColWidth="8.88671875" defaultRowHeight="15"/>
  <cols>
    <col min="1" max="1" width="1.88671875" style="446" customWidth="1"/>
    <col min="2" max="2" width="48" style="446" customWidth="1"/>
    <col min="3" max="3" width="4.5546875" style="447" customWidth="1"/>
    <col min="4" max="4" width="19" style="447" customWidth="1"/>
    <col min="5" max="5" width="1.88671875" style="447" customWidth="1"/>
    <col min="6" max="6" width="20.88671875" style="447" customWidth="1"/>
    <col min="7" max="7" width="1.88671875" style="447" customWidth="1"/>
    <col min="8" max="8" width="19" style="447" customWidth="1"/>
    <col min="9" max="9" width="1.6640625" style="447" customWidth="1"/>
    <col min="10" max="10" width="19" style="447" customWidth="1"/>
    <col min="11" max="12" width="1.88671875" style="447" customWidth="1"/>
    <col min="13" max="13" width="19" style="447" customWidth="1"/>
    <col min="14" max="14" width="8.88671875" style="447"/>
    <col min="15" max="15" width="10.109375" style="447" customWidth="1"/>
    <col min="16" max="16" width="1.88671875" style="447" customWidth="1"/>
    <col min="17" max="16384" width="8.88671875" style="446"/>
  </cols>
  <sheetData>
    <row r="1" spans="1:41">
      <c r="B1" s="270" t="s">
        <v>97</v>
      </c>
    </row>
    <row r="3" spans="1:41" ht="18">
      <c r="M3" s="511" t="s">
        <v>1048</v>
      </c>
    </row>
    <row r="4" spans="1:41" s="450" customFormat="1" ht="18.75" customHeight="1">
      <c r="A4" s="448"/>
      <c r="B4" s="512" t="s">
        <v>955</v>
      </c>
      <c r="C4" s="516"/>
      <c r="D4" s="516"/>
      <c r="E4" s="516"/>
      <c r="F4" s="516"/>
      <c r="G4" s="516"/>
      <c r="H4" s="516"/>
      <c r="I4" s="516"/>
      <c r="J4" s="516"/>
      <c r="K4" s="461"/>
      <c r="L4" s="513"/>
      <c r="M4" s="516"/>
      <c r="N4" s="449"/>
      <c r="O4" s="449"/>
      <c r="P4" s="449"/>
    </row>
    <row r="5" spans="1:41" s="450" customFormat="1" ht="18.75" customHeight="1">
      <c r="A5" s="448"/>
      <c r="B5" s="512" t="s">
        <v>1049</v>
      </c>
      <c r="C5" s="451"/>
      <c r="D5" s="451"/>
      <c r="E5" s="451"/>
      <c r="F5" s="451"/>
      <c r="G5" s="451"/>
      <c r="H5" s="451"/>
      <c r="I5" s="451"/>
      <c r="J5" s="451"/>
      <c r="K5" s="512"/>
      <c r="L5" s="512"/>
      <c r="M5" s="451"/>
      <c r="N5" s="449"/>
      <c r="O5" s="449"/>
      <c r="P5" s="449"/>
    </row>
    <row r="6" spans="1:41" s="450" customFormat="1" ht="18.75" customHeight="1">
      <c r="A6" s="448"/>
      <c r="B6" s="512" t="str">
        <f>'Public Goods '!A6</f>
        <v>FISCAL YEAR 2025-2026</v>
      </c>
      <c r="C6" s="516"/>
      <c r="D6" s="516"/>
      <c r="E6" s="516"/>
      <c r="F6" s="516"/>
      <c r="G6" s="516"/>
      <c r="H6" s="516"/>
      <c r="I6" s="516"/>
      <c r="J6" s="516"/>
      <c r="K6" s="670"/>
      <c r="L6" s="512"/>
      <c r="M6" s="516"/>
      <c r="N6" s="449"/>
      <c r="O6" s="449"/>
      <c r="P6" s="449"/>
    </row>
    <row r="7" spans="1:41" s="450" customFormat="1" ht="18" customHeight="1">
      <c r="A7" s="448"/>
      <c r="B7" s="672"/>
      <c r="C7" s="517"/>
      <c r="D7" s="517"/>
      <c r="E7" s="517"/>
      <c r="F7" s="517"/>
      <c r="G7" s="517"/>
      <c r="H7" s="517"/>
      <c r="I7" s="517"/>
      <c r="J7" s="517"/>
      <c r="K7" s="671"/>
      <c r="L7" s="514"/>
      <c r="M7" s="517"/>
      <c r="N7" s="449"/>
      <c r="O7" s="449"/>
      <c r="P7" s="449"/>
    </row>
    <row r="8" spans="1:41" s="450" customFormat="1" ht="18" customHeight="1">
      <c r="A8" s="448"/>
      <c r="B8" s="672"/>
      <c r="C8" s="452"/>
      <c r="D8" s="452"/>
      <c r="E8" s="452"/>
      <c r="F8" s="452"/>
      <c r="G8" s="452"/>
      <c r="H8" s="452"/>
      <c r="I8" s="452"/>
      <c r="J8" s="452"/>
      <c r="K8" s="472"/>
      <c r="L8" s="515"/>
      <c r="M8" s="452"/>
      <c r="N8" s="449"/>
      <c r="O8" s="449"/>
      <c r="P8" s="449"/>
    </row>
    <row r="9" spans="1:41" s="455" customFormat="1" ht="15.75">
      <c r="A9" s="453"/>
      <c r="B9" s="453"/>
      <c r="C9" s="454"/>
      <c r="D9" s="588" t="s">
        <v>1536</v>
      </c>
      <c r="E9" s="588"/>
      <c r="F9" s="588" t="s">
        <v>1557</v>
      </c>
      <c r="G9" s="588"/>
      <c r="H9" s="588">
        <v>2025</v>
      </c>
      <c r="I9" s="588"/>
      <c r="J9" s="588">
        <v>2025</v>
      </c>
      <c r="K9" s="588"/>
      <c r="L9" s="454"/>
      <c r="M9" s="454"/>
      <c r="N9" s="454"/>
      <c r="O9" s="454"/>
      <c r="P9" s="454"/>
    </row>
    <row r="10" spans="1:41" ht="15.75">
      <c r="D10" s="1267" t="s">
        <v>1548</v>
      </c>
      <c r="E10" s="456"/>
      <c r="F10" s="1267" t="s">
        <v>1558</v>
      </c>
      <c r="G10" s="456"/>
      <c r="H10" s="1267" t="s">
        <v>449</v>
      </c>
      <c r="I10" s="456"/>
      <c r="J10" s="1267" t="s">
        <v>339</v>
      </c>
      <c r="K10" s="456"/>
      <c r="M10" s="456" t="str">
        <f>'Public Goods '!M10</f>
        <v>2025-2026</v>
      </c>
    </row>
    <row r="11" spans="1:41">
      <c r="M11" s="629"/>
    </row>
    <row r="12" spans="1:41" s="455" customFormat="1" ht="15.75">
      <c r="B12" s="455" t="s">
        <v>929</v>
      </c>
      <c r="C12" s="454"/>
      <c r="D12" s="457">
        <v>57369.599999999999</v>
      </c>
      <c r="E12" s="457"/>
      <c r="F12" s="457">
        <f>D48</f>
        <v>0</v>
      </c>
      <c r="G12" s="457"/>
      <c r="H12" s="457">
        <f>F48</f>
        <v>6436.04</v>
      </c>
      <c r="I12" s="457"/>
      <c r="J12" s="457">
        <f>H48</f>
        <v>4696.5200000000004</v>
      </c>
      <c r="K12" s="457"/>
      <c r="L12" s="473"/>
      <c r="M12" s="457">
        <f>D12</f>
        <v>57369.599999999999</v>
      </c>
      <c r="N12" s="454"/>
      <c r="O12" s="454"/>
      <c r="P12" s="454"/>
      <c r="Q12" s="458"/>
      <c r="R12" s="458"/>
      <c r="S12" s="458"/>
      <c r="T12" s="458"/>
      <c r="U12" s="458"/>
      <c r="V12" s="458"/>
      <c r="W12" s="458"/>
      <c r="X12" s="458"/>
      <c r="Y12" s="458"/>
      <c r="Z12" s="458"/>
      <c r="AA12" s="458"/>
      <c r="AB12" s="459"/>
      <c r="AC12" s="459"/>
      <c r="AD12" s="459"/>
      <c r="AE12" s="459"/>
      <c r="AF12" s="459"/>
      <c r="AG12" s="459"/>
      <c r="AH12" s="459"/>
      <c r="AI12" s="459"/>
      <c r="AJ12" s="459"/>
      <c r="AK12" s="459"/>
      <c r="AL12" s="459"/>
      <c r="AM12" s="459"/>
      <c r="AN12" s="459"/>
      <c r="AO12" s="459"/>
    </row>
    <row r="13" spans="1:41" s="455" customFormat="1" ht="15.75">
      <c r="C13" s="454"/>
      <c r="D13" s="457"/>
      <c r="E13" s="457"/>
      <c r="F13" s="457"/>
      <c r="G13" s="457"/>
      <c r="H13" s="457"/>
      <c r="I13" s="457"/>
      <c r="J13" s="457"/>
      <c r="K13" s="457"/>
      <c r="L13" s="474"/>
      <c r="M13" s="457"/>
      <c r="N13" s="454"/>
      <c r="O13" s="454"/>
      <c r="P13" s="454"/>
      <c r="Q13" s="458"/>
      <c r="R13" s="458"/>
      <c r="S13" s="458"/>
      <c r="T13" s="458"/>
      <c r="U13" s="458"/>
      <c r="V13" s="458"/>
      <c r="W13" s="458"/>
      <c r="X13" s="458"/>
      <c r="Y13" s="458"/>
      <c r="Z13" s="458"/>
      <c r="AA13" s="458"/>
      <c r="AB13" s="459"/>
      <c r="AC13" s="459"/>
      <c r="AD13" s="459"/>
      <c r="AE13" s="459"/>
      <c r="AF13" s="459"/>
      <c r="AG13" s="459"/>
      <c r="AH13" s="459"/>
      <c r="AI13" s="459"/>
      <c r="AJ13" s="459"/>
      <c r="AK13" s="459"/>
      <c r="AL13" s="459"/>
      <c r="AM13" s="459"/>
      <c r="AN13" s="459"/>
      <c r="AO13" s="459"/>
    </row>
    <row r="14" spans="1:41" ht="15.75">
      <c r="B14" s="455" t="s">
        <v>114</v>
      </c>
      <c r="L14" s="475"/>
    </row>
    <row r="15" spans="1:41">
      <c r="B15" s="451" t="s">
        <v>1026</v>
      </c>
      <c r="D15" s="460">
        <v>0</v>
      </c>
      <c r="E15" s="460"/>
      <c r="F15" s="460">
        <v>13519.64</v>
      </c>
      <c r="G15" s="460"/>
      <c r="H15" s="460">
        <v>4696.5200000000004</v>
      </c>
      <c r="I15" s="460"/>
      <c r="J15" s="460">
        <v>1387.37</v>
      </c>
      <c r="K15" s="460"/>
      <c r="L15" s="475"/>
      <c r="M15" s="460">
        <f>ROUND(SUM(D15:K15),2)</f>
        <v>19603.53</v>
      </c>
    </row>
    <row r="16" spans="1:41" s="455" customFormat="1" ht="15.75">
      <c r="B16" s="455" t="s">
        <v>430</v>
      </c>
      <c r="C16" s="454"/>
      <c r="D16" s="630">
        <f>ROUND(SUM(D15:D15),2)</f>
        <v>0</v>
      </c>
      <c r="E16" s="478"/>
      <c r="F16" s="630">
        <f>ROUND(SUM(F15:F15),2)</f>
        <v>13519.64</v>
      </c>
      <c r="G16" s="478"/>
      <c r="H16" s="630">
        <f>ROUND(SUM(H15:H15),2)</f>
        <v>4696.5200000000004</v>
      </c>
      <c r="I16" s="478"/>
      <c r="J16" s="630">
        <f>ROUND(SUM(J15:J15),2)</f>
        <v>1387.37</v>
      </c>
      <c r="K16" s="478"/>
      <c r="L16" s="475"/>
      <c r="M16" s="630">
        <f>ROUND(SUM(M15:M15),2)</f>
        <v>19603.53</v>
      </c>
      <c r="N16" s="454"/>
      <c r="O16" s="447"/>
      <c r="P16" s="454"/>
    </row>
    <row r="17" spans="2:16">
      <c r="D17" s="460"/>
      <c r="E17" s="460"/>
      <c r="F17" s="460"/>
      <c r="G17" s="460"/>
      <c r="H17" s="460"/>
      <c r="I17" s="460"/>
      <c r="J17" s="460"/>
      <c r="K17" s="460"/>
      <c r="L17" s="475"/>
      <c r="M17" s="631"/>
    </row>
    <row r="18" spans="2:16" ht="15.75">
      <c r="B18" s="455" t="s">
        <v>1050</v>
      </c>
      <c r="D18" s="460"/>
      <c r="E18" s="460"/>
      <c r="F18" s="460"/>
      <c r="G18" s="460"/>
      <c r="H18" s="460"/>
      <c r="I18" s="460"/>
      <c r="J18" s="460"/>
      <c r="K18" s="460"/>
      <c r="L18" s="475"/>
      <c r="M18" s="460"/>
    </row>
    <row r="19" spans="2:16">
      <c r="B19" s="451" t="s">
        <v>1051</v>
      </c>
      <c r="D19" s="460">
        <v>0</v>
      </c>
      <c r="E19" s="460"/>
      <c r="F19" s="460">
        <v>-226087232.63999999</v>
      </c>
      <c r="G19" s="460"/>
      <c r="H19" s="460">
        <v>-37236547.969999999</v>
      </c>
      <c r="I19" s="460"/>
      <c r="J19" s="460">
        <v>-37236547.969999999</v>
      </c>
      <c r="K19" s="460"/>
      <c r="L19" s="475"/>
      <c r="M19" s="460">
        <f>ROUND(SUM(D19:K19),2)</f>
        <v>-300560328.57999998</v>
      </c>
    </row>
    <row r="20" spans="2:16">
      <c r="B20" s="451" t="s">
        <v>1052</v>
      </c>
      <c r="D20" s="460">
        <v>0</v>
      </c>
      <c r="E20" s="460"/>
      <c r="F20" s="460">
        <v>0</v>
      </c>
      <c r="G20" s="460"/>
      <c r="H20" s="460">
        <v>0</v>
      </c>
      <c r="I20" s="460"/>
      <c r="J20" s="460">
        <v>0</v>
      </c>
      <c r="K20" s="460"/>
      <c r="L20" s="475"/>
      <c r="M20" s="460">
        <f>ROUND(SUM(D20:K20),2)</f>
        <v>0</v>
      </c>
    </row>
    <row r="21" spans="2:16">
      <c r="B21" s="451" t="s">
        <v>1053</v>
      </c>
      <c r="D21" s="460">
        <v>0</v>
      </c>
      <c r="E21" s="460"/>
      <c r="F21" s="460">
        <v>26237224.559999999</v>
      </c>
      <c r="G21" s="460"/>
      <c r="H21" s="460">
        <v>4087464.31</v>
      </c>
      <c r="I21" s="460"/>
      <c r="J21" s="460">
        <v>4066580.04</v>
      </c>
      <c r="K21" s="460"/>
      <c r="L21" s="476"/>
      <c r="M21" s="460">
        <f>ROUND(SUM(D21:K21),2)</f>
        <v>34391268.909999996</v>
      </c>
    </row>
    <row r="22" spans="2:16" s="455" customFormat="1" ht="15.75">
      <c r="B22" s="461" t="s">
        <v>1054</v>
      </c>
      <c r="C22" s="454"/>
      <c r="D22" s="632">
        <f>ROUND(SUM(D18:D21),2)</f>
        <v>0</v>
      </c>
      <c r="E22" s="478"/>
      <c r="F22" s="632">
        <f>ROUND(SUM(F18:F21),2)</f>
        <v>-199850008.08000001</v>
      </c>
      <c r="G22" s="478"/>
      <c r="H22" s="632">
        <f>ROUND(SUM(H18:H21),2)</f>
        <v>-33149083.66</v>
      </c>
      <c r="I22" s="478"/>
      <c r="J22" s="632">
        <f>ROUND(SUM(J18:J21),2)</f>
        <v>-33169967.93</v>
      </c>
      <c r="K22" s="478"/>
      <c r="L22" s="477"/>
      <c r="M22" s="632">
        <f>ROUND(SUM(M18:M21),2)</f>
        <v>-266169059.66999999</v>
      </c>
      <c r="N22" s="454"/>
      <c r="O22" s="447"/>
      <c r="P22" s="454"/>
    </row>
    <row r="23" spans="2:16">
      <c r="B23" s="462"/>
      <c r="D23" s="631"/>
      <c r="E23" s="460"/>
      <c r="F23" s="631"/>
      <c r="G23" s="460"/>
      <c r="H23" s="631"/>
      <c r="I23" s="460"/>
      <c r="J23" s="631"/>
      <c r="K23" s="460"/>
      <c r="L23" s="475"/>
      <c r="M23" s="631"/>
    </row>
    <row r="24" spans="2:16" s="455" customFormat="1" ht="15.75">
      <c r="B24" s="455" t="s">
        <v>1055</v>
      </c>
      <c r="C24" s="454"/>
      <c r="D24" s="463">
        <f>ROUND(+D16+D22,2)</f>
        <v>0</v>
      </c>
      <c r="E24" s="463"/>
      <c r="F24" s="463">
        <f>ROUND(+F16+F22,2)</f>
        <v>-199836488.44</v>
      </c>
      <c r="G24" s="463"/>
      <c r="H24" s="463">
        <f>ROUND(+H16+H22,2)</f>
        <v>-33144387.140000001</v>
      </c>
      <c r="I24" s="463"/>
      <c r="J24" s="463">
        <f>ROUND(+J16+J22,2)</f>
        <v>-33168580.559999999</v>
      </c>
      <c r="K24" s="463"/>
      <c r="L24" s="475"/>
      <c r="M24" s="463">
        <f>ROUND(+M16+M22,2)</f>
        <v>-266149456.13999999</v>
      </c>
      <c r="N24" s="454"/>
      <c r="O24" s="447"/>
      <c r="P24" s="454"/>
    </row>
    <row r="25" spans="2:16">
      <c r="D25" s="631"/>
      <c r="E25" s="460"/>
      <c r="F25" s="631"/>
      <c r="G25" s="460"/>
      <c r="H25" s="631"/>
      <c r="I25" s="460"/>
      <c r="J25" s="631"/>
      <c r="K25" s="460"/>
      <c r="L25" s="475"/>
      <c r="M25" s="631"/>
    </row>
    <row r="26" spans="2:16" ht="15.75">
      <c r="B26" s="455" t="s">
        <v>145</v>
      </c>
      <c r="D26" s="460"/>
      <c r="E26" s="460"/>
      <c r="F26" s="460"/>
      <c r="G26" s="460"/>
      <c r="H26" s="460"/>
      <c r="I26" s="460"/>
      <c r="J26" s="460"/>
      <c r="K26" s="460"/>
      <c r="L26" s="475"/>
      <c r="M26" s="460"/>
    </row>
    <row r="27" spans="2:16" ht="15.75">
      <c r="B27" s="455" t="s">
        <v>1034</v>
      </c>
      <c r="D27" s="460"/>
      <c r="E27" s="460"/>
      <c r="F27" s="460"/>
      <c r="G27" s="460"/>
      <c r="H27" s="460"/>
      <c r="I27" s="460"/>
      <c r="J27" s="460"/>
      <c r="K27" s="460"/>
      <c r="L27" s="476"/>
      <c r="M27" s="460"/>
    </row>
    <row r="28" spans="2:16" ht="15.75">
      <c r="B28" s="451" t="s">
        <v>1056</v>
      </c>
      <c r="D28" s="460">
        <v>0</v>
      </c>
      <c r="E28" s="460"/>
      <c r="F28" s="460">
        <v>0</v>
      </c>
      <c r="G28" s="460"/>
      <c r="H28" s="460">
        <v>0</v>
      </c>
      <c r="I28" s="460"/>
      <c r="J28" s="460">
        <v>0</v>
      </c>
      <c r="K28" s="460"/>
      <c r="L28" s="477"/>
      <c r="M28" s="460">
        <f>ROUND(SUM(D28:K28),2)</f>
        <v>0</v>
      </c>
    </row>
    <row r="29" spans="2:16">
      <c r="B29" s="451" t="s">
        <v>1041</v>
      </c>
      <c r="D29" s="460">
        <v>0</v>
      </c>
      <c r="E29" s="460"/>
      <c r="F29" s="460">
        <v>0</v>
      </c>
      <c r="G29" s="460"/>
      <c r="H29" s="460">
        <v>0</v>
      </c>
      <c r="I29" s="460"/>
      <c r="J29" s="460">
        <v>0</v>
      </c>
      <c r="K29" s="460"/>
      <c r="L29" s="475"/>
      <c r="M29" s="460">
        <f>ROUND(SUM(D29:K29),2)</f>
        <v>0</v>
      </c>
    </row>
    <row r="30" spans="2:16" ht="15.75">
      <c r="B30" s="455" t="s">
        <v>1037</v>
      </c>
      <c r="D30" s="460"/>
      <c r="E30" s="460"/>
      <c r="F30" s="460"/>
      <c r="G30" s="460"/>
      <c r="H30" s="460"/>
      <c r="I30" s="460"/>
      <c r="J30" s="460"/>
      <c r="K30" s="460"/>
      <c r="L30" s="480"/>
      <c r="M30" s="460"/>
    </row>
    <row r="31" spans="2:16">
      <c r="B31" s="451" t="s">
        <v>1057</v>
      </c>
      <c r="D31" s="460">
        <v>0</v>
      </c>
      <c r="E31" s="460"/>
      <c r="F31" s="460">
        <v>113043616.34</v>
      </c>
      <c r="G31" s="460"/>
      <c r="H31" s="460">
        <v>18618273.989999998</v>
      </c>
      <c r="I31" s="460"/>
      <c r="J31" s="460">
        <v>18618273.989999998</v>
      </c>
      <c r="K31" s="460"/>
      <c r="L31" s="475"/>
      <c r="M31" s="460">
        <f>ROUND(SUM(D31:K31),2)</f>
        <v>150280164.31999999</v>
      </c>
    </row>
    <row r="32" spans="2:16">
      <c r="B32" s="451" t="s">
        <v>1058</v>
      </c>
      <c r="D32" s="460">
        <v>0</v>
      </c>
      <c r="E32" s="460"/>
      <c r="F32" s="460">
        <v>-26237224.559999999</v>
      </c>
      <c r="G32" s="460"/>
      <c r="H32" s="460">
        <v>-4087464.31</v>
      </c>
      <c r="I32" s="460"/>
      <c r="J32" s="460">
        <v>-4066580.04</v>
      </c>
      <c r="K32" s="460"/>
      <c r="L32" s="475"/>
      <c r="M32" s="460">
        <f>ROUND(SUM(D32:K32),2)</f>
        <v>-34391268.909999996</v>
      </c>
    </row>
    <row r="33" spans="2:46">
      <c r="B33" s="451" t="s">
        <v>1059</v>
      </c>
      <c r="D33" s="460">
        <v>0</v>
      </c>
      <c r="E33" s="460"/>
      <c r="F33" s="460">
        <v>113043616.3</v>
      </c>
      <c r="G33" s="460"/>
      <c r="H33" s="460">
        <v>18618273.98</v>
      </c>
      <c r="I33" s="460"/>
      <c r="J33" s="460">
        <v>18618273.98</v>
      </c>
      <c r="K33" s="460"/>
      <c r="L33" s="475"/>
      <c r="M33" s="460">
        <f>ROUND(SUM(D33:K33),2)</f>
        <v>150280164.25999999</v>
      </c>
    </row>
    <row r="34" spans="2:46">
      <c r="B34" s="451" t="s">
        <v>1053</v>
      </c>
      <c r="D34" s="1271">
        <v>0</v>
      </c>
      <c r="E34" s="460"/>
      <c r="F34" s="1271">
        <v>0</v>
      </c>
      <c r="G34" s="460"/>
      <c r="H34" s="1271">
        <v>0</v>
      </c>
      <c r="I34" s="460"/>
      <c r="J34" s="1271">
        <v>0</v>
      </c>
      <c r="K34" s="460"/>
      <c r="L34" s="475"/>
      <c r="M34" s="460">
        <f>ROUND(SUM(D34:F34),2)</f>
        <v>0</v>
      </c>
    </row>
    <row r="35" spans="2:46" s="455" customFormat="1" ht="15.75">
      <c r="B35" s="455" t="s">
        <v>1039</v>
      </c>
      <c r="C35" s="454"/>
      <c r="D35" s="633">
        <f>ROUND(SUM(D28:D34),2)</f>
        <v>0</v>
      </c>
      <c r="E35" s="478"/>
      <c r="F35" s="633">
        <f>ROUND(SUM(F28:F34),2)</f>
        <v>199850008.08000001</v>
      </c>
      <c r="G35" s="478"/>
      <c r="H35" s="633">
        <f>ROUND(SUM(H28:H34),2)</f>
        <v>33149083.66</v>
      </c>
      <c r="I35" s="478"/>
      <c r="J35" s="633">
        <f>ROUND(SUM(J28:J34),2)</f>
        <v>33169967.93</v>
      </c>
      <c r="K35" s="478"/>
      <c r="L35" s="475"/>
      <c r="M35" s="633">
        <f>ROUND(SUM(M28:M34),2)</f>
        <v>266169059.66999999</v>
      </c>
      <c r="N35" s="454"/>
      <c r="O35" s="447"/>
      <c r="P35" s="454"/>
    </row>
    <row r="36" spans="2:46">
      <c r="D36" s="460"/>
      <c r="E36" s="460"/>
      <c r="F36" s="460"/>
      <c r="G36" s="460"/>
      <c r="H36" s="460"/>
      <c r="I36" s="460"/>
      <c r="J36" s="460"/>
      <c r="K36" s="460"/>
      <c r="L36" s="475"/>
      <c r="M36" s="460"/>
    </row>
    <row r="37" spans="2:46" ht="15.75">
      <c r="B37" s="455" t="s">
        <v>1040</v>
      </c>
      <c r="D37" s="460"/>
      <c r="E37" s="460"/>
      <c r="F37" s="460"/>
      <c r="G37" s="460"/>
      <c r="H37" s="460"/>
      <c r="I37" s="460"/>
      <c r="J37" s="460"/>
      <c r="K37" s="460"/>
      <c r="L37" s="475"/>
      <c r="M37" s="460"/>
    </row>
    <row r="38" spans="2:46" ht="15.75">
      <c r="B38" s="446" t="s">
        <v>1056</v>
      </c>
      <c r="D38" s="464">
        <v>0</v>
      </c>
      <c r="E38" s="464"/>
      <c r="F38" s="464">
        <v>0</v>
      </c>
      <c r="G38" s="464"/>
      <c r="H38" s="464">
        <v>0</v>
      </c>
      <c r="I38" s="464"/>
      <c r="J38" s="464">
        <v>0</v>
      </c>
      <c r="K38" s="464"/>
      <c r="L38" s="477"/>
      <c r="M38" s="460">
        <f>ROUND(SUM(D38:K38),2)</f>
        <v>0</v>
      </c>
    </row>
    <row r="39" spans="2:46">
      <c r="B39" s="446" t="s">
        <v>1041</v>
      </c>
      <c r="D39" s="460">
        <v>0</v>
      </c>
      <c r="E39" s="460"/>
      <c r="F39" s="460">
        <v>0</v>
      </c>
      <c r="G39" s="460"/>
      <c r="H39" s="460">
        <v>0</v>
      </c>
      <c r="I39" s="460"/>
      <c r="J39" s="460">
        <v>0</v>
      </c>
      <c r="K39" s="460"/>
      <c r="L39" s="475"/>
      <c r="M39" s="460">
        <f>ROUND(SUM(D39:K39),2)</f>
        <v>0</v>
      </c>
    </row>
    <row r="40" spans="2:46" ht="15.75">
      <c r="B40" s="455" t="s">
        <v>1042</v>
      </c>
      <c r="D40" s="460"/>
      <c r="E40" s="460"/>
      <c r="F40" s="460"/>
      <c r="G40" s="460"/>
      <c r="H40" s="460"/>
      <c r="I40" s="460"/>
      <c r="J40" s="460"/>
      <c r="K40" s="460"/>
      <c r="L40" s="475"/>
      <c r="M40" s="460"/>
    </row>
    <row r="41" spans="2:46">
      <c r="B41" s="451" t="s">
        <v>1060</v>
      </c>
      <c r="D41" s="460">
        <v>-57369.599999999999</v>
      </c>
      <c r="E41" s="460"/>
      <c r="F41" s="460">
        <v>-7083.6</v>
      </c>
      <c r="G41" s="460"/>
      <c r="H41" s="460">
        <v>-6436.04</v>
      </c>
      <c r="I41" s="460"/>
      <c r="J41" s="460">
        <v>-4696.5200000000004</v>
      </c>
      <c r="K41" s="460"/>
      <c r="L41" s="475"/>
      <c r="M41" s="460">
        <f>ROUND(SUM(D41:K41),2)</f>
        <v>-75585.759999999995</v>
      </c>
    </row>
    <row r="42" spans="2:46">
      <c r="B42" s="951" t="s">
        <v>1061</v>
      </c>
      <c r="D42" s="1271">
        <v>0</v>
      </c>
      <c r="E42" s="460"/>
      <c r="F42" s="1271">
        <v>0</v>
      </c>
      <c r="G42" s="460"/>
      <c r="H42" s="1271">
        <v>0</v>
      </c>
      <c r="I42" s="460"/>
      <c r="J42" s="1271">
        <v>0</v>
      </c>
      <c r="K42" s="460"/>
      <c r="L42" s="475"/>
      <c r="M42" s="460">
        <f>ROUND(SUM(D42:K42),2)</f>
        <v>0</v>
      </c>
    </row>
    <row r="43" spans="2:46" s="455" customFormat="1" ht="15.75">
      <c r="B43" s="455" t="s">
        <v>1043</v>
      </c>
      <c r="C43" s="454"/>
      <c r="D43" s="633">
        <f>SUM(D38:D42)</f>
        <v>-57369.599999999999</v>
      </c>
      <c r="E43" s="478"/>
      <c r="F43" s="633">
        <f>SUM(F38:F42)</f>
        <v>-7083.6</v>
      </c>
      <c r="G43" s="478"/>
      <c r="H43" s="633">
        <f>SUM(H38:H42)</f>
        <v>-6436.04</v>
      </c>
      <c r="I43" s="478"/>
      <c r="J43" s="633">
        <f>SUM(J38:J42)</f>
        <v>-4696.5200000000004</v>
      </c>
      <c r="K43" s="478"/>
      <c r="L43" s="475"/>
      <c r="M43" s="633">
        <f>SUM(M38:M42)</f>
        <v>-75585.759999999995</v>
      </c>
      <c r="N43" s="454"/>
      <c r="O43" s="447"/>
      <c r="P43" s="454"/>
    </row>
    <row r="44" spans="2:46">
      <c r="D44" s="460"/>
      <c r="E44" s="460"/>
      <c r="F44" s="460"/>
      <c r="G44" s="460"/>
      <c r="H44" s="460"/>
      <c r="I44" s="460"/>
      <c r="J44" s="460"/>
      <c r="K44" s="460"/>
      <c r="L44" s="475"/>
      <c r="M44" s="460"/>
    </row>
    <row r="45" spans="2:46" ht="15.75">
      <c r="B45" s="455" t="s">
        <v>1062</v>
      </c>
      <c r="D45" s="460"/>
      <c r="E45" s="460"/>
      <c r="F45" s="460"/>
      <c r="G45" s="460"/>
      <c r="H45" s="460"/>
      <c r="I45" s="460"/>
      <c r="J45" s="460"/>
      <c r="K45" s="460"/>
      <c r="L45" s="475"/>
      <c r="M45" s="460"/>
    </row>
    <row r="46" spans="2:46" ht="15.75">
      <c r="B46" s="455" t="s">
        <v>1063</v>
      </c>
      <c r="D46" s="1272">
        <f>ROUND(+D24+D35+D43,2)</f>
        <v>-57369.599999999999</v>
      </c>
      <c r="E46" s="463"/>
      <c r="F46" s="1272">
        <f>ROUND(+F24+F35+F43,2)</f>
        <v>6436.04</v>
      </c>
      <c r="G46" s="463"/>
      <c r="H46" s="1272">
        <f>ROUND(+H24+H35+H43,2)</f>
        <v>-1739.52</v>
      </c>
      <c r="I46" s="463"/>
      <c r="J46" s="1272">
        <f>ROUND(+J24+J35+J43,2)</f>
        <v>-3309.15</v>
      </c>
      <c r="K46" s="463"/>
      <c r="L46" s="475"/>
      <c r="M46" s="1104">
        <f>ROUND(+M24+M35+M43,2)</f>
        <v>-55982.23</v>
      </c>
    </row>
    <row r="47" spans="2:46" ht="15.75">
      <c r="L47" s="477"/>
      <c r="M47" s="465"/>
    </row>
    <row r="48" spans="2:46" s="455" customFormat="1" ht="16.5" thickBot="1">
      <c r="B48" s="455" t="s">
        <v>1046</v>
      </c>
      <c r="C48" s="466"/>
      <c r="D48" s="1273">
        <f>ROUND(D12+D46,2)</f>
        <v>0</v>
      </c>
      <c r="E48" s="1354"/>
      <c r="F48" s="1273">
        <f>ROUND(F12+F46,2)</f>
        <v>6436.04</v>
      </c>
      <c r="G48" s="1354"/>
      <c r="H48" s="1273">
        <f>ROUND(H12+H46,2)</f>
        <v>4696.5200000000004</v>
      </c>
      <c r="I48" s="1354"/>
      <c r="J48" s="1273">
        <f>ROUND(J12+J46,2)</f>
        <v>1387.37</v>
      </c>
      <c r="K48" s="1354"/>
      <c r="L48" s="475"/>
      <c r="M48" s="1105">
        <f>ROUND(M12+M46,2)</f>
        <v>1387.37</v>
      </c>
      <c r="N48" s="454"/>
      <c r="O48" s="447"/>
      <c r="P48" s="454"/>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row>
    <row r="49" spans="2:12" ht="15.75" thickTop="1">
      <c r="B49" s="446" t="s">
        <v>103</v>
      </c>
      <c r="K49" s="460"/>
      <c r="L49" s="460"/>
    </row>
    <row r="50" spans="2:12" ht="15.75">
      <c r="B50" s="451" t="s">
        <v>1047</v>
      </c>
      <c r="K50" s="478"/>
      <c r="L50" s="478"/>
    </row>
    <row r="51" spans="2:12">
      <c r="B51" s="462"/>
    </row>
    <row r="52" spans="2:12" ht="15.75">
      <c r="K52" s="457"/>
      <c r="L52" s="457"/>
    </row>
    <row r="59" spans="2:12" ht="15.75">
      <c r="B59" s="468"/>
      <c r="C59" s="454"/>
      <c r="D59" s="454"/>
      <c r="E59" s="454"/>
      <c r="F59" s="454"/>
      <c r="G59" s="454"/>
      <c r="H59" s="454"/>
      <c r="I59" s="454"/>
      <c r="J59" s="454"/>
    </row>
    <row r="61" spans="2:12" ht="15.75">
      <c r="C61" s="454"/>
    </row>
  </sheetData>
  <printOptions horizontalCentered="1"/>
  <pageMargins left="0.24" right="0.24" top="0.5" bottom="0.5" header="0.18" footer="0.25"/>
  <pageSetup scale="70"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70" workbookViewId="0"/>
  </sheetViews>
  <sheetFormatPr defaultColWidth="8.88671875" defaultRowHeight="12.75"/>
  <cols>
    <col min="1" max="1" width="54.88671875" style="124" customWidth="1"/>
    <col min="2" max="2" width="1.88671875" style="124" customWidth="1"/>
    <col min="3" max="3" width="11.88671875" style="124" customWidth="1"/>
    <col min="4" max="4" width="1.88671875" style="124" customWidth="1"/>
    <col min="5" max="5" width="11.88671875" style="124" customWidth="1"/>
    <col min="6" max="6" width="1.88671875" style="124" customWidth="1"/>
    <col min="7" max="7" width="11.88671875" style="124" customWidth="1"/>
    <col min="8" max="8" width="1.88671875" style="124" customWidth="1"/>
    <col min="9" max="9" width="11.88671875" style="124" customWidth="1"/>
    <col min="10" max="10" width="1.88671875" style="124" customWidth="1"/>
    <col min="11" max="11" width="11.88671875" style="124" customWidth="1"/>
    <col min="12" max="12" width="1.88671875" style="124" customWidth="1"/>
    <col min="13" max="13" width="14.88671875" style="124" customWidth="1"/>
    <col min="14" max="14" width="1.88671875" style="124" customWidth="1"/>
    <col min="15" max="15" width="14" style="124" customWidth="1"/>
    <col min="16" max="16" width="1.88671875" style="124" customWidth="1"/>
    <col min="17" max="17" width="14.88671875" style="124" customWidth="1"/>
    <col min="18" max="18" width="1.88671875" style="124" customWidth="1"/>
    <col min="19" max="19" width="13.5546875" style="124" bestFit="1" customWidth="1"/>
    <col min="20" max="20" width="1.88671875" style="124" customWidth="1"/>
    <col min="21" max="21" width="12.88671875" style="124" customWidth="1"/>
    <col min="22" max="22" width="1.88671875" style="124" customWidth="1"/>
    <col min="23" max="23" width="12.88671875" style="124" customWidth="1"/>
    <col min="24" max="24" width="1.88671875" style="124" customWidth="1"/>
    <col min="25" max="25" width="12.88671875" style="124" customWidth="1"/>
    <col min="26" max="26" width="1.88671875" style="124" customWidth="1"/>
    <col min="27" max="27" width="14.109375" style="125" customWidth="1"/>
    <col min="28" max="28" width="3.88671875" style="124" customWidth="1"/>
    <col min="29" max="29" width="5.88671875" style="124" customWidth="1"/>
    <col min="30" max="30" width="10.109375" style="124" customWidth="1"/>
    <col min="31" max="31" width="2.88671875" style="124" customWidth="1"/>
    <col min="32" max="16384" width="8.88671875" style="124"/>
  </cols>
  <sheetData>
    <row r="1" spans="1:29" ht="15">
      <c r="A1" s="270" t="s">
        <v>97</v>
      </c>
    </row>
    <row r="2" spans="1:29" ht="20.25">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25">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1064</v>
      </c>
      <c r="AB4" s="440"/>
      <c r="AC4" s="123"/>
    </row>
    <row r="5" spans="1:29" s="123" customFormat="1" ht="18">
      <c r="A5" s="275" t="s">
        <v>1065</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1066</v>
      </c>
      <c r="B7" s="1233"/>
      <c r="C7" s="1233"/>
      <c r="D7" s="1233"/>
      <c r="E7" s="1233"/>
      <c r="F7" s="1233"/>
      <c r="G7" s="1233"/>
      <c r="H7" s="1233"/>
      <c r="I7" s="1233"/>
      <c r="J7"/>
      <c r="K7"/>
      <c r="L7"/>
      <c r="M7"/>
      <c r="N7"/>
      <c r="O7"/>
      <c r="P7"/>
      <c r="Q7"/>
      <c r="R7" s="271"/>
      <c r="S7" s="271"/>
      <c r="T7" s="271"/>
      <c r="U7" s="271"/>
      <c r="V7" s="271"/>
      <c r="W7" s="271"/>
      <c r="X7" s="271"/>
      <c r="Y7" s="271"/>
      <c r="Z7" s="271"/>
      <c r="AA7"/>
      <c r="AB7" s="440"/>
    </row>
    <row r="8" spans="1:29" s="123" customFormat="1" ht="15.75">
      <c r="A8" s="272"/>
      <c r="B8" s="1233"/>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7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Share'!M10</f>
        <v>2025-2026</v>
      </c>
      <c r="AB10" s="443"/>
    </row>
    <row r="11" spans="1:29" s="123" customFormat="1" ht="18">
      <c r="A11" s="271"/>
      <c r="B11" s="285"/>
      <c r="C11" s="1106" t="s">
        <v>332</v>
      </c>
      <c r="D11" s="331"/>
      <c r="E11" s="1106" t="s">
        <v>333</v>
      </c>
      <c r="F11" s="331"/>
      <c r="G11" s="1106" t="s">
        <v>334</v>
      </c>
      <c r="H11" s="331"/>
      <c r="I11" s="1106" t="s">
        <v>335</v>
      </c>
      <c r="J11" s="331"/>
      <c r="K11" s="1106" t="s">
        <v>336</v>
      </c>
      <c r="L11" s="331"/>
      <c r="M11" s="1106" t="s">
        <v>448</v>
      </c>
      <c r="N11" s="331"/>
      <c r="O11" s="1106" t="s">
        <v>449</v>
      </c>
      <c r="P11" s="331"/>
      <c r="Q11" s="1106" t="s">
        <v>339</v>
      </c>
      <c r="R11" s="331"/>
      <c r="S11" s="1106" t="s">
        <v>340</v>
      </c>
      <c r="T11" s="331"/>
      <c r="U11" s="1106" t="s">
        <v>341</v>
      </c>
      <c r="V11" s="331"/>
      <c r="W11" s="1106" t="s">
        <v>342</v>
      </c>
      <c r="X11" s="331"/>
      <c r="Y11" s="1106" t="s">
        <v>450</v>
      </c>
      <c r="Z11" s="275"/>
      <c r="AA11" s="1106" t="s">
        <v>1010</v>
      </c>
      <c r="AB11" s="440"/>
    </row>
    <row r="12" spans="1:29" s="123" customFormat="1" ht="18">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6"/>
      <c r="AC12" s="627"/>
    </row>
    <row r="13" spans="1:29" s="123" customFormat="1" ht="18">
      <c r="A13" s="286" t="s">
        <v>1067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6"/>
      <c r="AC13" s="628"/>
    </row>
    <row r="14" spans="1:29" s="123" customFormat="1" ht="18">
      <c r="A14" s="271" t="s">
        <v>1068</v>
      </c>
      <c r="B14" s="285"/>
      <c r="C14" s="338">
        <v>0</v>
      </c>
      <c r="D14" s="338"/>
      <c r="E14" s="338">
        <v>0</v>
      </c>
      <c r="F14" s="338"/>
      <c r="G14" s="692">
        <v>0</v>
      </c>
      <c r="H14" s="338"/>
      <c r="I14" s="692">
        <v>0</v>
      </c>
      <c r="J14" s="339"/>
      <c r="K14" s="692">
        <v>0</v>
      </c>
      <c r="L14" s="338"/>
      <c r="M14" s="692">
        <v>0</v>
      </c>
      <c r="N14" s="339"/>
      <c r="O14" s="692">
        <v>0</v>
      </c>
      <c r="P14" s="339"/>
      <c r="Q14" s="692">
        <v>0</v>
      </c>
      <c r="R14" s="339"/>
      <c r="S14" s="692"/>
      <c r="T14" s="339"/>
      <c r="U14" s="692"/>
      <c r="V14" s="339"/>
      <c r="W14" s="692"/>
      <c r="X14" s="339"/>
      <c r="Y14" s="692"/>
      <c r="Z14" s="285"/>
      <c r="AA14" s="832">
        <f>SUM(C14:Z14)</f>
        <v>0</v>
      </c>
      <c r="AB14" s="626"/>
      <c r="AC14" s="628"/>
    </row>
    <row r="15" spans="1:29" s="123" customFormat="1" ht="18">
      <c r="A15" s="271" t="s">
        <v>1069</v>
      </c>
      <c r="B15" s="285"/>
      <c r="C15" s="340">
        <v>0</v>
      </c>
      <c r="D15" s="341"/>
      <c r="E15" s="341">
        <v>0</v>
      </c>
      <c r="F15" s="341"/>
      <c r="G15" s="344">
        <v>0</v>
      </c>
      <c r="H15" s="341"/>
      <c r="I15" s="344">
        <v>0</v>
      </c>
      <c r="J15" s="342"/>
      <c r="K15" s="344">
        <v>0</v>
      </c>
      <c r="L15" s="341"/>
      <c r="M15" s="344">
        <v>0</v>
      </c>
      <c r="N15" s="342"/>
      <c r="O15" s="344">
        <v>0</v>
      </c>
      <c r="P15" s="342"/>
      <c r="Q15" s="344">
        <v>0</v>
      </c>
      <c r="R15" s="342"/>
      <c r="S15" s="344"/>
      <c r="T15" s="342"/>
      <c r="U15" s="344"/>
      <c r="V15" s="342"/>
      <c r="W15" s="344"/>
      <c r="X15" s="342"/>
      <c r="Y15" s="344"/>
      <c r="Z15" s="285"/>
      <c r="AA15" s="547">
        <f>SUM(C15:Z15)</f>
        <v>0</v>
      </c>
      <c r="AB15" s="626"/>
      <c r="AC15" s="628"/>
    </row>
    <row r="16" spans="1:29" s="123" customFormat="1" ht="18">
      <c r="A16" s="271" t="s">
        <v>1070</v>
      </c>
      <c r="B16" s="285"/>
      <c r="C16" s="340">
        <v>0</v>
      </c>
      <c r="D16" s="341"/>
      <c r="E16" s="341">
        <v>0</v>
      </c>
      <c r="F16" s="341"/>
      <c r="G16" s="344">
        <v>1</v>
      </c>
      <c r="H16" s="341"/>
      <c r="I16" s="344">
        <v>0</v>
      </c>
      <c r="J16" s="342"/>
      <c r="K16" s="344">
        <v>0</v>
      </c>
      <c r="L16" s="341"/>
      <c r="M16" s="344">
        <v>0</v>
      </c>
      <c r="N16" s="342"/>
      <c r="O16" s="344">
        <v>0</v>
      </c>
      <c r="P16" s="342"/>
      <c r="Q16" s="344">
        <v>0</v>
      </c>
      <c r="R16" s="342"/>
      <c r="S16" s="344"/>
      <c r="T16" s="342"/>
      <c r="U16" s="344"/>
      <c r="V16" s="342"/>
      <c r="W16" s="344"/>
      <c r="X16" s="342"/>
      <c r="Y16" s="344"/>
      <c r="Z16" s="285"/>
      <c r="AA16" s="547">
        <f t="shared" ref="AA16:AA19" si="0">SUM(C16:Z16)</f>
        <v>1</v>
      </c>
      <c r="AB16" s="444"/>
      <c r="AC16" s="628"/>
    </row>
    <row r="17" spans="1:29" s="123" customFormat="1" ht="18">
      <c r="A17" s="271" t="s">
        <v>1071</v>
      </c>
      <c r="B17" s="285"/>
      <c r="C17" s="344">
        <v>0</v>
      </c>
      <c r="D17" s="341"/>
      <c r="E17" s="343">
        <v>0</v>
      </c>
      <c r="F17" s="341"/>
      <c r="G17" s="343">
        <v>0</v>
      </c>
      <c r="H17" s="341"/>
      <c r="I17" s="343">
        <v>0</v>
      </c>
      <c r="J17" s="342"/>
      <c r="K17" s="343">
        <v>0</v>
      </c>
      <c r="L17" s="341"/>
      <c r="M17" s="343">
        <v>0</v>
      </c>
      <c r="N17" s="342"/>
      <c r="O17" s="343">
        <v>0</v>
      </c>
      <c r="P17" s="342"/>
      <c r="Q17" s="343">
        <v>0</v>
      </c>
      <c r="R17" s="342"/>
      <c r="S17" s="343"/>
      <c r="T17" s="342"/>
      <c r="U17" s="343"/>
      <c r="V17" s="342"/>
      <c r="W17" s="343"/>
      <c r="X17" s="342"/>
      <c r="Y17" s="343"/>
      <c r="Z17" s="285"/>
      <c r="AA17" s="547">
        <f t="shared" si="0"/>
        <v>0</v>
      </c>
      <c r="AB17" s="444"/>
      <c r="AC17" s="628"/>
    </row>
    <row r="18" spans="1:29" s="123" customFormat="1" ht="18">
      <c r="A18" s="271" t="s">
        <v>1072</v>
      </c>
      <c r="B18" s="285"/>
      <c r="C18" s="340">
        <v>0</v>
      </c>
      <c r="D18" s="341"/>
      <c r="E18" s="341">
        <v>0</v>
      </c>
      <c r="F18" s="341"/>
      <c r="G18" s="344">
        <v>0</v>
      </c>
      <c r="H18" s="341"/>
      <c r="I18" s="344">
        <v>0</v>
      </c>
      <c r="J18" s="342"/>
      <c r="K18" s="344">
        <v>0</v>
      </c>
      <c r="L18" s="341"/>
      <c r="M18" s="344">
        <v>0</v>
      </c>
      <c r="N18" s="342"/>
      <c r="O18" s="344">
        <v>0</v>
      </c>
      <c r="P18" s="342"/>
      <c r="Q18" s="344">
        <v>0</v>
      </c>
      <c r="R18" s="342"/>
      <c r="S18" s="344"/>
      <c r="T18" s="342"/>
      <c r="U18" s="344"/>
      <c r="V18" s="342"/>
      <c r="W18" s="344"/>
      <c r="X18" s="342"/>
      <c r="Y18" s="344"/>
      <c r="Z18" s="285"/>
      <c r="AA18" s="547">
        <f t="shared" si="0"/>
        <v>0</v>
      </c>
      <c r="AB18" s="444"/>
      <c r="AC18" s="628"/>
    </row>
    <row r="19" spans="1:29" s="123" customFormat="1" ht="18">
      <c r="A19" s="271" t="s">
        <v>1073</v>
      </c>
      <c r="B19" s="285"/>
      <c r="C19" s="341">
        <v>0</v>
      </c>
      <c r="D19" s="341"/>
      <c r="E19" s="341">
        <v>0</v>
      </c>
      <c r="F19" s="341"/>
      <c r="G19" s="340">
        <v>0</v>
      </c>
      <c r="H19" s="341"/>
      <c r="I19" s="340">
        <v>0</v>
      </c>
      <c r="J19" s="342"/>
      <c r="K19" s="340">
        <v>0</v>
      </c>
      <c r="L19" s="341"/>
      <c r="M19" s="344">
        <v>0</v>
      </c>
      <c r="N19" s="342"/>
      <c r="O19" s="344">
        <v>0</v>
      </c>
      <c r="P19" s="342"/>
      <c r="Q19" s="344">
        <v>0</v>
      </c>
      <c r="R19" s="342"/>
      <c r="S19" s="344"/>
      <c r="T19" s="342"/>
      <c r="U19" s="344"/>
      <c r="V19" s="342"/>
      <c r="W19" s="344"/>
      <c r="X19" s="342"/>
      <c r="Y19" s="344"/>
      <c r="Z19" s="285"/>
      <c r="AA19" s="547">
        <f t="shared" si="0"/>
        <v>0</v>
      </c>
      <c r="AB19" s="444"/>
      <c r="AC19" s="628"/>
    </row>
    <row r="20" spans="1:29" s="123" customFormat="1" ht="18">
      <c r="A20" s="286" t="s">
        <v>1074</v>
      </c>
      <c r="B20" s="285"/>
      <c r="C20" s="1107">
        <f>ROUND(SUM(C14:C19),0)</f>
        <v>0</v>
      </c>
      <c r="D20" s="271"/>
      <c r="E20" s="1107">
        <f>ROUND(SUM(E14:E19),0)</f>
        <v>0</v>
      </c>
      <c r="F20" s="271"/>
      <c r="G20" s="1107">
        <f>ROUND(SUM(G14:G19),0)</f>
        <v>1</v>
      </c>
      <c r="H20" s="271"/>
      <c r="I20" s="1107">
        <f>ROUND(SUM(I14:I19),0)</f>
        <v>0</v>
      </c>
      <c r="J20" s="271"/>
      <c r="K20" s="1107">
        <f>ROUND(SUM(K14:K19),0)</f>
        <v>0</v>
      </c>
      <c r="L20" s="271"/>
      <c r="M20" s="1107">
        <f>ROUND(SUM(M14:M19),0)</f>
        <v>0</v>
      </c>
      <c r="N20" s="271"/>
      <c r="O20" s="1107">
        <f>ROUND(SUM(O14:O19),0)</f>
        <v>0</v>
      </c>
      <c r="P20" s="271"/>
      <c r="Q20" s="1107">
        <f>ROUND(SUM(Q14:Q19),0)</f>
        <v>0</v>
      </c>
      <c r="R20" s="271"/>
      <c r="S20" s="1107">
        <f>ROUND(SUM(S14:S19),0)</f>
        <v>0</v>
      </c>
      <c r="T20" s="271"/>
      <c r="U20" s="1107">
        <f>ROUND(SUM(U14:U19),0)</f>
        <v>0</v>
      </c>
      <c r="V20" s="271"/>
      <c r="W20" s="1107">
        <f>ROUND(SUM(W14:W19),0)</f>
        <v>0</v>
      </c>
      <c r="X20" s="271"/>
      <c r="Y20" s="1107">
        <f>ROUND(SUM(Y14:Y19),0)</f>
        <v>0</v>
      </c>
      <c r="Z20" s="271"/>
      <c r="AA20" s="1107">
        <f>ROUND(SUM(AA14:AA19),0)</f>
        <v>1</v>
      </c>
      <c r="AB20" s="444"/>
      <c r="AC20" s="628"/>
    </row>
    <row r="21" spans="1:29" s="123" customFormat="1" ht="18">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8"/>
    </row>
    <row r="22" spans="1:29" s="123" customFormat="1" ht="18">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8"/>
    </row>
    <row r="23" spans="1:29" ht="18">
      <c r="A23" s="271"/>
      <c r="B23" s="285"/>
      <c r="C23" s="285"/>
      <c r="D23" s="285"/>
      <c r="E23" s="285"/>
      <c r="F23" s="285"/>
      <c r="G23" s="285"/>
      <c r="H23" s="285"/>
      <c r="I23" s="285"/>
      <c r="J23" s="285"/>
      <c r="K23" s="285"/>
      <c r="L23" s="285"/>
      <c r="M23" s="285"/>
      <c r="N23" s="285"/>
      <c r="O23" s="285"/>
      <c r="P23" s="285"/>
      <c r="Q23" s="285"/>
      <c r="R23" s="285"/>
      <c r="S23" s="693"/>
      <c r="T23" s="285"/>
      <c r="U23" s="285"/>
      <c r="V23" s="285"/>
      <c r="W23" s="285"/>
      <c r="X23" s="285"/>
      <c r="Y23" s="285"/>
      <c r="Z23" s="285"/>
      <c r="AA23" s="271"/>
    </row>
    <row r="24" spans="1:29" s="126" customFormat="1" ht="18.75" thickBot="1">
      <c r="A24" s="286" t="s">
        <v>1075</v>
      </c>
      <c r="B24" s="285"/>
      <c r="C24" s="1108">
        <f>ROUND(C20,0)</f>
        <v>0</v>
      </c>
      <c r="D24" s="271"/>
      <c r="E24" s="1108">
        <f>ROUND(E20,0)</f>
        <v>0</v>
      </c>
      <c r="F24" s="271"/>
      <c r="G24" s="1108">
        <f>ROUND(G20,0)</f>
        <v>1</v>
      </c>
      <c r="H24" s="271"/>
      <c r="I24" s="1108">
        <f>ROUND(I20,0)</f>
        <v>0</v>
      </c>
      <c r="J24" s="271"/>
      <c r="K24" s="1108">
        <f>ROUND(K20,0)</f>
        <v>0</v>
      </c>
      <c r="L24" s="271"/>
      <c r="M24" s="1108">
        <f>ROUND(M20,0)</f>
        <v>0</v>
      </c>
      <c r="N24" s="271"/>
      <c r="O24" s="1108">
        <f>ROUND(O20,0)</f>
        <v>0</v>
      </c>
      <c r="P24" s="271"/>
      <c r="Q24" s="1108">
        <f>ROUND(Q20,0)</f>
        <v>0</v>
      </c>
      <c r="R24" s="271"/>
      <c r="S24" s="1108">
        <f>ROUND(S20,0)</f>
        <v>0</v>
      </c>
      <c r="T24" s="271"/>
      <c r="U24" s="1108">
        <f>ROUND(U20,0)</f>
        <v>0</v>
      </c>
      <c r="V24" s="271"/>
      <c r="W24" s="1108">
        <f>ROUND(W20,0)</f>
        <v>0</v>
      </c>
      <c r="X24" s="271"/>
      <c r="Y24" s="1108">
        <f>ROUND(Y20,0)</f>
        <v>0</v>
      </c>
      <c r="Z24" s="271"/>
      <c r="AA24" s="1108">
        <f>ROUND(AA20,0)</f>
        <v>1</v>
      </c>
    </row>
    <row r="25" spans="1:29" ht="15.75"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5" thickBot="1"/>
    <row r="27" spans="1:29" ht="20.100000000000001" customHeight="1">
      <c r="A27" s="2111" t="s">
        <v>1478</v>
      </c>
      <c r="B27" s="2112"/>
      <c r="C27" s="2112"/>
      <c r="D27" s="2112"/>
      <c r="E27" s="2112"/>
      <c r="F27" s="2112"/>
      <c r="G27" s="2112"/>
      <c r="H27" s="2112"/>
      <c r="I27" s="2112"/>
      <c r="J27" s="2112"/>
      <c r="K27" s="2112"/>
      <c r="L27" s="2112"/>
      <c r="M27" s="2112"/>
      <c r="N27" s="2112"/>
      <c r="O27" s="2112"/>
      <c r="P27" s="2112"/>
      <c r="Q27" s="2112"/>
      <c r="R27" s="2112"/>
      <c r="S27" s="2112"/>
      <c r="T27" s="2112"/>
      <c r="U27" s="2112"/>
      <c r="V27" s="2112"/>
      <c r="W27" s="2112"/>
      <c r="X27" s="2112"/>
      <c r="Y27" s="2112"/>
      <c r="Z27" s="2112"/>
      <c r="AA27" s="2113"/>
    </row>
    <row r="28" spans="1:29" ht="20.100000000000001" customHeight="1">
      <c r="A28" s="2114"/>
      <c r="B28" s="2115"/>
      <c r="C28" s="2115"/>
      <c r="D28" s="2115"/>
      <c r="E28" s="2115"/>
      <c r="F28" s="2115"/>
      <c r="G28" s="2115"/>
      <c r="H28" s="2115"/>
      <c r="I28" s="2115"/>
      <c r="J28" s="2115"/>
      <c r="K28" s="2115"/>
      <c r="L28" s="2115"/>
      <c r="M28" s="2115"/>
      <c r="N28" s="2115"/>
      <c r="O28" s="2115"/>
      <c r="P28" s="2115"/>
      <c r="Q28" s="2115"/>
      <c r="R28" s="2115"/>
      <c r="S28" s="2115"/>
      <c r="T28" s="2115"/>
      <c r="U28" s="2115"/>
      <c r="V28" s="2115"/>
      <c r="W28" s="2115"/>
      <c r="X28" s="2115"/>
      <c r="Y28" s="2115"/>
      <c r="Z28" s="2115"/>
      <c r="AA28" s="2116"/>
    </row>
    <row r="29" spans="1:29" ht="22.5" customHeight="1" thickBot="1">
      <c r="A29" s="2117"/>
      <c r="B29" s="2118"/>
      <c r="C29" s="2118"/>
      <c r="D29" s="2118"/>
      <c r="E29" s="2118"/>
      <c r="F29" s="2118"/>
      <c r="G29" s="2118"/>
      <c r="H29" s="2118"/>
      <c r="I29" s="2118"/>
      <c r="J29" s="2118"/>
      <c r="K29" s="2118"/>
      <c r="L29" s="2118"/>
      <c r="M29" s="2118"/>
      <c r="N29" s="2118"/>
      <c r="O29" s="2118"/>
      <c r="P29" s="2118"/>
      <c r="Q29" s="2118"/>
      <c r="R29" s="2118"/>
      <c r="S29" s="2118"/>
      <c r="T29" s="2118"/>
      <c r="U29" s="2118"/>
      <c r="V29" s="2118"/>
      <c r="W29" s="2118"/>
      <c r="X29" s="2118"/>
      <c r="Y29" s="2118"/>
      <c r="Z29" s="2118"/>
      <c r="AA29" s="2119"/>
    </row>
    <row r="31" spans="1:29" ht="14.85" customHeight="1"/>
    <row r="34" ht="14.1"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90" workbookViewId="0"/>
  </sheetViews>
  <sheetFormatPr defaultRowHeight="15"/>
  <cols>
    <col min="1" max="1" width="2.109375" style="772" customWidth="1"/>
    <col min="2" max="2" width="10.109375" style="772" customWidth="1"/>
    <col min="3" max="3" width="2.109375" style="772" customWidth="1"/>
    <col min="4" max="4" width="51.88671875" style="772" customWidth="1"/>
    <col min="5" max="5" width="4.109375" style="772" customWidth="1"/>
    <col min="6" max="6" width="2.109375" style="830" customWidth="1"/>
    <col min="7" max="7" width="21.88671875" style="1198" bestFit="1" customWidth="1"/>
    <col min="8" max="8" width="2.109375" style="772" customWidth="1"/>
    <col min="9" max="9" width="21.5546875" style="772" bestFit="1" customWidth="1"/>
    <col min="10" max="10" width="2.109375" style="772" customWidth="1"/>
    <col min="11" max="11" width="21.88671875" style="772" bestFit="1" customWidth="1"/>
    <col min="12" max="12" width="2.109375" style="772" customWidth="1"/>
    <col min="13" max="13" width="20.88671875" style="772" customWidth="1"/>
    <col min="14" max="14" width="2.109375" style="772" customWidth="1"/>
    <col min="15" max="15" width="22.109375" style="772" bestFit="1" customWidth="1"/>
    <col min="16" max="16" width="6.109375" style="772" bestFit="1" customWidth="1"/>
    <col min="17" max="17" width="13.109375" style="772" bestFit="1" customWidth="1"/>
    <col min="18" max="255" width="8.88671875" style="772"/>
    <col min="256" max="257" width="8.88671875" style="772" customWidth="1"/>
    <col min="258" max="258" width="10.109375" style="772" customWidth="1"/>
    <col min="259" max="259" width="2.109375" style="772" customWidth="1"/>
    <col min="260" max="260" width="50.44140625" style="772" customWidth="1"/>
    <col min="261" max="261" width="8.88671875" style="772"/>
    <col min="262" max="262" width="2.109375" style="772" customWidth="1"/>
    <col min="263" max="263" width="23.88671875" style="772" customWidth="1"/>
    <col min="264" max="264" width="2.109375" style="772" customWidth="1"/>
    <col min="265" max="265" width="23.88671875" style="772" customWidth="1"/>
    <col min="266" max="266" width="2.109375" style="772" customWidth="1"/>
    <col min="267" max="267" width="23.88671875" style="772" customWidth="1"/>
    <col min="268" max="268" width="2.109375" style="772" customWidth="1"/>
    <col min="269" max="269" width="23.88671875" style="772" customWidth="1"/>
    <col min="270" max="270" width="2.109375" style="772" customWidth="1"/>
    <col min="271" max="271" width="23.88671875" style="772" customWidth="1"/>
    <col min="272" max="272" width="2.88671875" style="772" bestFit="1" customWidth="1"/>
    <col min="273" max="511" width="8.88671875" style="772"/>
    <col min="512" max="513" width="8.88671875" style="772" customWidth="1"/>
    <col min="514" max="514" width="10.109375" style="772" customWidth="1"/>
    <col min="515" max="515" width="2.109375" style="772" customWidth="1"/>
    <col min="516" max="516" width="50.44140625" style="772" customWidth="1"/>
    <col min="517" max="517" width="8.88671875" style="772"/>
    <col min="518" max="518" width="2.109375" style="772" customWidth="1"/>
    <col min="519" max="519" width="23.88671875" style="772" customWidth="1"/>
    <col min="520" max="520" width="2.109375" style="772" customWidth="1"/>
    <col min="521" max="521" width="23.88671875" style="772" customWidth="1"/>
    <col min="522" max="522" width="2.109375" style="772" customWidth="1"/>
    <col min="523" max="523" width="23.88671875" style="772" customWidth="1"/>
    <col min="524" max="524" width="2.109375" style="772" customWidth="1"/>
    <col min="525" max="525" width="23.88671875" style="772" customWidth="1"/>
    <col min="526" max="526" width="2.109375" style="772" customWidth="1"/>
    <col min="527" max="527" width="23.88671875" style="772" customWidth="1"/>
    <col min="528" max="528" width="2.88671875" style="772" bestFit="1" customWidth="1"/>
    <col min="529" max="767" width="8.88671875" style="772"/>
    <col min="768" max="769" width="8.88671875" style="772" customWidth="1"/>
    <col min="770" max="770" width="10.109375" style="772" customWidth="1"/>
    <col min="771" max="771" width="2.109375" style="772" customWidth="1"/>
    <col min="772" max="772" width="50.44140625" style="772" customWidth="1"/>
    <col min="773" max="773" width="8.88671875" style="772"/>
    <col min="774" max="774" width="2.109375" style="772" customWidth="1"/>
    <col min="775" max="775" width="23.88671875" style="772" customWidth="1"/>
    <col min="776" max="776" width="2.109375" style="772" customWidth="1"/>
    <col min="777" max="777" width="23.88671875" style="772" customWidth="1"/>
    <col min="778" max="778" width="2.109375" style="772" customWidth="1"/>
    <col min="779" max="779" width="23.88671875" style="772" customWidth="1"/>
    <col min="780" max="780" width="2.109375" style="772" customWidth="1"/>
    <col min="781" max="781" width="23.88671875" style="772" customWidth="1"/>
    <col min="782" max="782" width="2.109375" style="772" customWidth="1"/>
    <col min="783" max="783" width="23.88671875" style="772" customWidth="1"/>
    <col min="784" max="784" width="2.88671875" style="772" bestFit="1" customWidth="1"/>
    <col min="785" max="1023" width="8.88671875" style="772"/>
    <col min="1024" max="1025" width="8.88671875" style="772" customWidth="1"/>
    <col min="1026" max="1026" width="10.109375" style="772" customWidth="1"/>
    <col min="1027" max="1027" width="2.109375" style="772" customWidth="1"/>
    <col min="1028" max="1028" width="50.44140625" style="772" customWidth="1"/>
    <col min="1029" max="1029" width="8.88671875" style="772"/>
    <col min="1030" max="1030" width="2.109375" style="772" customWidth="1"/>
    <col min="1031" max="1031" width="23.88671875" style="772" customWidth="1"/>
    <col min="1032" max="1032" width="2.109375" style="772" customWidth="1"/>
    <col min="1033" max="1033" width="23.88671875" style="772" customWidth="1"/>
    <col min="1034" max="1034" width="2.109375" style="772" customWidth="1"/>
    <col min="1035" max="1035" width="23.88671875" style="772" customWidth="1"/>
    <col min="1036" max="1036" width="2.109375" style="772" customWidth="1"/>
    <col min="1037" max="1037" width="23.88671875" style="772" customWidth="1"/>
    <col min="1038" max="1038" width="2.109375" style="772" customWidth="1"/>
    <col min="1039" max="1039" width="23.88671875" style="772" customWidth="1"/>
    <col min="1040" max="1040" width="2.88671875" style="772" bestFit="1" customWidth="1"/>
    <col min="1041" max="1279" width="8.88671875" style="772"/>
    <col min="1280" max="1281" width="8.88671875" style="772" customWidth="1"/>
    <col min="1282" max="1282" width="10.109375" style="772" customWidth="1"/>
    <col min="1283" max="1283" width="2.109375" style="772" customWidth="1"/>
    <col min="1284" max="1284" width="50.44140625" style="772" customWidth="1"/>
    <col min="1285" max="1285" width="8.88671875" style="772"/>
    <col min="1286" max="1286" width="2.109375" style="772" customWidth="1"/>
    <col min="1287" max="1287" width="23.88671875" style="772" customWidth="1"/>
    <col min="1288" max="1288" width="2.109375" style="772" customWidth="1"/>
    <col min="1289" max="1289" width="23.88671875" style="772" customWidth="1"/>
    <col min="1290" max="1290" width="2.109375" style="772" customWidth="1"/>
    <col min="1291" max="1291" width="23.88671875" style="772" customWidth="1"/>
    <col min="1292" max="1292" width="2.109375" style="772" customWidth="1"/>
    <col min="1293" max="1293" width="23.88671875" style="772" customWidth="1"/>
    <col min="1294" max="1294" width="2.109375" style="772" customWidth="1"/>
    <col min="1295" max="1295" width="23.88671875" style="772" customWidth="1"/>
    <col min="1296" max="1296" width="2.88671875" style="772" bestFit="1" customWidth="1"/>
    <col min="1297" max="1535" width="8.88671875" style="772"/>
    <col min="1536" max="1537" width="8.88671875" style="772" customWidth="1"/>
    <col min="1538" max="1538" width="10.109375" style="772" customWidth="1"/>
    <col min="1539" max="1539" width="2.109375" style="772" customWidth="1"/>
    <col min="1540" max="1540" width="50.44140625" style="772" customWidth="1"/>
    <col min="1541" max="1541" width="8.88671875" style="772"/>
    <col min="1542" max="1542" width="2.109375" style="772" customWidth="1"/>
    <col min="1543" max="1543" width="23.88671875" style="772" customWidth="1"/>
    <col min="1544" max="1544" width="2.109375" style="772" customWidth="1"/>
    <col min="1545" max="1545" width="23.88671875" style="772" customWidth="1"/>
    <col min="1546" max="1546" width="2.109375" style="772" customWidth="1"/>
    <col min="1547" max="1547" width="23.88671875" style="772" customWidth="1"/>
    <col min="1548" max="1548" width="2.109375" style="772" customWidth="1"/>
    <col min="1549" max="1549" width="23.88671875" style="772" customWidth="1"/>
    <col min="1550" max="1550" width="2.109375" style="772" customWidth="1"/>
    <col min="1551" max="1551" width="23.88671875" style="772" customWidth="1"/>
    <col min="1552" max="1552" width="2.88671875" style="772" bestFit="1" customWidth="1"/>
    <col min="1553" max="1791" width="8.88671875" style="772"/>
    <col min="1792" max="1793" width="8.88671875" style="772" customWidth="1"/>
    <col min="1794" max="1794" width="10.109375" style="772" customWidth="1"/>
    <col min="1795" max="1795" width="2.109375" style="772" customWidth="1"/>
    <col min="1796" max="1796" width="50.44140625" style="772" customWidth="1"/>
    <col min="1797" max="1797" width="8.88671875" style="772"/>
    <col min="1798" max="1798" width="2.109375" style="772" customWidth="1"/>
    <col min="1799" max="1799" width="23.88671875" style="772" customWidth="1"/>
    <col min="1800" max="1800" width="2.109375" style="772" customWidth="1"/>
    <col min="1801" max="1801" width="23.88671875" style="772" customWidth="1"/>
    <col min="1802" max="1802" width="2.109375" style="772" customWidth="1"/>
    <col min="1803" max="1803" width="23.88671875" style="772" customWidth="1"/>
    <col min="1804" max="1804" width="2.109375" style="772" customWidth="1"/>
    <col min="1805" max="1805" width="23.88671875" style="772" customWidth="1"/>
    <col min="1806" max="1806" width="2.109375" style="772" customWidth="1"/>
    <col min="1807" max="1807" width="23.88671875" style="772" customWidth="1"/>
    <col min="1808" max="1808" width="2.88671875" style="772" bestFit="1" customWidth="1"/>
    <col min="1809" max="2047" width="8.88671875" style="772"/>
    <col min="2048" max="2049" width="8.88671875" style="772" customWidth="1"/>
    <col min="2050" max="2050" width="10.109375" style="772" customWidth="1"/>
    <col min="2051" max="2051" width="2.109375" style="772" customWidth="1"/>
    <col min="2052" max="2052" width="50.44140625" style="772" customWidth="1"/>
    <col min="2053" max="2053" width="8.88671875" style="772"/>
    <col min="2054" max="2054" width="2.109375" style="772" customWidth="1"/>
    <col min="2055" max="2055" width="23.88671875" style="772" customWidth="1"/>
    <col min="2056" max="2056" width="2.109375" style="772" customWidth="1"/>
    <col min="2057" max="2057" width="23.88671875" style="772" customWidth="1"/>
    <col min="2058" max="2058" width="2.109375" style="772" customWidth="1"/>
    <col min="2059" max="2059" width="23.88671875" style="772" customWidth="1"/>
    <col min="2060" max="2060" width="2.109375" style="772" customWidth="1"/>
    <col min="2061" max="2061" width="23.88671875" style="772" customWidth="1"/>
    <col min="2062" max="2062" width="2.109375" style="772" customWidth="1"/>
    <col min="2063" max="2063" width="23.88671875" style="772" customWidth="1"/>
    <col min="2064" max="2064" width="2.88671875" style="772" bestFit="1" customWidth="1"/>
    <col min="2065" max="2303" width="8.88671875" style="772"/>
    <col min="2304" max="2305" width="8.88671875" style="772" customWidth="1"/>
    <col min="2306" max="2306" width="10.109375" style="772" customWidth="1"/>
    <col min="2307" max="2307" width="2.109375" style="772" customWidth="1"/>
    <col min="2308" max="2308" width="50.44140625" style="772" customWidth="1"/>
    <col min="2309" max="2309" width="8.88671875" style="772"/>
    <col min="2310" max="2310" width="2.109375" style="772" customWidth="1"/>
    <col min="2311" max="2311" width="23.88671875" style="772" customWidth="1"/>
    <col min="2312" max="2312" width="2.109375" style="772" customWidth="1"/>
    <col min="2313" max="2313" width="23.88671875" style="772" customWidth="1"/>
    <col min="2314" max="2314" width="2.109375" style="772" customWidth="1"/>
    <col min="2315" max="2315" width="23.88671875" style="772" customWidth="1"/>
    <col min="2316" max="2316" width="2.109375" style="772" customWidth="1"/>
    <col min="2317" max="2317" width="23.88671875" style="772" customWidth="1"/>
    <col min="2318" max="2318" width="2.109375" style="772" customWidth="1"/>
    <col min="2319" max="2319" width="23.88671875" style="772" customWidth="1"/>
    <col min="2320" max="2320" width="2.88671875" style="772" bestFit="1" customWidth="1"/>
    <col min="2321" max="2559" width="8.88671875" style="772"/>
    <col min="2560" max="2561" width="8.88671875" style="772" customWidth="1"/>
    <col min="2562" max="2562" width="10.109375" style="772" customWidth="1"/>
    <col min="2563" max="2563" width="2.109375" style="772" customWidth="1"/>
    <col min="2564" max="2564" width="50.44140625" style="772" customWidth="1"/>
    <col min="2565" max="2565" width="8.88671875" style="772"/>
    <col min="2566" max="2566" width="2.109375" style="772" customWidth="1"/>
    <col min="2567" max="2567" width="23.88671875" style="772" customWidth="1"/>
    <col min="2568" max="2568" width="2.109375" style="772" customWidth="1"/>
    <col min="2569" max="2569" width="23.88671875" style="772" customWidth="1"/>
    <col min="2570" max="2570" width="2.109375" style="772" customWidth="1"/>
    <col min="2571" max="2571" width="23.88671875" style="772" customWidth="1"/>
    <col min="2572" max="2572" width="2.109375" style="772" customWidth="1"/>
    <col min="2573" max="2573" width="23.88671875" style="772" customWidth="1"/>
    <col min="2574" max="2574" width="2.109375" style="772" customWidth="1"/>
    <col min="2575" max="2575" width="23.88671875" style="772" customWidth="1"/>
    <col min="2576" max="2576" width="2.88671875" style="772" bestFit="1" customWidth="1"/>
    <col min="2577" max="2815" width="8.88671875" style="772"/>
    <col min="2816" max="2817" width="8.88671875" style="772" customWidth="1"/>
    <col min="2818" max="2818" width="10.109375" style="772" customWidth="1"/>
    <col min="2819" max="2819" width="2.109375" style="772" customWidth="1"/>
    <col min="2820" max="2820" width="50.44140625" style="772" customWidth="1"/>
    <col min="2821" max="2821" width="8.88671875" style="772"/>
    <col min="2822" max="2822" width="2.109375" style="772" customWidth="1"/>
    <col min="2823" max="2823" width="23.88671875" style="772" customWidth="1"/>
    <col min="2824" max="2824" width="2.109375" style="772" customWidth="1"/>
    <col min="2825" max="2825" width="23.88671875" style="772" customWidth="1"/>
    <col min="2826" max="2826" width="2.109375" style="772" customWidth="1"/>
    <col min="2827" max="2827" width="23.88671875" style="772" customWidth="1"/>
    <col min="2828" max="2828" width="2.109375" style="772" customWidth="1"/>
    <col min="2829" max="2829" width="23.88671875" style="772" customWidth="1"/>
    <col min="2830" max="2830" width="2.109375" style="772" customWidth="1"/>
    <col min="2831" max="2831" width="23.88671875" style="772" customWidth="1"/>
    <col min="2832" max="2832" width="2.88671875" style="772" bestFit="1" customWidth="1"/>
    <col min="2833" max="3071" width="8.88671875" style="772"/>
    <col min="3072" max="3073" width="8.88671875" style="772" customWidth="1"/>
    <col min="3074" max="3074" width="10.109375" style="772" customWidth="1"/>
    <col min="3075" max="3075" width="2.109375" style="772" customWidth="1"/>
    <col min="3076" max="3076" width="50.44140625" style="772" customWidth="1"/>
    <col min="3077" max="3077" width="8.88671875" style="772"/>
    <col min="3078" max="3078" width="2.109375" style="772" customWidth="1"/>
    <col min="3079" max="3079" width="23.88671875" style="772" customWidth="1"/>
    <col min="3080" max="3080" width="2.109375" style="772" customWidth="1"/>
    <col min="3081" max="3081" width="23.88671875" style="772" customWidth="1"/>
    <col min="3082" max="3082" width="2.109375" style="772" customWidth="1"/>
    <col min="3083" max="3083" width="23.88671875" style="772" customWidth="1"/>
    <col min="3084" max="3084" width="2.109375" style="772" customWidth="1"/>
    <col min="3085" max="3085" width="23.88671875" style="772" customWidth="1"/>
    <col min="3086" max="3086" width="2.109375" style="772" customWidth="1"/>
    <col min="3087" max="3087" width="23.88671875" style="772" customWidth="1"/>
    <col min="3088" max="3088" width="2.88671875" style="772" bestFit="1" customWidth="1"/>
    <col min="3089" max="3327" width="8.88671875" style="772"/>
    <col min="3328" max="3329" width="8.88671875" style="772" customWidth="1"/>
    <col min="3330" max="3330" width="10.109375" style="772" customWidth="1"/>
    <col min="3331" max="3331" width="2.109375" style="772" customWidth="1"/>
    <col min="3332" max="3332" width="50.44140625" style="772" customWidth="1"/>
    <col min="3333" max="3333" width="8.88671875" style="772"/>
    <col min="3334" max="3334" width="2.109375" style="772" customWidth="1"/>
    <col min="3335" max="3335" width="23.88671875" style="772" customWidth="1"/>
    <col min="3336" max="3336" width="2.109375" style="772" customWidth="1"/>
    <col min="3337" max="3337" width="23.88671875" style="772" customWidth="1"/>
    <col min="3338" max="3338" width="2.109375" style="772" customWidth="1"/>
    <col min="3339" max="3339" width="23.88671875" style="772" customWidth="1"/>
    <col min="3340" max="3340" width="2.109375" style="772" customWidth="1"/>
    <col min="3341" max="3341" width="23.88671875" style="772" customWidth="1"/>
    <col min="3342" max="3342" width="2.109375" style="772" customWidth="1"/>
    <col min="3343" max="3343" width="23.88671875" style="772" customWidth="1"/>
    <col min="3344" max="3344" width="2.88671875" style="772" bestFit="1" customWidth="1"/>
    <col min="3345" max="3583" width="8.88671875" style="772"/>
    <col min="3584" max="3585" width="8.88671875" style="772" customWidth="1"/>
    <col min="3586" max="3586" width="10.109375" style="772" customWidth="1"/>
    <col min="3587" max="3587" width="2.109375" style="772" customWidth="1"/>
    <col min="3588" max="3588" width="50.44140625" style="772" customWidth="1"/>
    <col min="3589" max="3589" width="8.88671875" style="772"/>
    <col min="3590" max="3590" width="2.109375" style="772" customWidth="1"/>
    <col min="3591" max="3591" width="23.88671875" style="772" customWidth="1"/>
    <col min="3592" max="3592" width="2.109375" style="772" customWidth="1"/>
    <col min="3593" max="3593" width="23.88671875" style="772" customWidth="1"/>
    <col min="3594" max="3594" width="2.109375" style="772" customWidth="1"/>
    <col min="3595" max="3595" width="23.88671875" style="772" customWidth="1"/>
    <col min="3596" max="3596" width="2.109375" style="772" customWidth="1"/>
    <col min="3597" max="3597" width="23.88671875" style="772" customWidth="1"/>
    <col min="3598" max="3598" width="2.109375" style="772" customWidth="1"/>
    <col min="3599" max="3599" width="23.88671875" style="772" customWidth="1"/>
    <col min="3600" max="3600" width="2.88671875" style="772" bestFit="1" customWidth="1"/>
    <col min="3601" max="3839" width="8.88671875" style="772"/>
    <col min="3840" max="3841" width="8.88671875" style="772" customWidth="1"/>
    <col min="3842" max="3842" width="10.109375" style="772" customWidth="1"/>
    <col min="3843" max="3843" width="2.109375" style="772" customWidth="1"/>
    <col min="3844" max="3844" width="50.44140625" style="772" customWidth="1"/>
    <col min="3845" max="3845" width="8.88671875" style="772"/>
    <col min="3846" max="3846" width="2.109375" style="772" customWidth="1"/>
    <col min="3847" max="3847" width="23.88671875" style="772" customWidth="1"/>
    <col min="3848" max="3848" width="2.109375" style="772" customWidth="1"/>
    <col min="3849" max="3849" width="23.88671875" style="772" customWidth="1"/>
    <col min="3850" max="3850" width="2.109375" style="772" customWidth="1"/>
    <col min="3851" max="3851" width="23.88671875" style="772" customWidth="1"/>
    <col min="3852" max="3852" width="2.109375" style="772" customWidth="1"/>
    <col min="3853" max="3853" width="23.88671875" style="772" customWidth="1"/>
    <col min="3854" max="3854" width="2.109375" style="772" customWidth="1"/>
    <col min="3855" max="3855" width="23.88671875" style="772" customWidth="1"/>
    <col min="3856" max="3856" width="2.88671875" style="772" bestFit="1" customWidth="1"/>
    <col min="3857" max="4095" width="8.88671875" style="772"/>
    <col min="4096" max="4097" width="8.88671875" style="772" customWidth="1"/>
    <col min="4098" max="4098" width="10.109375" style="772" customWidth="1"/>
    <col min="4099" max="4099" width="2.109375" style="772" customWidth="1"/>
    <col min="4100" max="4100" width="50.44140625" style="772" customWidth="1"/>
    <col min="4101" max="4101" width="8.88671875" style="772"/>
    <col min="4102" max="4102" width="2.109375" style="772" customWidth="1"/>
    <col min="4103" max="4103" width="23.88671875" style="772" customWidth="1"/>
    <col min="4104" max="4104" width="2.109375" style="772" customWidth="1"/>
    <col min="4105" max="4105" width="23.88671875" style="772" customWidth="1"/>
    <col min="4106" max="4106" width="2.109375" style="772" customWidth="1"/>
    <col min="4107" max="4107" width="23.88671875" style="772" customWidth="1"/>
    <col min="4108" max="4108" width="2.109375" style="772" customWidth="1"/>
    <col min="4109" max="4109" width="23.88671875" style="772" customWidth="1"/>
    <col min="4110" max="4110" width="2.109375" style="772" customWidth="1"/>
    <col min="4111" max="4111" width="23.88671875" style="772" customWidth="1"/>
    <col min="4112" max="4112" width="2.88671875" style="772" bestFit="1" customWidth="1"/>
    <col min="4113" max="4351" width="8.88671875" style="772"/>
    <col min="4352" max="4353" width="8.88671875" style="772" customWidth="1"/>
    <col min="4354" max="4354" width="10.109375" style="772" customWidth="1"/>
    <col min="4355" max="4355" width="2.109375" style="772" customWidth="1"/>
    <col min="4356" max="4356" width="50.44140625" style="772" customWidth="1"/>
    <col min="4357" max="4357" width="8.88671875" style="772"/>
    <col min="4358" max="4358" width="2.109375" style="772" customWidth="1"/>
    <col min="4359" max="4359" width="23.88671875" style="772" customWidth="1"/>
    <col min="4360" max="4360" width="2.109375" style="772" customWidth="1"/>
    <col min="4361" max="4361" width="23.88671875" style="772" customWidth="1"/>
    <col min="4362" max="4362" width="2.109375" style="772" customWidth="1"/>
    <col min="4363" max="4363" width="23.88671875" style="772" customWidth="1"/>
    <col min="4364" max="4364" width="2.109375" style="772" customWidth="1"/>
    <col min="4365" max="4365" width="23.88671875" style="772" customWidth="1"/>
    <col min="4366" max="4366" width="2.109375" style="772" customWidth="1"/>
    <col min="4367" max="4367" width="23.88671875" style="772" customWidth="1"/>
    <col min="4368" max="4368" width="2.88671875" style="772" bestFit="1" customWidth="1"/>
    <col min="4369" max="4607" width="8.88671875" style="772"/>
    <col min="4608" max="4609" width="8.88671875" style="772" customWidth="1"/>
    <col min="4610" max="4610" width="10.109375" style="772" customWidth="1"/>
    <col min="4611" max="4611" width="2.109375" style="772" customWidth="1"/>
    <col min="4612" max="4612" width="50.44140625" style="772" customWidth="1"/>
    <col min="4613" max="4613" width="8.88671875" style="772"/>
    <col min="4614" max="4614" width="2.109375" style="772" customWidth="1"/>
    <col min="4615" max="4615" width="23.88671875" style="772" customWidth="1"/>
    <col min="4616" max="4616" width="2.109375" style="772" customWidth="1"/>
    <col min="4617" max="4617" width="23.88671875" style="772" customWidth="1"/>
    <col min="4618" max="4618" width="2.109375" style="772" customWidth="1"/>
    <col min="4619" max="4619" width="23.88671875" style="772" customWidth="1"/>
    <col min="4620" max="4620" width="2.109375" style="772" customWidth="1"/>
    <col min="4621" max="4621" width="23.88671875" style="772" customWidth="1"/>
    <col min="4622" max="4622" width="2.109375" style="772" customWidth="1"/>
    <col min="4623" max="4623" width="23.88671875" style="772" customWidth="1"/>
    <col min="4624" max="4624" width="2.88671875" style="772" bestFit="1" customWidth="1"/>
    <col min="4625" max="4863" width="8.88671875" style="772"/>
    <col min="4864" max="4865" width="8.88671875" style="772" customWidth="1"/>
    <col min="4866" max="4866" width="10.109375" style="772" customWidth="1"/>
    <col min="4867" max="4867" width="2.109375" style="772" customWidth="1"/>
    <col min="4868" max="4868" width="50.44140625" style="772" customWidth="1"/>
    <col min="4869" max="4869" width="8.88671875" style="772"/>
    <col min="4870" max="4870" width="2.109375" style="772" customWidth="1"/>
    <col min="4871" max="4871" width="23.88671875" style="772" customWidth="1"/>
    <col min="4872" max="4872" width="2.109375" style="772" customWidth="1"/>
    <col min="4873" max="4873" width="23.88671875" style="772" customWidth="1"/>
    <col min="4874" max="4874" width="2.109375" style="772" customWidth="1"/>
    <col min="4875" max="4875" width="23.88671875" style="772" customWidth="1"/>
    <col min="4876" max="4876" width="2.109375" style="772" customWidth="1"/>
    <col min="4877" max="4877" width="23.88671875" style="772" customWidth="1"/>
    <col min="4878" max="4878" width="2.109375" style="772" customWidth="1"/>
    <col min="4879" max="4879" width="23.88671875" style="772" customWidth="1"/>
    <col min="4880" max="4880" width="2.88671875" style="772" bestFit="1" customWidth="1"/>
    <col min="4881" max="5119" width="8.88671875" style="772"/>
    <col min="5120" max="5121" width="8.88671875" style="772" customWidth="1"/>
    <col min="5122" max="5122" width="10.109375" style="772" customWidth="1"/>
    <col min="5123" max="5123" width="2.109375" style="772" customWidth="1"/>
    <col min="5124" max="5124" width="50.44140625" style="772" customWidth="1"/>
    <col min="5125" max="5125" width="8.88671875" style="772"/>
    <col min="5126" max="5126" width="2.109375" style="772" customWidth="1"/>
    <col min="5127" max="5127" width="23.88671875" style="772" customWidth="1"/>
    <col min="5128" max="5128" width="2.109375" style="772" customWidth="1"/>
    <col min="5129" max="5129" width="23.88671875" style="772" customWidth="1"/>
    <col min="5130" max="5130" width="2.109375" style="772" customWidth="1"/>
    <col min="5131" max="5131" width="23.88671875" style="772" customWidth="1"/>
    <col min="5132" max="5132" width="2.109375" style="772" customWidth="1"/>
    <col min="5133" max="5133" width="23.88671875" style="772" customWidth="1"/>
    <col min="5134" max="5134" width="2.109375" style="772" customWidth="1"/>
    <col min="5135" max="5135" width="23.88671875" style="772" customWidth="1"/>
    <col min="5136" max="5136" width="2.88671875" style="772" bestFit="1" customWidth="1"/>
    <col min="5137" max="5375" width="8.88671875" style="772"/>
    <col min="5376" max="5377" width="8.88671875" style="772" customWidth="1"/>
    <col min="5378" max="5378" width="10.109375" style="772" customWidth="1"/>
    <col min="5379" max="5379" width="2.109375" style="772" customWidth="1"/>
    <col min="5380" max="5380" width="50.44140625" style="772" customWidth="1"/>
    <col min="5381" max="5381" width="8.88671875" style="772"/>
    <col min="5382" max="5382" width="2.109375" style="772" customWidth="1"/>
    <col min="5383" max="5383" width="23.88671875" style="772" customWidth="1"/>
    <col min="5384" max="5384" width="2.109375" style="772" customWidth="1"/>
    <col min="5385" max="5385" width="23.88671875" style="772" customWidth="1"/>
    <col min="5386" max="5386" width="2.109375" style="772" customWidth="1"/>
    <col min="5387" max="5387" width="23.88671875" style="772" customWidth="1"/>
    <col min="5388" max="5388" width="2.109375" style="772" customWidth="1"/>
    <col min="5389" max="5389" width="23.88671875" style="772" customWidth="1"/>
    <col min="5390" max="5390" width="2.109375" style="772" customWidth="1"/>
    <col min="5391" max="5391" width="23.88671875" style="772" customWidth="1"/>
    <col min="5392" max="5392" width="2.88671875" style="772" bestFit="1" customWidth="1"/>
    <col min="5393" max="5631" width="8.88671875" style="772"/>
    <col min="5632" max="5633" width="8.88671875" style="772" customWidth="1"/>
    <col min="5634" max="5634" width="10.109375" style="772" customWidth="1"/>
    <col min="5635" max="5635" width="2.109375" style="772" customWidth="1"/>
    <col min="5636" max="5636" width="50.44140625" style="772" customWidth="1"/>
    <col min="5637" max="5637" width="8.88671875" style="772"/>
    <col min="5638" max="5638" width="2.109375" style="772" customWidth="1"/>
    <col min="5639" max="5639" width="23.88671875" style="772" customWidth="1"/>
    <col min="5640" max="5640" width="2.109375" style="772" customWidth="1"/>
    <col min="5641" max="5641" width="23.88671875" style="772" customWidth="1"/>
    <col min="5642" max="5642" width="2.109375" style="772" customWidth="1"/>
    <col min="5643" max="5643" width="23.88671875" style="772" customWidth="1"/>
    <col min="5644" max="5644" width="2.109375" style="772" customWidth="1"/>
    <col min="5645" max="5645" width="23.88671875" style="772" customWidth="1"/>
    <col min="5646" max="5646" width="2.109375" style="772" customWidth="1"/>
    <col min="5647" max="5647" width="23.88671875" style="772" customWidth="1"/>
    <col min="5648" max="5648" width="2.88671875" style="772" bestFit="1" customWidth="1"/>
    <col min="5649" max="5887" width="8.88671875" style="772"/>
    <col min="5888" max="5889" width="8.88671875" style="772" customWidth="1"/>
    <col min="5890" max="5890" width="10.109375" style="772" customWidth="1"/>
    <col min="5891" max="5891" width="2.109375" style="772" customWidth="1"/>
    <col min="5892" max="5892" width="50.44140625" style="772" customWidth="1"/>
    <col min="5893" max="5893" width="8.88671875" style="772"/>
    <col min="5894" max="5894" width="2.109375" style="772" customWidth="1"/>
    <col min="5895" max="5895" width="23.88671875" style="772" customWidth="1"/>
    <col min="5896" max="5896" width="2.109375" style="772" customWidth="1"/>
    <col min="5897" max="5897" width="23.88671875" style="772" customWidth="1"/>
    <col min="5898" max="5898" width="2.109375" style="772" customWidth="1"/>
    <col min="5899" max="5899" width="23.88671875" style="772" customWidth="1"/>
    <col min="5900" max="5900" width="2.109375" style="772" customWidth="1"/>
    <col min="5901" max="5901" width="23.88671875" style="772" customWidth="1"/>
    <col min="5902" max="5902" width="2.109375" style="772" customWidth="1"/>
    <col min="5903" max="5903" width="23.88671875" style="772" customWidth="1"/>
    <col min="5904" max="5904" width="2.88671875" style="772" bestFit="1" customWidth="1"/>
    <col min="5905" max="6143" width="8.88671875" style="772"/>
    <col min="6144" max="6145" width="8.88671875" style="772" customWidth="1"/>
    <col min="6146" max="6146" width="10.109375" style="772" customWidth="1"/>
    <col min="6147" max="6147" width="2.109375" style="772" customWidth="1"/>
    <col min="6148" max="6148" width="50.44140625" style="772" customWidth="1"/>
    <col min="6149" max="6149" width="8.88671875" style="772"/>
    <col min="6150" max="6150" width="2.109375" style="772" customWidth="1"/>
    <col min="6151" max="6151" width="23.88671875" style="772" customWidth="1"/>
    <col min="6152" max="6152" width="2.109375" style="772" customWidth="1"/>
    <col min="6153" max="6153" width="23.88671875" style="772" customWidth="1"/>
    <col min="6154" max="6154" width="2.109375" style="772" customWidth="1"/>
    <col min="6155" max="6155" width="23.88671875" style="772" customWidth="1"/>
    <col min="6156" max="6156" width="2.109375" style="772" customWidth="1"/>
    <col min="6157" max="6157" width="23.88671875" style="772" customWidth="1"/>
    <col min="6158" max="6158" width="2.109375" style="772" customWidth="1"/>
    <col min="6159" max="6159" width="23.88671875" style="772" customWidth="1"/>
    <col min="6160" max="6160" width="2.88671875" style="772" bestFit="1" customWidth="1"/>
    <col min="6161" max="6399" width="8.88671875" style="772"/>
    <col min="6400" max="6401" width="8.88671875" style="772" customWidth="1"/>
    <col min="6402" max="6402" width="10.109375" style="772" customWidth="1"/>
    <col min="6403" max="6403" width="2.109375" style="772" customWidth="1"/>
    <col min="6404" max="6404" width="50.44140625" style="772" customWidth="1"/>
    <col min="6405" max="6405" width="8.88671875" style="772"/>
    <col min="6406" max="6406" width="2.109375" style="772" customWidth="1"/>
    <col min="6407" max="6407" width="23.88671875" style="772" customWidth="1"/>
    <col min="6408" max="6408" width="2.109375" style="772" customWidth="1"/>
    <col min="6409" max="6409" width="23.88671875" style="772" customWidth="1"/>
    <col min="6410" max="6410" width="2.109375" style="772" customWidth="1"/>
    <col min="6411" max="6411" width="23.88671875" style="772" customWidth="1"/>
    <col min="6412" max="6412" width="2.109375" style="772" customWidth="1"/>
    <col min="6413" max="6413" width="23.88671875" style="772" customWidth="1"/>
    <col min="6414" max="6414" width="2.109375" style="772" customWidth="1"/>
    <col min="6415" max="6415" width="23.88671875" style="772" customWidth="1"/>
    <col min="6416" max="6416" width="2.88671875" style="772" bestFit="1" customWidth="1"/>
    <col min="6417" max="6655" width="8.88671875" style="772"/>
    <col min="6656" max="6657" width="8.88671875" style="772" customWidth="1"/>
    <col min="6658" max="6658" width="10.109375" style="772" customWidth="1"/>
    <col min="6659" max="6659" width="2.109375" style="772" customWidth="1"/>
    <col min="6660" max="6660" width="50.44140625" style="772" customWidth="1"/>
    <col min="6661" max="6661" width="8.88671875" style="772"/>
    <col min="6662" max="6662" width="2.109375" style="772" customWidth="1"/>
    <col min="6663" max="6663" width="23.88671875" style="772" customWidth="1"/>
    <col min="6664" max="6664" width="2.109375" style="772" customWidth="1"/>
    <col min="6665" max="6665" width="23.88671875" style="772" customWidth="1"/>
    <col min="6666" max="6666" width="2.109375" style="772" customWidth="1"/>
    <col min="6667" max="6667" width="23.88671875" style="772" customWidth="1"/>
    <col min="6668" max="6668" width="2.109375" style="772" customWidth="1"/>
    <col min="6669" max="6669" width="23.88671875" style="772" customWidth="1"/>
    <col min="6670" max="6670" width="2.109375" style="772" customWidth="1"/>
    <col min="6671" max="6671" width="23.88671875" style="772" customWidth="1"/>
    <col min="6672" max="6672" width="2.88671875" style="772" bestFit="1" customWidth="1"/>
    <col min="6673" max="6911" width="8.88671875" style="772"/>
    <col min="6912" max="6913" width="8.88671875" style="772" customWidth="1"/>
    <col min="6914" max="6914" width="10.109375" style="772" customWidth="1"/>
    <col min="6915" max="6915" width="2.109375" style="772" customWidth="1"/>
    <col min="6916" max="6916" width="50.44140625" style="772" customWidth="1"/>
    <col min="6917" max="6917" width="8.88671875" style="772"/>
    <col min="6918" max="6918" width="2.109375" style="772" customWidth="1"/>
    <col min="6919" max="6919" width="23.88671875" style="772" customWidth="1"/>
    <col min="6920" max="6920" width="2.109375" style="772" customWidth="1"/>
    <col min="6921" max="6921" width="23.88671875" style="772" customWidth="1"/>
    <col min="6922" max="6922" width="2.109375" style="772" customWidth="1"/>
    <col min="6923" max="6923" width="23.88671875" style="772" customWidth="1"/>
    <col min="6924" max="6924" width="2.109375" style="772" customWidth="1"/>
    <col min="6925" max="6925" width="23.88671875" style="772" customWidth="1"/>
    <col min="6926" max="6926" width="2.109375" style="772" customWidth="1"/>
    <col min="6927" max="6927" width="23.88671875" style="772" customWidth="1"/>
    <col min="6928" max="6928" width="2.88671875" style="772" bestFit="1" customWidth="1"/>
    <col min="6929" max="7167" width="8.88671875" style="772"/>
    <col min="7168" max="7169" width="8.88671875" style="772" customWidth="1"/>
    <col min="7170" max="7170" width="10.109375" style="772" customWidth="1"/>
    <col min="7171" max="7171" width="2.109375" style="772" customWidth="1"/>
    <col min="7172" max="7172" width="50.44140625" style="772" customWidth="1"/>
    <col min="7173" max="7173" width="8.88671875" style="772"/>
    <col min="7174" max="7174" width="2.109375" style="772" customWidth="1"/>
    <col min="7175" max="7175" width="23.88671875" style="772" customWidth="1"/>
    <col min="7176" max="7176" width="2.109375" style="772" customWidth="1"/>
    <col min="7177" max="7177" width="23.88671875" style="772" customWidth="1"/>
    <col min="7178" max="7178" width="2.109375" style="772" customWidth="1"/>
    <col min="7179" max="7179" width="23.88671875" style="772" customWidth="1"/>
    <col min="7180" max="7180" width="2.109375" style="772" customWidth="1"/>
    <col min="7181" max="7181" width="23.88671875" style="772" customWidth="1"/>
    <col min="7182" max="7182" width="2.109375" style="772" customWidth="1"/>
    <col min="7183" max="7183" width="23.88671875" style="772" customWidth="1"/>
    <col min="7184" max="7184" width="2.88671875" style="772" bestFit="1" customWidth="1"/>
    <col min="7185" max="7423" width="8.88671875" style="772"/>
    <col min="7424" max="7425" width="8.88671875" style="772" customWidth="1"/>
    <col min="7426" max="7426" width="10.109375" style="772" customWidth="1"/>
    <col min="7427" max="7427" width="2.109375" style="772" customWidth="1"/>
    <col min="7428" max="7428" width="50.44140625" style="772" customWidth="1"/>
    <col min="7429" max="7429" width="8.88671875" style="772"/>
    <col min="7430" max="7430" width="2.109375" style="772" customWidth="1"/>
    <col min="7431" max="7431" width="23.88671875" style="772" customWidth="1"/>
    <col min="7432" max="7432" width="2.109375" style="772" customWidth="1"/>
    <col min="7433" max="7433" width="23.88671875" style="772" customWidth="1"/>
    <col min="7434" max="7434" width="2.109375" style="772" customWidth="1"/>
    <col min="7435" max="7435" width="23.88671875" style="772" customWidth="1"/>
    <col min="7436" max="7436" width="2.109375" style="772" customWidth="1"/>
    <col min="7437" max="7437" width="23.88671875" style="772" customWidth="1"/>
    <col min="7438" max="7438" width="2.109375" style="772" customWidth="1"/>
    <col min="7439" max="7439" width="23.88671875" style="772" customWidth="1"/>
    <col min="7440" max="7440" width="2.88671875" style="772" bestFit="1" customWidth="1"/>
    <col min="7441" max="7679" width="8.88671875" style="772"/>
    <col min="7680" max="7681" width="8.88671875" style="772" customWidth="1"/>
    <col min="7682" max="7682" width="10.109375" style="772" customWidth="1"/>
    <col min="7683" max="7683" width="2.109375" style="772" customWidth="1"/>
    <col min="7684" max="7684" width="50.44140625" style="772" customWidth="1"/>
    <col min="7685" max="7685" width="8.88671875" style="772"/>
    <col min="7686" max="7686" width="2.109375" style="772" customWidth="1"/>
    <col min="7687" max="7687" width="23.88671875" style="772" customWidth="1"/>
    <col min="7688" max="7688" width="2.109375" style="772" customWidth="1"/>
    <col min="7689" max="7689" width="23.88671875" style="772" customWidth="1"/>
    <col min="7690" max="7690" width="2.109375" style="772" customWidth="1"/>
    <col min="7691" max="7691" width="23.88671875" style="772" customWidth="1"/>
    <col min="7692" max="7692" width="2.109375" style="772" customWidth="1"/>
    <col min="7693" max="7693" width="23.88671875" style="772" customWidth="1"/>
    <col min="7694" max="7694" width="2.109375" style="772" customWidth="1"/>
    <col min="7695" max="7695" width="23.88671875" style="772" customWidth="1"/>
    <col min="7696" max="7696" width="2.88671875" style="772" bestFit="1" customWidth="1"/>
    <col min="7697" max="7935" width="8.88671875" style="772"/>
    <col min="7936" max="7937" width="8.88671875" style="772" customWidth="1"/>
    <col min="7938" max="7938" width="10.109375" style="772" customWidth="1"/>
    <col min="7939" max="7939" width="2.109375" style="772" customWidth="1"/>
    <col min="7940" max="7940" width="50.44140625" style="772" customWidth="1"/>
    <col min="7941" max="7941" width="8.88671875" style="772"/>
    <col min="7942" max="7942" width="2.109375" style="772" customWidth="1"/>
    <col min="7943" max="7943" width="23.88671875" style="772" customWidth="1"/>
    <col min="7944" max="7944" width="2.109375" style="772" customWidth="1"/>
    <col min="7945" max="7945" width="23.88671875" style="772" customWidth="1"/>
    <col min="7946" max="7946" width="2.109375" style="772" customWidth="1"/>
    <col min="7947" max="7947" width="23.88671875" style="772" customWidth="1"/>
    <col min="7948" max="7948" width="2.109375" style="772" customWidth="1"/>
    <col min="7949" max="7949" width="23.88671875" style="772" customWidth="1"/>
    <col min="7950" max="7950" width="2.109375" style="772" customWidth="1"/>
    <col min="7951" max="7951" width="23.88671875" style="772" customWidth="1"/>
    <col min="7952" max="7952" width="2.88671875" style="772" bestFit="1" customWidth="1"/>
    <col min="7953" max="8191" width="8.88671875" style="772"/>
    <col min="8192" max="8193" width="8.88671875" style="772" customWidth="1"/>
    <col min="8194" max="8194" width="10.109375" style="772" customWidth="1"/>
    <col min="8195" max="8195" width="2.109375" style="772" customWidth="1"/>
    <col min="8196" max="8196" width="50.44140625" style="772" customWidth="1"/>
    <col min="8197" max="8197" width="8.88671875" style="772"/>
    <col min="8198" max="8198" width="2.109375" style="772" customWidth="1"/>
    <col min="8199" max="8199" width="23.88671875" style="772" customWidth="1"/>
    <col min="8200" max="8200" width="2.109375" style="772" customWidth="1"/>
    <col min="8201" max="8201" width="23.88671875" style="772" customWidth="1"/>
    <col min="8202" max="8202" width="2.109375" style="772" customWidth="1"/>
    <col min="8203" max="8203" width="23.88671875" style="772" customWidth="1"/>
    <col min="8204" max="8204" width="2.109375" style="772" customWidth="1"/>
    <col min="8205" max="8205" width="23.88671875" style="772" customWidth="1"/>
    <col min="8206" max="8206" width="2.109375" style="772" customWidth="1"/>
    <col min="8207" max="8207" width="23.88671875" style="772" customWidth="1"/>
    <col min="8208" max="8208" width="2.88671875" style="772" bestFit="1" customWidth="1"/>
    <col min="8209" max="8447" width="8.88671875" style="772"/>
    <col min="8448" max="8449" width="8.88671875" style="772" customWidth="1"/>
    <col min="8450" max="8450" width="10.109375" style="772" customWidth="1"/>
    <col min="8451" max="8451" width="2.109375" style="772" customWidth="1"/>
    <col min="8452" max="8452" width="50.44140625" style="772" customWidth="1"/>
    <col min="8453" max="8453" width="8.88671875" style="772"/>
    <col min="8454" max="8454" width="2.109375" style="772" customWidth="1"/>
    <col min="8455" max="8455" width="23.88671875" style="772" customWidth="1"/>
    <col min="8456" max="8456" width="2.109375" style="772" customWidth="1"/>
    <col min="8457" max="8457" width="23.88671875" style="772" customWidth="1"/>
    <col min="8458" max="8458" width="2.109375" style="772" customWidth="1"/>
    <col min="8459" max="8459" width="23.88671875" style="772" customWidth="1"/>
    <col min="8460" max="8460" width="2.109375" style="772" customWidth="1"/>
    <col min="8461" max="8461" width="23.88671875" style="772" customWidth="1"/>
    <col min="8462" max="8462" width="2.109375" style="772" customWidth="1"/>
    <col min="8463" max="8463" width="23.88671875" style="772" customWidth="1"/>
    <col min="8464" max="8464" width="2.88671875" style="772" bestFit="1" customWidth="1"/>
    <col min="8465" max="8703" width="8.88671875" style="772"/>
    <col min="8704" max="8705" width="8.88671875" style="772" customWidth="1"/>
    <col min="8706" max="8706" width="10.109375" style="772" customWidth="1"/>
    <col min="8707" max="8707" width="2.109375" style="772" customWidth="1"/>
    <col min="8708" max="8708" width="50.44140625" style="772" customWidth="1"/>
    <col min="8709" max="8709" width="8.88671875" style="772"/>
    <col min="8710" max="8710" width="2.109375" style="772" customWidth="1"/>
    <col min="8711" max="8711" width="23.88671875" style="772" customWidth="1"/>
    <col min="8712" max="8712" width="2.109375" style="772" customWidth="1"/>
    <col min="8713" max="8713" width="23.88671875" style="772" customWidth="1"/>
    <col min="8714" max="8714" width="2.109375" style="772" customWidth="1"/>
    <col min="8715" max="8715" width="23.88671875" style="772" customWidth="1"/>
    <col min="8716" max="8716" width="2.109375" style="772" customWidth="1"/>
    <col min="8717" max="8717" width="23.88671875" style="772" customWidth="1"/>
    <col min="8718" max="8718" width="2.109375" style="772" customWidth="1"/>
    <col min="8719" max="8719" width="23.88671875" style="772" customWidth="1"/>
    <col min="8720" max="8720" width="2.88671875" style="772" bestFit="1" customWidth="1"/>
    <col min="8721" max="8959" width="8.88671875" style="772"/>
    <col min="8960" max="8961" width="8.88671875" style="772" customWidth="1"/>
    <col min="8962" max="8962" width="10.109375" style="772" customWidth="1"/>
    <col min="8963" max="8963" width="2.109375" style="772" customWidth="1"/>
    <col min="8964" max="8964" width="50.44140625" style="772" customWidth="1"/>
    <col min="8965" max="8965" width="8.88671875" style="772"/>
    <col min="8966" max="8966" width="2.109375" style="772" customWidth="1"/>
    <col min="8967" max="8967" width="23.88671875" style="772" customWidth="1"/>
    <col min="8968" max="8968" width="2.109375" style="772" customWidth="1"/>
    <col min="8969" max="8969" width="23.88671875" style="772" customWidth="1"/>
    <col min="8970" max="8970" width="2.109375" style="772" customWidth="1"/>
    <col min="8971" max="8971" width="23.88671875" style="772" customWidth="1"/>
    <col min="8972" max="8972" width="2.109375" style="772" customWidth="1"/>
    <col min="8973" max="8973" width="23.88671875" style="772" customWidth="1"/>
    <col min="8974" max="8974" width="2.109375" style="772" customWidth="1"/>
    <col min="8975" max="8975" width="23.88671875" style="772" customWidth="1"/>
    <col min="8976" max="8976" width="2.88671875" style="772" bestFit="1" customWidth="1"/>
    <col min="8977" max="9215" width="8.88671875" style="772"/>
    <col min="9216" max="9217" width="8.88671875" style="772" customWidth="1"/>
    <col min="9218" max="9218" width="10.109375" style="772" customWidth="1"/>
    <col min="9219" max="9219" width="2.109375" style="772" customWidth="1"/>
    <col min="9220" max="9220" width="50.44140625" style="772" customWidth="1"/>
    <col min="9221" max="9221" width="8.88671875" style="772"/>
    <col min="9222" max="9222" width="2.109375" style="772" customWidth="1"/>
    <col min="9223" max="9223" width="23.88671875" style="772" customWidth="1"/>
    <col min="9224" max="9224" width="2.109375" style="772" customWidth="1"/>
    <col min="9225" max="9225" width="23.88671875" style="772" customWidth="1"/>
    <col min="9226" max="9226" width="2.109375" style="772" customWidth="1"/>
    <col min="9227" max="9227" width="23.88671875" style="772" customWidth="1"/>
    <col min="9228" max="9228" width="2.109375" style="772" customWidth="1"/>
    <col min="9229" max="9229" width="23.88671875" style="772" customWidth="1"/>
    <col min="9230" max="9230" width="2.109375" style="772" customWidth="1"/>
    <col min="9231" max="9231" width="23.88671875" style="772" customWidth="1"/>
    <col min="9232" max="9232" width="2.88671875" style="772" bestFit="1" customWidth="1"/>
    <col min="9233" max="9471" width="8.88671875" style="772"/>
    <col min="9472" max="9473" width="8.88671875" style="772" customWidth="1"/>
    <col min="9474" max="9474" width="10.109375" style="772" customWidth="1"/>
    <col min="9475" max="9475" width="2.109375" style="772" customWidth="1"/>
    <col min="9476" max="9476" width="50.44140625" style="772" customWidth="1"/>
    <col min="9477" max="9477" width="8.88671875" style="772"/>
    <col min="9478" max="9478" width="2.109375" style="772" customWidth="1"/>
    <col min="9479" max="9479" width="23.88671875" style="772" customWidth="1"/>
    <col min="9480" max="9480" width="2.109375" style="772" customWidth="1"/>
    <col min="9481" max="9481" width="23.88671875" style="772" customWidth="1"/>
    <col min="9482" max="9482" width="2.109375" style="772" customWidth="1"/>
    <col min="9483" max="9483" width="23.88671875" style="772" customWidth="1"/>
    <col min="9484" max="9484" width="2.109375" style="772" customWidth="1"/>
    <col min="9485" max="9485" width="23.88671875" style="772" customWidth="1"/>
    <col min="9486" max="9486" width="2.109375" style="772" customWidth="1"/>
    <col min="9487" max="9487" width="23.88671875" style="772" customWidth="1"/>
    <col min="9488" max="9488" width="2.88671875" style="772" bestFit="1" customWidth="1"/>
    <col min="9489" max="9727" width="8.88671875" style="772"/>
    <col min="9728" max="9729" width="8.88671875" style="772" customWidth="1"/>
    <col min="9730" max="9730" width="10.109375" style="772" customWidth="1"/>
    <col min="9731" max="9731" width="2.109375" style="772" customWidth="1"/>
    <col min="9732" max="9732" width="50.44140625" style="772" customWidth="1"/>
    <col min="9733" max="9733" width="8.88671875" style="772"/>
    <col min="9734" max="9734" width="2.109375" style="772" customWidth="1"/>
    <col min="9735" max="9735" width="23.88671875" style="772" customWidth="1"/>
    <col min="9736" max="9736" width="2.109375" style="772" customWidth="1"/>
    <col min="9737" max="9737" width="23.88671875" style="772" customWidth="1"/>
    <col min="9738" max="9738" width="2.109375" style="772" customWidth="1"/>
    <col min="9739" max="9739" width="23.88671875" style="772" customWidth="1"/>
    <col min="9740" max="9740" width="2.109375" style="772" customWidth="1"/>
    <col min="9741" max="9741" width="23.88671875" style="772" customWidth="1"/>
    <col min="9742" max="9742" width="2.109375" style="772" customWidth="1"/>
    <col min="9743" max="9743" width="23.88671875" style="772" customWidth="1"/>
    <col min="9744" max="9744" width="2.88671875" style="772" bestFit="1" customWidth="1"/>
    <col min="9745" max="9983" width="8.88671875" style="772"/>
    <col min="9984" max="9985" width="8.88671875" style="772" customWidth="1"/>
    <col min="9986" max="9986" width="10.109375" style="772" customWidth="1"/>
    <col min="9987" max="9987" width="2.109375" style="772" customWidth="1"/>
    <col min="9988" max="9988" width="50.44140625" style="772" customWidth="1"/>
    <col min="9989" max="9989" width="8.88671875" style="772"/>
    <col min="9990" max="9990" width="2.109375" style="772" customWidth="1"/>
    <col min="9991" max="9991" width="23.88671875" style="772" customWidth="1"/>
    <col min="9992" max="9992" width="2.109375" style="772" customWidth="1"/>
    <col min="9993" max="9993" width="23.88671875" style="772" customWidth="1"/>
    <col min="9994" max="9994" width="2.109375" style="772" customWidth="1"/>
    <col min="9995" max="9995" width="23.88671875" style="772" customWidth="1"/>
    <col min="9996" max="9996" width="2.109375" style="772" customWidth="1"/>
    <col min="9997" max="9997" width="23.88671875" style="772" customWidth="1"/>
    <col min="9998" max="9998" width="2.109375" style="772" customWidth="1"/>
    <col min="9999" max="9999" width="23.88671875" style="772" customWidth="1"/>
    <col min="10000" max="10000" width="2.88671875" style="772" bestFit="1" customWidth="1"/>
    <col min="10001" max="10239" width="8.88671875" style="772"/>
    <col min="10240" max="10241" width="8.88671875" style="772" customWidth="1"/>
    <col min="10242" max="10242" width="10.109375" style="772" customWidth="1"/>
    <col min="10243" max="10243" width="2.109375" style="772" customWidth="1"/>
    <col min="10244" max="10244" width="50.44140625" style="772" customWidth="1"/>
    <col min="10245" max="10245" width="8.88671875" style="772"/>
    <col min="10246" max="10246" width="2.109375" style="772" customWidth="1"/>
    <col min="10247" max="10247" width="23.88671875" style="772" customWidth="1"/>
    <col min="10248" max="10248" width="2.109375" style="772" customWidth="1"/>
    <col min="10249" max="10249" width="23.88671875" style="772" customWidth="1"/>
    <col min="10250" max="10250" width="2.109375" style="772" customWidth="1"/>
    <col min="10251" max="10251" width="23.88671875" style="772" customWidth="1"/>
    <col min="10252" max="10252" width="2.109375" style="772" customWidth="1"/>
    <col min="10253" max="10253" width="23.88671875" style="772" customWidth="1"/>
    <col min="10254" max="10254" width="2.109375" style="772" customWidth="1"/>
    <col min="10255" max="10255" width="23.88671875" style="772" customWidth="1"/>
    <col min="10256" max="10256" width="2.88671875" style="772" bestFit="1" customWidth="1"/>
    <col min="10257" max="10495" width="8.88671875" style="772"/>
    <col min="10496" max="10497" width="8.88671875" style="772" customWidth="1"/>
    <col min="10498" max="10498" width="10.109375" style="772" customWidth="1"/>
    <col min="10499" max="10499" width="2.109375" style="772" customWidth="1"/>
    <col min="10500" max="10500" width="50.44140625" style="772" customWidth="1"/>
    <col min="10501" max="10501" width="8.88671875" style="772"/>
    <col min="10502" max="10502" width="2.109375" style="772" customWidth="1"/>
    <col min="10503" max="10503" width="23.88671875" style="772" customWidth="1"/>
    <col min="10504" max="10504" width="2.109375" style="772" customWidth="1"/>
    <col min="10505" max="10505" width="23.88671875" style="772" customWidth="1"/>
    <col min="10506" max="10506" width="2.109375" style="772" customWidth="1"/>
    <col min="10507" max="10507" width="23.88671875" style="772" customWidth="1"/>
    <col min="10508" max="10508" width="2.109375" style="772" customWidth="1"/>
    <col min="10509" max="10509" width="23.88671875" style="772" customWidth="1"/>
    <col min="10510" max="10510" width="2.109375" style="772" customWidth="1"/>
    <col min="10511" max="10511" width="23.88671875" style="772" customWidth="1"/>
    <col min="10512" max="10512" width="2.88671875" style="772" bestFit="1" customWidth="1"/>
    <col min="10513" max="10751" width="8.88671875" style="772"/>
    <col min="10752" max="10753" width="8.88671875" style="772" customWidth="1"/>
    <col min="10754" max="10754" width="10.109375" style="772" customWidth="1"/>
    <col min="10755" max="10755" width="2.109375" style="772" customWidth="1"/>
    <col min="10756" max="10756" width="50.44140625" style="772" customWidth="1"/>
    <col min="10757" max="10757" width="8.88671875" style="772"/>
    <col min="10758" max="10758" width="2.109375" style="772" customWidth="1"/>
    <col min="10759" max="10759" width="23.88671875" style="772" customWidth="1"/>
    <col min="10760" max="10760" width="2.109375" style="772" customWidth="1"/>
    <col min="10761" max="10761" width="23.88671875" style="772" customWidth="1"/>
    <col min="10762" max="10762" width="2.109375" style="772" customWidth="1"/>
    <col min="10763" max="10763" width="23.88671875" style="772" customWidth="1"/>
    <col min="10764" max="10764" width="2.109375" style="772" customWidth="1"/>
    <col min="10765" max="10765" width="23.88671875" style="772" customWidth="1"/>
    <col min="10766" max="10766" width="2.109375" style="772" customWidth="1"/>
    <col min="10767" max="10767" width="23.88671875" style="772" customWidth="1"/>
    <col min="10768" max="10768" width="2.88671875" style="772" bestFit="1" customWidth="1"/>
    <col min="10769" max="11007" width="8.88671875" style="772"/>
    <col min="11008" max="11009" width="8.88671875" style="772" customWidth="1"/>
    <col min="11010" max="11010" width="10.109375" style="772" customWidth="1"/>
    <col min="11011" max="11011" width="2.109375" style="772" customWidth="1"/>
    <col min="11012" max="11012" width="50.44140625" style="772" customWidth="1"/>
    <col min="11013" max="11013" width="8.88671875" style="772"/>
    <col min="11014" max="11014" width="2.109375" style="772" customWidth="1"/>
    <col min="11015" max="11015" width="23.88671875" style="772" customWidth="1"/>
    <col min="11016" max="11016" width="2.109375" style="772" customWidth="1"/>
    <col min="11017" max="11017" width="23.88671875" style="772" customWidth="1"/>
    <col min="11018" max="11018" width="2.109375" style="772" customWidth="1"/>
    <col min="11019" max="11019" width="23.88671875" style="772" customWidth="1"/>
    <col min="11020" max="11020" width="2.109375" style="772" customWidth="1"/>
    <col min="11021" max="11021" width="23.88671875" style="772" customWidth="1"/>
    <col min="11022" max="11022" width="2.109375" style="772" customWidth="1"/>
    <col min="11023" max="11023" width="23.88671875" style="772" customWidth="1"/>
    <col min="11024" max="11024" width="2.88671875" style="772" bestFit="1" customWidth="1"/>
    <col min="11025" max="11263" width="8.88671875" style="772"/>
    <col min="11264" max="11265" width="8.88671875" style="772" customWidth="1"/>
    <col min="11266" max="11266" width="10.109375" style="772" customWidth="1"/>
    <col min="11267" max="11267" width="2.109375" style="772" customWidth="1"/>
    <col min="11268" max="11268" width="50.44140625" style="772" customWidth="1"/>
    <col min="11269" max="11269" width="8.88671875" style="772"/>
    <col min="11270" max="11270" width="2.109375" style="772" customWidth="1"/>
    <col min="11271" max="11271" width="23.88671875" style="772" customWidth="1"/>
    <col min="11272" max="11272" width="2.109375" style="772" customWidth="1"/>
    <col min="11273" max="11273" width="23.88671875" style="772" customWidth="1"/>
    <col min="11274" max="11274" width="2.109375" style="772" customWidth="1"/>
    <col min="11275" max="11275" width="23.88671875" style="772" customWidth="1"/>
    <col min="11276" max="11276" width="2.109375" style="772" customWidth="1"/>
    <col min="11277" max="11277" width="23.88671875" style="772" customWidth="1"/>
    <col min="11278" max="11278" width="2.109375" style="772" customWidth="1"/>
    <col min="11279" max="11279" width="23.88671875" style="772" customWidth="1"/>
    <col min="11280" max="11280" width="2.88671875" style="772" bestFit="1" customWidth="1"/>
    <col min="11281" max="11519" width="8.88671875" style="772"/>
    <col min="11520" max="11521" width="8.88671875" style="772" customWidth="1"/>
    <col min="11522" max="11522" width="10.109375" style="772" customWidth="1"/>
    <col min="11523" max="11523" width="2.109375" style="772" customWidth="1"/>
    <col min="11524" max="11524" width="50.44140625" style="772" customWidth="1"/>
    <col min="11525" max="11525" width="8.88671875" style="772"/>
    <col min="11526" max="11526" width="2.109375" style="772" customWidth="1"/>
    <col min="11527" max="11527" width="23.88671875" style="772" customWidth="1"/>
    <col min="11528" max="11528" width="2.109375" style="772" customWidth="1"/>
    <col min="11529" max="11529" width="23.88671875" style="772" customWidth="1"/>
    <col min="11530" max="11530" width="2.109375" style="772" customWidth="1"/>
    <col min="11531" max="11531" width="23.88671875" style="772" customWidth="1"/>
    <col min="11532" max="11532" width="2.109375" style="772" customWidth="1"/>
    <col min="11533" max="11533" width="23.88671875" style="772" customWidth="1"/>
    <col min="11534" max="11534" width="2.109375" style="772" customWidth="1"/>
    <col min="11535" max="11535" width="23.88671875" style="772" customWidth="1"/>
    <col min="11536" max="11536" width="2.88671875" style="772" bestFit="1" customWidth="1"/>
    <col min="11537" max="11775" width="8.88671875" style="772"/>
    <col min="11776" max="11777" width="8.88671875" style="772" customWidth="1"/>
    <col min="11778" max="11778" width="10.109375" style="772" customWidth="1"/>
    <col min="11779" max="11779" width="2.109375" style="772" customWidth="1"/>
    <col min="11780" max="11780" width="50.44140625" style="772" customWidth="1"/>
    <col min="11781" max="11781" width="8.88671875" style="772"/>
    <col min="11782" max="11782" width="2.109375" style="772" customWidth="1"/>
    <col min="11783" max="11783" width="23.88671875" style="772" customWidth="1"/>
    <col min="11784" max="11784" width="2.109375" style="772" customWidth="1"/>
    <col min="11785" max="11785" width="23.88671875" style="772" customWidth="1"/>
    <col min="11786" max="11786" width="2.109375" style="772" customWidth="1"/>
    <col min="11787" max="11787" width="23.88671875" style="772" customWidth="1"/>
    <col min="11788" max="11788" width="2.109375" style="772" customWidth="1"/>
    <col min="11789" max="11789" width="23.88671875" style="772" customWidth="1"/>
    <col min="11790" max="11790" width="2.109375" style="772" customWidth="1"/>
    <col min="11791" max="11791" width="23.88671875" style="772" customWidth="1"/>
    <col min="11792" max="11792" width="2.88671875" style="772" bestFit="1" customWidth="1"/>
    <col min="11793" max="12031" width="8.88671875" style="772"/>
    <col min="12032" max="12033" width="8.88671875" style="772" customWidth="1"/>
    <col min="12034" max="12034" width="10.109375" style="772" customWidth="1"/>
    <col min="12035" max="12035" width="2.109375" style="772" customWidth="1"/>
    <col min="12036" max="12036" width="50.44140625" style="772" customWidth="1"/>
    <col min="12037" max="12037" width="8.88671875" style="772"/>
    <col min="12038" max="12038" width="2.109375" style="772" customWidth="1"/>
    <col min="12039" max="12039" width="23.88671875" style="772" customWidth="1"/>
    <col min="12040" max="12040" width="2.109375" style="772" customWidth="1"/>
    <col min="12041" max="12041" width="23.88671875" style="772" customWidth="1"/>
    <col min="12042" max="12042" width="2.109375" style="772" customWidth="1"/>
    <col min="12043" max="12043" width="23.88671875" style="772" customWidth="1"/>
    <col min="12044" max="12044" width="2.109375" style="772" customWidth="1"/>
    <col min="12045" max="12045" width="23.88671875" style="772" customWidth="1"/>
    <col min="12046" max="12046" width="2.109375" style="772" customWidth="1"/>
    <col min="12047" max="12047" width="23.88671875" style="772" customWidth="1"/>
    <col min="12048" max="12048" width="2.88671875" style="772" bestFit="1" customWidth="1"/>
    <col min="12049" max="12287" width="8.88671875" style="772"/>
    <col min="12288" max="12289" width="8.88671875" style="772" customWidth="1"/>
    <col min="12290" max="12290" width="10.109375" style="772" customWidth="1"/>
    <col min="12291" max="12291" width="2.109375" style="772" customWidth="1"/>
    <col min="12292" max="12292" width="50.44140625" style="772" customWidth="1"/>
    <col min="12293" max="12293" width="8.88671875" style="772"/>
    <col min="12294" max="12294" width="2.109375" style="772" customWidth="1"/>
    <col min="12295" max="12295" width="23.88671875" style="772" customWidth="1"/>
    <col min="12296" max="12296" width="2.109375" style="772" customWidth="1"/>
    <col min="12297" max="12297" width="23.88671875" style="772" customWidth="1"/>
    <col min="12298" max="12298" width="2.109375" style="772" customWidth="1"/>
    <col min="12299" max="12299" width="23.88671875" style="772" customWidth="1"/>
    <col min="12300" max="12300" width="2.109375" style="772" customWidth="1"/>
    <col min="12301" max="12301" width="23.88671875" style="772" customWidth="1"/>
    <col min="12302" max="12302" width="2.109375" style="772" customWidth="1"/>
    <col min="12303" max="12303" width="23.88671875" style="772" customWidth="1"/>
    <col min="12304" max="12304" width="2.88671875" style="772" bestFit="1" customWidth="1"/>
    <col min="12305" max="12543" width="8.88671875" style="772"/>
    <col min="12544" max="12545" width="8.88671875" style="772" customWidth="1"/>
    <col min="12546" max="12546" width="10.109375" style="772" customWidth="1"/>
    <col min="12547" max="12547" width="2.109375" style="772" customWidth="1"/>
    <col min="12548" max="12548" width="50.44140625" style="772" customWidth="1"/>
    <col min="12549" max="12549" width="8.88671875" style="772"/>
    <col min="12550" max="12550" width="2.109375" style="772" customWidth="1"/>
    <col min="12551" max="12551" width="23.88671875" style="772" customWidth="1"/>
    <col min="12552" max="12552" width="2.109375" style="772" customWidth="1"/>
    <col min="12553" max="12553" width="23.88671875" style="772" customWidth="1"/>
    <col min="12554" max="12554" width="2.109375" style="772" customWidth="1"/>
    <col min="12555" max="12555" width="23.88671875" style="772" customWidth="1"/>
    <col min="12556" max="12556" width="2.109375" style="772" customWidth="1"/>
    <col min="12557" max="12557" width="23.88671875" style="772" customWidth="1"/>
    <col min="12558" max="12558" width="2.109375" style="772" customWidth="1"/>
    <col min="12559" max="12559" width="23.88671875" style="772" customWidth="1"/>
    <col min="12560" max="12560" width="2.88671875" style="772" bestFit="1" customWidth="1"/>
    <col min="12561" max="12799" width="8.88671875" style="772"/>
    <col min="12800" max="12801" width="8.88671875" style="772" customWidth="1"/>
    <col min="12802" max="12802" width="10.109375" style="772" customWidth="1"/>
    <col min="12803" max="12803" width="2.109375" style="772" customWidth="1"/>
    <col min="12804" max="12804" width="50.44140625" style="772" customWidth="1"/>
    <col min="12805" max="12805" width="8.88671875" style="772"/>
    <col min="12806" max="12806" width="2.109375" style="772" customWidth="1"/>
    <col min="12807" max="12807" width="23.88671875" style="772" customWidth="1"/>
    <col min="12808" max="12808" width="2.109375" style="772" customWidth="1"/>
    <col min="12809" max="12809" width="23.88671875" style="772" customWidth="1"/>
    <col min="12810" max="12810" width="2.109375" style="772" customWidth="1"/>
    <col min="12811" max="12811" width="23.88671875" style="772" customWidth="1"/>
    <col min="12812" max="12812" width="2.109375" style="772" customWidth="1"/>
    <col min="12813" max="12813" width="23.88671875" style="772" customWidth="1"/>
    <col min="12814" max="12814" width="2.109375" style="772" customWidth="1"/>
    <col min="12815" max="12815" width="23.88671875" style="772" customWidth="1"/>
    <col min="12816" max="12816" width="2.88671875" style="772" bestFit="1" customWidth="1"/>
    <col min="12817" max="13055" width="8.88671875" style="772"/>
    <col min="13056" max="13057" width="8.88671875" style="772" customWidth="1"/>
    <col min="13058" max="13058" width="10.109375" style="772" customWidth="1"/>
    <col min="13059" max="13059" width="2.109375" style="772" customWidth="1"/>
    <col min="13060" max="13060" width="50.44140625" style="772" customWidth="1"/>
    <col min="13061" max="13061" width="8.88671875" style="772"/>
    <col min="13062" max="13062" width="2.109375" style="772" customWidth="1"/>
    <col min="13063" max="13063" width="23.88671875" style="772" customWidth="1"/>
    <col min="13064" max="13064" width="2.109375" style="772" customWidth="1"/>
    <col min="13065" max="13065" width="23.88671875" style="772" customWidth="1"/>
    <col min="13066" max="13066" width="2.109375" style="772" customWidth="1"/>
    <col min="13067" max="13067" width="23.88671875" style="772" customWidth="1"/>
    <col min="13068" max="13068" width="2.109375" style="772" customWidth="1"/>
    <col min="13069" max="13069" width="23.88671875" style="772" customWidth="1"/>
    <col min="13070" max="13070" width="2.109375" style="772" customWidth="1"/>
    <col min="13071" max="13071" width="23.88671875" style="772" customWidth="1"/>
    <col min="13072" max="13072" width="2.88671875" style="772" bestFit="1" customWidth="1"/>
    <col min="13073" max="13311" width="8.88671875" style="772"/>
    <col min="13312" max="13313" width="8.88671875" style="772" customWidth="1"/>
    <col min="13314" max="13314" width="10.109375" style="772" customWidth="1"/>
    <col min="13315" max="13315" width="2.109375" style="772" customWidth="1"/>
    <col min="13316" max="13316" width="50.44140625" style="772" customWidth="1"/>
    <col min="13317" max="13317" width="8.88671875" style="772"/>
    <col min="13318" max="13318" width="2.109375" style="772" customWidth="1"/>
    <col min="13319" max="13319" width="23.88671875" style="772" customWidth="1"/>
    <col min="13320" max="13320" width="2.109375" style="772" customWidth="1"/>
    <col min="13321" max="13321" width="23.88671875" style="772" customWidth="1"/>
    <col min="13322" max="13322" width="2.109375" style="772" customWidth="1"/>
    <col min="13323" max="13323" width="23.88671875" style="772" customWidth="1"/>
    <col min="13324" max="13324" width="2.109375" style="772" customWidth="1"/>
    <col min="13325" max="13325" width="23.88671875" style="772" customWidth="1"/>
    <col min="13326" max="13326" width="2.109375" style="772" customWidth="1"/>
    <col min="13327" max="13327" width="23.88671875" style="772" customWidth="1"/>
    <col min="13328" max="13328" width="2.88671875" style="772" bestFit="1" customWidth="1"/>
    <col min="13329" max="13567" width="8.88671875" style="772"/>
    <col min="13568" max="13569" width="8.88671875" style="772" customWidth="1"/>
    <col min="13570" max="13570" width="10.109375" style="772" customWidth="1"/>
    <col min="13571" max="13571" width="2.109375" style="772" customWidth="1"/>
    <col min="13572" max="13572" width="50.44140625" style="772" customWidth="1"/>
    <col min="13573" max="13573" width="8.88671875" style="772"/>
    <col min="13574" max="13574" width="2.109375" style="772" customWidth="1"/>
    <col min="13575" max="13575" width="23.88671875" style="772" customWidth="1"/>
    <col min="13576" max="13576" width="2.109375" style="772" customWidth="1"/>
    <col min="13577" max="13577" width="23.88671875" style="772" customWidth="1"/>
    <col min="13578" max="13578" width="2.109375" style="772" customWidth="1"/>
    <col min="13579" max="13579" width="23.88671875" style="772" customWidth="1"/>
    <col min="13580" max="13580" width="2.109375" style="772" customWidth="1"/>
    <col min="13581" max="13581" width="23.88671875" style="772" customWidth="1"/>
    <col min="13582" max="13582" width="2.109375" style="772" customWidth="1"/>
    <col min="13583" max="13583" width="23.88671875" style="772" customWidth="1"/>
    <col min="13584" max="13584" width="2.88671875" style="772" bestFit="1" customWidth="1"/>
    <col min="13585" max="13823" width="8.88671875" style="772"/>
    <col min="13824" max="13825" width="8.88671875" style="772" customWidth="1"/>
    <col min="13826" max="13826" width="10.109375" style="772" customWidth="1"/>
    <col min="13827" max="13827" width="2.109375" style="772" customWidth="1"/>
    <col min="13828" max="13828" width="50.44140625" style="772" customWidth="1"/>
    <col min="13829" max="13829" width="8.88671875" style="772"/>
    <col min="13830" max="13830" width="2.109375" style="772" customWidth="1"/>
    <col min="13831" max="13831" width="23.88671875" style="772" customWidth="1"/>
    <col min="13832" max="13832" width="2.109375" style="772" customWidth="1"/>
    <col min="13833" max="13833" width="23.88671875" style="772" customWidth="1"/>
    <col min="13834" max="13834" width="2.109375" style="772" customWidth="1"/>
    <col min="13835" max="13835" width="23.88671875" style="772" customWidth="1"/>
    <col min="13836" max="13836" width="2.109375" style="772" customWidth="1"/>
    <col min="13837" max="13837" width="23.88671875" style="772" customWidth="1"/>
    <col min="13838" max="13838" width="2.109375" style="772" customWidth="1"/>
    <col min="13839" max="13839" width="23.88671875" style="772" customWidth="1"/>
    <col min="13840" max="13840" width="2.88671875" style="772" bestFit="1" customWidth="1"/>
    <col min="13841" max="14079" width="8.88671875" style="772"/>
    <col min="14080" max="14081" width="8.88671875" style="772" customWidth="1"/>
    <col min="14082" max="14082" width="10.109375" style="772" customWidth="1"/>
    <col min="14083" max="14083" width="2.109375" style="772" customWidth="1"/>
    <col min="14084" max="14084" width="50.44140625" style="772" customWidth="1"/>
    <col min="14085" max="14085" width="8.88671875" style="772"/>
    <col min="14086" max="14086" width="2.109375" style="772" customWidth="1"/>
    <col min="14087" max="14087" width="23.88671875" style="772" customWidth="1"/>
    <col min="14088" max="14088" width="2.109375" style="772" customWidth="1"/>
    <col min="14089" max="14089" width="23.88671875" style="772" customWidth="1"/>
    <col min="14090" max="14090" width="2.109375" style="772" customWidth="1"/>
    <col min="14091" max="14091" width="23.88671875" style="772" customWidth="1"/>
    <col min="14092" max="14092" width="2.109375" style="772" customWidth="1"/>
    <col min="14093" max="14093" width="23.88671875" style="772" customWidth="1"/>
    <col min="14094" max="14094" width="2.109375" style="772" customWidth="1"/>
    <col min="14095" max="14095" width="23.88671875" style="772" customWidth="1"/>
    <col min="14096" max="14096" width="2.88671875" style="772" bestFit="1" customWidth="1"/>
    <col min="14097" max="14335" width="8.88671875" style="772"/>
    <col min="14336" max="14337" width="8.88671875" style="772" customWidth="1"/>
    <col min="14338" max="14338" width="10.109375" style="772" customWidth="1"/>
    <col min="14339" max="14339" width="2.109375" style="772" customWidth="1"/>
    <col min="14340" max="14340" width="50.44140625" style="772" customWidth="1"/>
    <col min="14341" max="14341" width="8.88671875" style="772"/>
    <col min="14342" max="14342" width="2.109375" style="772" customWidth="1"/>
    <col min="14343" max="14343" width="23.88671875" style="772" customWidth="1"/>
    <col min="14344" max="14344" width="2.109375" style="772" customWidth="1"/>
    <col min="14345" max="14345" width="23.88671875" style="772" customWidth="1"/>
    <col min="14346" max="14346" width="2.109375" style="772" customWidth="1"/>
    <col min="14347" max="14347" width="23.88671875" style="772" customWidth="1"/>
    <col min="14348" max="14348" width="2.109375" style="772" customWidth="1"/>
    <col min="14349" max="14349" width="23.88671875" style="772" customWidth="1"/>
    <col min="14350" max="14350" width="2.109375" style="772" customWidth="1"/>
    <col min="14351" max="14351" width="23.88671875" style="772" customWidth="1"/>
    <col min="14352" max="14352" width="2.88671875" style="772" bestFit="1" customWidth="1"/>
    <col min="14353" max="14591" width="8.88671875" style="772"/>
    <col min="14592" max="14593" width="8.88671875" style="772" customWidth="1"/>
    <col min="14594" max="14594" width="10.109375" style="772" customWidth="1"/>
    <col min="14595" max="14595" width="2.109375" style="772" customWidth="1"/>
    <col min="14596" max="14596" width="50.44140625" style="772" customWidth="1"/>
    <col min="14597" max="14597" width="8.88671875" style="772"/>
    <col min="14598" max="14598" width="2.109375" style="772" customWidth="1"/>
    <col min="14599" max="14599" width="23.88671875" style="772" customWidth="1"/>
    <col min="14600" max="14600" width="2.109375" style="772" customWidth="1"/>
    <col min="14601" max="14601" width="23.88671875" style="772" customWidth="1"/>
    <col min="14602" max="14602" width="2.109375" style="772" customWidth="1"/>
    <col min="14603" max="14603" width="23.88671875" style="772" customWidth="1"/>
    <col min="14604" max="14604" width="2.109375" style="772" customWidth="1"/>
    <col min="14605" max="14605" width="23.88671875" style="772" customWidth="1"/>
    <col min="14606" max="14606" width="2.109375" style="772" customWidth="1"/>
    <col min="14607" max="14607" width="23.88671875" style="772" customWidth="1"/>
    <col min="14608" max="14608" width="2.88671875" style="772" bestFit="1" customWidth="1"/>
    <col min="14609" max="14847" width="8.88671875" style="772"/>
    <col min="14848" max="14849" width="8.88671875" style="772" customWidth="1"/>
    <col min="14850" max="14850" width="10.109375" style="772" customWidth="1"/>
    <col min="14851" max="14851" width="2.109375" style="772" customWidth="1"/>
    <col min="14852" max="14852" width="50.44140625" style="772" customWidth="1"/>
    <col min="14853" max="14853" width="8.88671875" style="772"/>
    <col min="14854" max="14854" width="2.109375" style="772" customWidth="1"/>
    <col min="14855" max="14855" width="23.88671875" style="772" customWidth="1"/>
    <col min="14856" max="14856" width="2.109375" style="772" customWidth="1"/>
    <col min="14857" max="14857" width="23.88671875" style="772" customWidth="1"/>
    <col min="14858" max="14858" width="2.109375" style="772" customWidth="1"/>
    <col min="14859" max="14859" width="23.88671875" style="772" customWidth="1"/>
    <col min="14860" max="14860" width="2.109375" style="772" customWidth="1"/>
    <col min="14861" max="14861" width="23.88671875" style="772" customWidth="1"/>
    <col min="14862" max="14862" width="2.109375" style="772" customWidth="1"/>
    <col min="14863" max="14863" width="23.88671875" style="772" customWidth="1"/>
    <col min="14864" max="14864" width="2.88671875" style="772" bestFit="1" customWidth="1"/>
    <col min="14865" max="15103" width="8.88671875" style="772"/>
    <col min="15104" max="15105" width="8.88671875" style="772" customWidth="1"/>
    <col min="15106" max="15106" width="10.109375" style="772" customWidth="1"/>
    <col min="15107" max="15107" width="2.109375" style="772" customWidth="1"/>
    <col min="15108" max="15108" width="50.44140625" style="772" customWidth="1"/>
    <col min="15109" max="15109" width="8.88671875" style="772"/>
    <col min="15110" max="15110" width="2.109375" style="772" customWidth="1"/>
    <col min="15111" max="15111" width="23.88671875" style="772" customWidth="1"/>
    <col min="15112" max="15112" width="2.109375" style="772" customWidth="1"/>
    <col min="15113" max="15113" width="23.88671875" style="772" customWidth="1"/>
    <col min="15114" max="15114" width="2.109375" style="772" customWidth="1"/>
    <col min="15115" max="15115" width="23.88671875" style="772" customWidth="1"/>
    <col min="15116" max="15116" width="2.109375" style="772" customWidth="1"/>
    <col min="15117" max="15117" width="23.88671875" style="772" customWidth="1"/>
    <col min="15118" max="15118" width="2.109375" style="772" customWidth="1"/>
    <col min="15119" max="15119" width="23.88671875" style="772" customWidth="1"/>
    <col min="15120" max="15120" width="2.88671875" style="772" bestFit="1" customWidth="1"/>
    <col min="15121" max="15359" width="8.88671875" style="772"/>
    <col min="15360" max="15361" width="8.88671875" style="772" customWidth="1"/>
    <col min="15362" max="15362" width="10.109375" style="772" customWidth="1"/>
    <col min="15363" max="15363" width="2.109375" style="772" customWidth="1"/>
    <col min="15364" max="15364" width="50.44140625" style="772" customWidth="1"/>
    <col min="15365" max="15365" width="8.88671875" style="772"/>
    <col min="15366" max="15366" width="2.109375" style="772" customWidth="1"/>
    <col min="15367" max="15367" width="23.88671875" style="772" customWidth="1"/>
    <col min="15368" max="15368" width="2.109375" style="772" customWidth="1"/>
    <col min="15369" max="15369" width="23.88671875" style="772" customWidth="1"/>
    <col min="15370" max="15370" width="2.109375" style="772" customWidth="1"/>
    <col min="15371" max="15371" width="23.88671875" style="772" customWidth="1"/>
    <col min="15372" max="15372" width="2.109375" style="772" customWidth="1"/>
    <col min="15373" max="15373" width="23.88671875" style="772" customWidth="1"/>
    <col min="15374" max="15374" width="2.109375" style="772" customWidth="1"/>
    <col min="15375" max="15375" width="23.88671875" style="772" customWidth="1"/>
    <col min="15376" max="15376" width="2.88671875" style="772" bestFit="1" customWidth="1"/>
    <col min="15377" max="15615" width="8.88671875" style="772"/>
    <col min="15616" max="15617" width="8.88671875" style="772" customWidth="1"/>
    <col min="15618" max="15618" width="10.109375" style="772" customWidth="1"/>
    <col min="15619" max="15619" width="2.109375" style="772" customWidth="1"/>
    <col min="15620" max="15620" width="50.44140625" style="772" customWidth="1"/>
    <col min="15621" max="15621" width="8.88671875" style="772"/>
    <col min="15622" max="15622" width="2.109375" style="772" customWidth="1"/>
    <col min="15623" max="15623" width="23.88671875" style="772" customWidth="1"/>
    <col min="15624" max="15624" width="2.109375" style="772" customWidth="1"/>
    <col min="15625" max="15625" width="23.88671875" style="772" customWidth="1"/>
    <col min="15626" max="15626" width="2.109375" style="772" customWidth="1"/>
    <col min="15627" max="15627" width="23.88671875" style="772" customWidth="1"/>
    <col min="15628" max="15628" width="2.109375" style="772" customWidth="1"/>
    <col min="15629" max="15629" width="23.88671875" style="772" customWidth="1"/>
    <col min="15630" max="15630" width="2.109375" style="772" customWidth="1"/>
    <col min="15631" max="15631" width="23.88671875" style="772" customWidth="1"/>
    <col min="15632" max="15632" width="2.88671875" style="772" bestFit="1" customWidth="1"/>
    <col min="15633" max="15871" width="8.88671875" style="772"/>
    <col min="15872" max="15873" width="8.88671875" style="772" customWidth="1"/>
    <col min="15874" max="15874" width="10.109375" style="772" customWidth="1"/>
    <col min="15875" max="15875" width="2.109375" style="772" customWidth="1"/>
    <col min="15876" max="15876" width="50.44140625" style="772" customWidth="1"/>
    <col min="15877" max="15877" width="8.88671875" style="772"/>
    <col min="15878" max="15878" width="2.109375" style="772" customWidth="1"/>
    <col min="15879" max="15879" width="23.88671875" style="772" customWidth="1"/>
    <col min="15880" max="15880" width="2.109375" style="772" customWidth="1"/>
    <col min="15881" max="15881" width="23.88671875" style="772" customWidth="1"/>
    <col min="15882" max="15882" width="2.109375" style="772" customWidth="1"/>
    <col min="15883" max="15883" width="23.88671875" style="772" customWidth="1"/>
    <col min="15884" max="15884" width="2.109375" style="772" customWidth="1"/>
    <col min="15885" max="15885" width="23.88671875" style="772" customWidth="1"/>
    <col min="15886" max="15886" width="2.109375" style="772" customWidth="1"/>
    <col min="15887" max="15887" width="23.88671875" style="772" customWidth="1"/>
    <col min="15888" max="15888" width="2.88671875" style="772" bestFit="1" customWidth="1"/>
    <col min="15889" max="16127" width="8.88671875" style="772"/>
    <col min="16128" max="16129" width="8.88671875" style="772" customWidth="1"/>
    <col min="16130" max="16130" width="10.109375" style="772" customWidth="1"/>
    <col min="16131" max="16131" width="2.109375" style="772" customWidth="1"/>
    <col min="16132" max="16132" width="50.44140625" style="772" customWidth="1"/>
    <col min="16133" max="16133" width="8.88671875" style="772"/>
    <col min="16134" max="16134" width="2.109375" style="772" customWidth="1"/>
    <col min="16135" max="16135" width="23.88671875" style="772" customWidth="1"/>
    <col min="16136" max="16136" width="2.109375" style="772" customWidth="1"/>
    <col min="16137" max="16137" width="23.88671875" style="772" customWidth="1"/>
    <col min="16138" max="16138" width="2.109375" style="772" customWidth="1"/>
    <col min="16139" max="16139" width="23.88671875" style="772" customWidth="1"/>
    <col min="16140" max="16140" width="2.109375" style="772" customWidth="1"/>
    <col min="16141" max="16141" width="23.88671875" style="772" customWidth="1"/>
    <col min="16142" max="16142" width="2.109375" style="772" customWidth="1"/>
    <col min="16143" max="16143" width="23.88671875" style="772" customWidth="1"/>
    <col min="16144" max="16144" width="2.88671875" style="772" bestFit="1" customWidth="1"/>
    <col min="16145" max="16384" width="8.88671875" style="772"/>
  </cols>
  <sheetData>
    <row r="1" spans="2:31" ht="15.75">
      <c r="B1" s="439"/>
      <c r="C1" s="439"/>
      <c r="D1" s="289" t="s">
        <v>97</v>
      </c>
      <c r="E1" s="439"/>
      <c r="F1" s="771"/>
      <c r="G1" s="439"/>
      <c r="H1" s="439"/>
      <c r="I1" s="439"/>
      <c r="J1" s="439"/>
      <c r="K1" s="439"/>
      <c r="L1" s="439"/>
      <c r="M1" s="439"/>
      <c r="N1" s="439"/>
      <c r="O1" s="1109"/>
      <c r="P1" s="773"/>
      <c r="Q1" s="1109"/>
      <c r="R1" s="1109"/>
      <c r="S1" s="1109"/>
      <c r="T1" s="1109"/>
      <c r="U1" s="1109"/>
      <c r="V1" s="1109"/>
      <c r="W1" s="1109"/>
      <c r="X1" s="1109"/>
      <c r="Y1" s="1109"/>
      <c r="Z1" s="1109"/>
      <c r="AA1" s="1109"/>
      <c r="AB1" s="1109"/>
      <c r="AC1" s="1109"/>
      <c r="AD1" s="1109"/>
      <c r="AE1" s="1109"/>
    </row>
    <row r="2" spans="2:31" ht="15.75">
      <c r="B2" s="439"/>
      <c r="C2" s="439"/>
      <c r="D2" s="439"/>
      <c r="E2" s="439"/>
      <c r="F2" s="771"/>
      <c r="G2" s="439"/>
      <c r="H2" s="439"/>
      <c r="I2" s="439"/>
      <c r="J2" s="439"/>
      <c r="K2" s="439"/>
      <c r="L2" s="439"/>
      <c r="M2" s="439"/>
      <c r="N2" s="439"/>
      <c r="O2" s="2062" t="s">
        <v>1076</v>
      </c>
      <c r="P2" s="773"/>
      <c r="Q2" s="1109"/>
      <c r="R2" s="1109"/>
      <c r="S2" s="1109"/>
      <c r="T2" s="1109"/>
      <c r="U2" s="1109"/>
      <c r="V2" s="1109"/>
      <c r="W2" s="1109"/>
      <c r="X2" s="1109"/>
      <c r="Y2" s="1109"/>
      <c r="Z2" s="1109"/>
      <c r="AA2" s="1109"/>
      <c r="AB2" s="1109"/>
      <c r="AC2" s="1109"/>
      <c r="AD2" s="1109"/>
      <c r="AE2" s="1109"/>
    </row>
    <row r="3" spans="2:31" ht="15.75">
      <c r="B3" s="439"/>
      <c r="C3" s="439"/>
      <c r="D3" s="439"/>
      <c r="E3" s="439"/>
      <c r="F3" s="771"/>
      <c r="G3" s="439"/>
      <c r="H3" s="439"/>
      <c r="I3" s="439"/>
      <c r="J3" s="439"/>
      <c r="K3" s="439"/>
      <c r="L3" s="439"/>
      <c r="M3" s="439"/>
      <c r="N3" s="439"/>
      <c r="O3" s="2063"/>
      <c r="P3" s="1199"/>
      <c r="Q3" s="1109"/>
      <c r="R3" s="1109"/>
      <c r="S3" s="1109"/>
      <c r="T3" s="1109"/>
      <c r="U3" s="1109"/>
      <c r="V3" s="1109"/>
      <c r="W3" s="1109"/>
      <c r="X3" s="1109"/>
      <c r="Y3" s="1109"/>
      <c r="Z3" s="1109"/>
      <c r="AA3" s="1109"/>
      <c r="AB3" s="1109"/>
      <c r="AC3" s="1109"/>
      <c r="AD3" s="1109"/>
      <c r="AE3" s="1109"/>
    </row>
    <row r="4" spans="2:31" ht="18">
      <c r="B4" s="774"/>
      <c r="C4" s="775"/>
      <c r="D4" s="776" t="s">
        <v>98</v>
      </c>
      <c r="E4" s="775"/>
      <c r="F4" s="775"/>
      <c r="G4"/>
      <c r="H4"/>
      <c r="I4"/>
      <c r="J4"/>
      <c r="K4"/>
      <c r="L4"/>
      <c r="M4" s="1200"/>
      <c r="N4" s="1200"/>
      <c r="O4" s="1200"/>
      <c r="P4" s="1201"/>
      <c r="Q4" s="1109"/>
      <c r="R4" s="1109"/>
      <c r="S4" s="1109"/>
      <c r="T4" s="1109"/>
      <c r="U4" s="1109"/>
      <c r="V4" s="1109"/>
      <c r="W4" s="1109"/>
      <c r="X4" s="1109"/>
      <c r="Y4" s="1109"/>
      <c r="Z4" s="1109"/>
      <c r="AA4" s="1109"/>
      <c r="AB4" s="1109"/>
      <c r="AC4" s="1109"/>
      <c r="AD4" s="1109"/>
      <c r="AE4" s="1109"/>
    </row>
    <row r="5" spans="2:31" ht="18">
      <c r="B5" s="774"/>
      <c r="C5" s="775"/>
      <c r="D5" s="776" t="s">
        <v>1077</v>
      </c>
      <c r="E5" s="775"/>
      <c r="F5" s="775"/>
      <c r="G5"/>
      <c r="H5"/>
      <c r="I5"/>
      <c r="J5"/>
      <c r="K5"/>
      <c r="L5"/>
      <c r="M5" s="1202"/>
      <c r="N5" s="1202"/>
      <c r="O5" s="1202"/>
      <c r="P5" s="1203"/>
      <c r="Q5" s="1109"/>
      <c r="R5" s="1109"/>
      <c r="S5" s="1109"/>
      <c r="T5" s="1109"/>
      <c r="U5" s="1109"/>
      <c r="V5" s="1109"/>
      <c r="W5" s="1109"/>
      <c r="X5" s="1109"/>
      <c r="Y5" s="1109"/>
      <c r="Z5" s="1109"/>
      <c r="AA5" s="1109"/>
      <c r="AB5" s="1109"/>
      <c r="AC5" s="1109"/>
      <c r="AD5" s="1109"/>
      <c r="AE5" s="1109"/>
    </row>
    <row r="6" spans="2:31" ht="15.75">
      <c r="B6" s="774"/>
      <c r="C6" s="775"/>
      <c r="D6" s="777"/>
      <c r="E6" s="775"/>
      <c r="F6" s="775"/>
      <c r="G6"/>
      <c r="H6"/>
      <c r="I6"/>
      <c r="J6"/>
      <c r="K6"/>
      <c r="L6"/>
      <c r="M6" s="1204"/>
      <c r="N6" s="1204"/>
      <c r="O6" s="1204"/>
      <c r="P6" s="1205"/>
      <c r="Q6" s="1109"/>
      <c r="R6" s="1109"/>
      <c r="S6" s="1109"/>
      <c r="T6" s="1109"/>
      <c r="U6" s="1109"/>
      <c r="V6" s="1109"/>
      <c r="W6" s="1109"/>
      <c r="X6" s="1109"/>
      <c r="Y6" s="1109"/>
      <c r="Z6" s="1109"/>
      <c r="AA6" s="1109"/>
      <c r="AB6" s="1109"/>
      <c r="AC6" s="1109"/>
      <c r="AD6" s="1109"/>
      <c r="AE6" s="1109"/>
    </row>
    <row r="7" spans="2:31" ht="15.75">
      <c r="B7" s="774"/>
      <c r="C7" s="773"/>
      <c r="D7" s="773"/>
      <c r="E7" s="778"/>
      <c r="F7" s="778"/>
      <c r="G7"/>
      <c r="H7"/>
      <c r="I7"/>
      <c r="J7"/>
      <c r="K7"/>
      <c r="L7"/>
      <c r="M7" s="1206"/>
      <c r="N7" s="1206"/>
      <c r="O7" s="1206"/>
      <c r="P7" s="1207"/>
      <c r="Q7" s="1109"/>
      <c r="R7" s="1109"/>
      <c r="S7" s="1109"/>
      <c r="T7" s="1109"/>
      <c r="U7" s="1109"/>
      <c r="V7" s="1109"/>
      <c r="W7" s="1109"/>
      <c r="X7" s="1109"/>
      <c r="Y7" s="1109"/>
      <c r="Z7" s="1109"/>
      <c r="AA7" s="1109"/>
      <c r="AB7" s="1109"/>
      <c r="AC7" s="1109"/>
      <c r="AD7" s="1109"/>
      <c r="AE7" s="1109"/>
    </row>
    <row r="8" spans="2:31" s="782" customFormat="1" ht="16.5" thickBot="1">
      <c r="B8" s="779" t="s">
        <v>1078</v>
      </c>
      <c r="C8" s="780"/>
      <c r="D8" s="781" t="s">
        <v>1079</v>
      </c>
      <c r="E8" s="781"/>
      <c r="F8" s="781"/>
      <c r="G8" s="1264" t="s">
        <v>1540</v>
      </c>
      <c r="H8" s="1265"/>
      <c r="I8" s="1264" t="s">
        <v>1549</v>
      </c>
      <c r="J8" s="1265"/>
      <c r="K8" s="1264" t="s">
        <v>1554</v>
      </c>
      <c r="L8" s="1265"/>
      <c r="M8" s="1265" t="s">
        <v>1080</v>
      </c>
      <c r="N8" s="1266"/>
      <c r="O8" s="1264" t="s">
        <v>1562</v>
      </c>
      <c r="P8" s="1208"/>
    </row>
    <row r="9" spans="2:31" s="782" customFormat="1" ht="15.75">
      <c r="B9" s="783"/>
      <c r="C9" s="784"/>
      <c r="D9" s="785" t="s">
        <v>446</v>
      </c>
      <c r="E9" s="786"/>
      <c r="F9" s="786"/>
      <c r="G9" s="1192"/>
      <c r="H9" s="982"/>
      <c r="I9" s="1192"/>
      <c r="J9" s="982"/>
      <c r="K9" s="1192"/>
      <c r="L9" s="982"/>
      <c r="M9" s="1192"/>
      <c r="N9" s="1192"/>
      <c r="O9" s="1192"/>
      <c r="P9" s="787"/>
    </row>
    <row r="10" spans="2:31" s="782" customFormat="1" ht="15.75">
      <c r="B10" s="788">
        <v>10050</v>
      </c>
      <c r="C10" s="783"/>
      <c r="D10" s="789" t="s">
        <v>1081</v>
      </c>
      <c r="E10"/>
      <c r="F10" s="790"/>
      <c r="G10" s="1696">
        <v>0</v>
      </c>
      <c r="H10" s="1696"/>
      <c r="I10" s="1696">
        <v>0</v>
      </c>
      <c r="J10" s="1696"/>
      <c r="K10" s="1696">
        <v>0</v>
      </c>
      <c r="L10" s="1696"/>
      <c r="M10" s="1696">
        <f>O10-K10</f>
        <v>0</v>
      </c>
      <c r="N10" s="1696"/>
      <c r="O10" s="1696">
        <v>0</v>
      </c>
      <c r="P10" s="791" t="s">
        <v>257</v>
      </c>
      <c r="Q10" s="1209"/>
    </row>
    <row r="11" spans="2:31" s="782" customFormat="1" ht="16.5" thickBot="1">
      <c r="B11" s="791"/>
      <c r="C11" s="784"/>
      <c r="D11" s="792" t="s">
        <v>1082</v>
      </c>
      <c r="E11" s="786"/>
      <c r="F11" s="786"/>
      <c r="G11" s="1697">
        <f>SUM(G10)</f>
        <v>0</v>
      </c>
      <c r="H11" s="1698"/>
      <c r="I11" s="1697">
        <f>SUM(I10)</f>
        <v>0</v>
      </c>
      <c r="J11" s="1698"/>
      <c r="K11" s="1697">
        <f>SUM(K10)</f>
        <v>0</v>
      </c>
      <c r="L11" s="1698"/>
      <c r="M11" s="1697">
        <f>SUM(M10)</f>
        <v>0</v>
      </c>
      <c r="N11" s="1698"/>
      <c r="O11" s="1697">
        <f>SUM(O10)</f>
        <v>0</v>
      </c>
      <c r="P11" s="791"/>
      <c r="Q11" s="1209"/>
    </row>
    <row r="12" spans="2:31" s="782" customFormat="1" ht="16.5" thickTop="1">
      <c r="B12" s="791"/>
      <c r="C12" s="784"/>
      <c r="D12" s="793"/>
      <c r="E12" s="786"/>
      <c r="F12" s="786"/>
      <c r="G12" s="1698"/>
      <c r="H12" s="1699"/>
      <c r="I12" s="1698"/>
      <c r="J12" s="1699"/>
      <c r="K12" s="1698"/>
      <c r="L12" s="1699"/>
      <c r="M12" s="1698"/>
      <c r="N12" s="1698"/>
      <c r="O12" s="1698"/>
      <c r="P12" s="791"/>
      <c r="Q12" s="1209"/>
    </row>
    <row r="13" spans="2:31" s="782" customFormat="1" ht="15.75">
      <c r="B13" s="791"/>
      <c r="C13" s="784"/>
      <c r="D13" s="785" t="s">
        <v>1083</v>
      </c>
      <c r="E13" s="786"/>
      <c r="F13" s="786"/>
      <c r="G13" s="1699"/>
      <c r="H13"/>
      <c r="I13" s="1699"/>
      <c r="J13"/>
      <c r="K13" s="1699"/>
      <c r="L13"/>
      <c r="M13" s="1699"/>
      <c r="N13" s="1699"/>
      <c r="O13" s="1699"/>
      <c r="P13" s="791"/>
      <c r="Q13" s="1209"/>
    </row>
    <row r="14" spans="2:31" s="782" customFormat="1" ht="15.75">
      <c r="B14" s="788">
        <v>30051</v>
      </c>
      <c r="C14" s="439"/>
      <c r="D14" s="789" t="s">
        <v>1084</v>
      </c>
      <c r="E14" s="439"/>
      <c r="F14" s="438"/>
      <c r="G14" s="438">
        <v>36012222.869999997</v>
      </c>
      <c r="H14" s="438"/>
      <c r="I14" s="438">
        <v>39653117.829999998</v>
      </c>
      <c r="J14" s="438"/>
      <c r="K14" s="438">
        <v>1580058.31</v>
      </c>
      <c r="L14" s="438"/>
      <c r="M14" s="438">
        <f>O14-K14</f>
        <v>16641788.909999998</v>
      </c>
      <c r="N14" s="438"/>
      <c r="O14" s="438">
        <v>18221847.219999999</v>
      </c>
      <c r="P14" s="791"/>
      <c r="Q14" s="1209"/>
    </row>
    <row r="15" spans="2:31" s="782" customFormat="1" ht="15.75">
      <c r="B15" s="788">
        <v>30101</v>
      </c>
      <c r="C15" s="771"/>
      <c r="D15" s="789" t="s">
        <v>1085</v>
      </c>
      <c r="E15" s="439"/>
      <c r="F15" s="438"/>
      <c r="G15" s="438">
        <v>0</v>
      </c>
      <c r="H15" s="438"/>
      <c r="I15" s="438">
        <v>0</v>
      </c>
      <c r="J15" s="438"/>
      <c r="K15" s="438">
        <v>0</v>
      </c>
      <c r="L15" s="438"/>
      <c r="M15" s="438">
        <f t="shared" ref="M15:M78" si="0">O15-K15</f>
        <v>0</v>
      </c>
      <c r="N15" s="438"/>
      <c r="O15" s="438">
        <v>0</v>
      </c>
      <c r="P15" s="791"/>
      <c r="Q15" s="1209"/>
    </row>
    <row r="16" spans="2:31" s="782" customFormat="1" ht="15.75">
      <c r="B16" s="788">
        <v>30102</v>
      </c>
      <c r="C16" s="439"/>
      <c r="D16" s="789" t="s">
        <v>1086</v>
      </c>
      <c r="E16" s="439"/>
      <c r="F16" s="438"/>
      <c r="G16" s="438">
        <v>0</v>
      </c>
      <c r="H16" s="438"/>
      <c r="I16" s="438">
        <v>0</v>
      </c>
      <c r="J16" s="438"/>
      <c r="K16" s="438">
        <v>0</v>
      </c>
      <c r="L16" s="438"/>
      <c r="M16" s="438">
        <f t="shared" si="0"/>
        <v>0</v>
      </c>
      <c r="N16" s="438"/>
      <c r="O16" s="438">
        <v>0</v>
      </c>
      <c r="P16" s="791"/>
      <c r="Q16" s="1209"/>
    </row>
    <row r="17" spans="2:17" s="782" customFormat="1" ht="15.75">
      <c r="B17" s="788">
        <v>30103</v>
      </c>
      <c r="C17" s="439"/>
      <c r="D17" s="789" t="s">
        <v>1087</v>
      </c>
      <c r="E17" s="439"/>
      <c r="F17" s="438"/>
      <c r="G17" s="438">
        <v>0</v>
      </c>
      <c r="H17" s="438"/>
      <c r="I17" s="438">
        <v>0</v>
      </c>
      <c r="J17" s="438"/>
      <c r="K17" s="438">
        <v>0</v>
      </c>
      <c r="L17" s="438"/>
      <c r="M17" s="438">
        <f t="shared" si="0"/>
        <v>0</v>
      </c>
      <c r="N17" s="438"/>
      <c r="O17" s="438">
        <v>0</v>
      </c>
      <c r="P17" s="791"/>
      <c r="Q17" s="1209"/>
    </row>
    <row r="18" spans="2:17" s="782" customFormat="1" ht="15.75">
      <c r="B18" s="788">
        <v>30104</v>
      </c>
      <c r="C18" s="439"/>
      <c r="D18" s="789" t="s">
        <v>1088</v>
      </c>
      <c r="E18" s="439"/>
      <c r="F18" s="438"/>
      <c r="G18" s="438">
        <v>0</v>
      </c>
      <c r="H18" s="438"/>
      <c r="I18" s="438">
        <v>0</v>
      </c>
      <c r="J18" s="438"/>
      <c r="K18" s="438">
        <v>0</v>
      </c>
      <c r="L18" s="438"/>
      <c r="M18" s="438">
        <f t="shared" si="0"/>
        <v>0</v>
      </c>
      <c r="N18" s="438"/>
      <c r="O18" s="438">
        <v>0</v>
      </c>
      <c r="P18" s="791"/>
      <c r="Q18" s="1209"/>
    </row>
    <row r="19" spans="2:17" s="782" customFormat="1" ht="15.75">
      <c r="B19" s="788">
        <v>30105</v>
      </c>
      <c r="C19" s="439"/>
      <c r="D19" s="789" t="s">
        <v>1089</v>
      </c>
      <c r="E19" s="439"/>
      <c r="F19" s="438"/>
      <c r="G19" s="438">
        <v>1657602.58</v>
      </c>
      <c r="H19" s="438"/>
      <c r="I19" s="438">
        <v>2229306.29</v>
      </c>
      <c r="J19" s="438"/>
      <c r="K19" s="438">
        <v>446962.28</v>
      </c>
      <c r="L19" s="438"/>
      <c r="M19" s="438">
        <f t="shared" si="0"/>
        <v>-446962.28</v>
      </c>
      <c r="N19" s="438"/>
      <c r="O19" s="438">
        <v>0</v>
      </c>
      <c r="P19" s="791"/>
      <c r="Q19" s="1209"/>
    </row>
    <row r="20" spans="2:17" s="782" customFormat="1" ht="15.75">
      <c r="B20" s="788">
        <v>30106</v>
      </c>
      <c r="C20" s="439"/>
      <c r="D20" s="789" t="s">
        <v>1090</v>
      </c>
      <c r="E20" s="439"/>
      <c r="F20" s="438"/>
      <c r="G20" s="438">
        <v>0</v>
      </c>
      <c r="H20" s="438"/>
      <c r="I20" s="438">
        <v>0</v>
      </c>
      <c r="J20" s="438"/>
      <c r="K20" s="438">
        <v>0</v>
      </c>
      <c r="L20" s="438"/>
      <c r="M20" s="438">
        <f t="shared" si="0"/>
        <v>0</v>
      </c>
      <c r="N20" s="438"/>
      <c r="O20" s="438">
        <v>0</v>
      </c>
      <c r="P20" s="791"/>
      <c r="Q20" s="1209"/>
    </row>
    <row r="21" spans="2:17" s="782" customFormat="1" ht="15.75">
      <c r="B21" s="788">
        <v>30107</v>
      </c>
      <c r="C21" s="439"/>
      <c r="D21" s="789" t="s">
        <v>1091</v>
      </c>
      <c r="E21" s="439"/>
      <c r="F21" s="438"/>
      <c r="G21" s="438">
        <v>0</v>
      </c>
      <c r="H21" s="438"/>
      <c r="I21" s="438">
        <v>0</v>
      </c>
      <c r="J21" s="438"/>
      <c r="K21" s="438">
        <v>0</v>
      </c>
      <c r="L21" s="438"/>
      <c r="M21" s="438">
        <f t="shared" si="0"/>
        <v>0</v>
      </c>
      <c r="N21" s="438"/>
      <c r="O21" s="438">
        <v>0</v>
      </c>
      <c r="P21" s="791"/>
      <c r="Q21" s="1209"/>
    </row>
    <row r="22" spans="2:17" s="782" customFormat="1" ht="15.75">
      <c r="B22" s="788">
        <v>30108</v>
      </c>
      <c r="C22" s="439"/>
      <c r="D22" s="789" t="s">
        <v>1092</v>
      </c>
      <c r="E22" s="439"/>
      <c r="F22" s="438"/>
      <c r="G22" s="438">
        <v>0</v>
      </c>
      <c r="H22" s="438"/>
      <c r="I22" s="438">
        <v>0</v>
      </c>
      <c r="J22" s="438"/>
      <c r="K22" s="438">
        <v>0</v>
      </c>
      <c r="L22" s="438"/>
      <c r="M22" s="438">
        <f t="shared" si="0"/>
        <v>0</v>
      </c>
      <c r="N22" s="438"/>
      <c r="O22" s="438">
        <v>0</v>
      </c>
      <c r="P22" s="791"/>
      <c r="Q22" s="1209"/>
    </row>
    <row r="23" spans="2:17" s="782" customFormat="1" ht="15.75">
      <c r="B23" s="788">
        <v>30109</v>
      </c>
      <c r="C23" s="439"/>
      <c r="D23" s="789" t="s">
        <v>1093</v>
      </c>
      <c r="E23" s="439"/>
      <c r="F23" s="438"/>
      <c r="G23" s="438">
        <v>0</v>
      </c>
      <c r="H23" s="438"/>
      <c r="I23" s="438">
        <v>0</v>
      </c>
      <c r="J23" s="438"/>
      <c r="K23" s="438">
        <v>0</v>
      </c>
      <c r="L23" s="438"/>
      <c r="M23" s="438">
        <f t="shared" si="0"/>
        <v>0</v>
      </c>
      <c r="N23" s="438"/>
      <c r="O23" s="438">
        <v>0</v>
      </c>
      <c r="P23" s="791"/>
      <c r="Q23" s="1209"/>
    </row>
    <row r="24" spans="2:17" s="782" customFormat="1" ht="15.75">
      <c r="B24" s="788">
        <v>30110</v>
      </c>
      <c r="C24" s="439"/>
      <c r="D24" s="789" t="s">
        <v>1094</v>
      </c>
      <c r="E24" s="439"/>
      <c r="F24" s="438"/>
      <c r="G24" s="438">
        <v>0</v>
      </c>
      <c r="H24" s="438"/>
      <c r="I24" s="438">
        <v>0</v>
      </c>
      <c r="J24" s="438"/>
      <c r="K24" s="438">
        <v>0</v>
      </c>
      <c r="L24" s="438"/>
      <c r="M24" s="438">
        <f t="shared" si="0"/>
        <v>0</v>
      </c>
      <c r="N24" s="438"/>
      <c r="O24" s="438">
        <v>0</v>
      </c>
      <c r="P24" s="791"/>
      <c r="Q24" s="1209"/>
    </row>
    <row r="25" spans="2:17" s="782" customFormat="1" ht="15.75">
      <c r="B25" s="788">
        <v>30111</v>
      </c>
      <c r="C25" s="439"/>
      <c r="D25" s="789" t="s">
        <v>1095</v>
      </c>
      <c r="E25" s="439"/>
      <c r="F25" s="438"/>
      <c r="G25" s="438">
        <v>0</v>
      </c>
      <c r="H25" s="438"/>
      <c r="I25" s="438">
        <v>0</v>
      </c>
      <c r="J25" s="438"/>
      <c r="K25" s="438">
        <v>0</v>
      </c>
      <c r="L25" s="438"/>
      <c r="M25" s="438">
        <f t="shared" si="0"/>
        <v>0</v>
      </c>
      <c r="N25" s="438"/>
      <c r="O25" s="438">
        <v>0</v>
      </c>
      <c r="P25" s="791"/>
      <c r="Q25" s="1209"/>
    </row>
    <row r="26" spans="2:17" s="782" customFormat="1" ht="15.75">
      <c r="B26" s="788">
        <v>30112</v>
      </c>
      <c r="C26" s="439"/>
      <c r="D26" s="789" t="s">
        <v>1096</v>
      </c>
      <c r="E26" s="439"/>
      <c r="F26" s="438"/>
      <c r="G26" s="438">
        <v>0</v>
      </c>
      <c r="H26" s="438"/>
      <c r="I26" s="438">
        <v>0</v>
      </c>
      <c r="J26" s="438"/>
      <c r="K26" s="438">
        <v>0</v>
      </c>
      <c r="L26" s="438"/>
      <c r="M26" s="438">
        <f t="shared" si="0"/>
        <v>0</v>
      </c>
      <c r="N26" s="438"/>
      <c r="O26" s="438">
        <v>0</v>
      </c>
      <c r="P26" s="791"/>
      <c r="Q26" s="1209"/>
    </row>
    <row r="27" spans="2:17" s="782" customFormat="1" ht="15.75">
      <c r="B27" s="788">
        <v>30113</v>
      </c>
      <c r="C27" s="439"/>
      <c r="D27" s="789" t="s">
        <v>1097</v>
      </c>
      <c r="E27" s="439"/>
      <c r="F27" s="438"/>
      <c r="G27" s="438">
        <v>0</v>
      </c>
      <c r="H27" s="438"/>
      <c r="I27" s="438">
        <v>0</v>
      </c>
      <c r="J27" s="438"/>
      <c r="K27" s="438">
        <v>0</v>
      </c>
      <c r="L27" s="438"/>
      <c r="M27" s="438">
        <f t="shared" si="0"/>
        <v>0</v>
      </c>
      <c r="N27" s="438"/>
      <c r="O27" s="438">
        <v>0</v>
      </c>
      <c r="P27" s="791"/>
      <c r="Q27" s="1209"/>
    </row>
    <row r="28" spans="2:17" s="782" customFormat="1" ht="15.75">
      <c r="B28" s="788">
        <v>30114</v>
      </c>
      <c r="C28" s="439"/>
      <c r="D28" s="789" t="s">
        <v>1098</v>
      </c>
      <c r="E28" s="439"/>
      <c r="F28" s="438"/>
      <c r="G28" s="438">
        <v>0</v>
      </c>
      <c r="H28" s="438"/>
      <c r="I28" s="438">
        <v>0</v>
      </c>
      <c r="J28" s="438"/>
      <c r="K28" s="438">
        <v>0</v>
      </c>
      <c r="L28" s="438"/>
      <c r="M28" s="438">
        <f t="shared" si="0"/>
        <v>0</v>
      </c>
      <c r="N28" s="438"/>
      <c r="O28" s="438">
        <v>0</v>
      </c>
      <c r="P28" s="791"/>
      <c r="Q28" s="1209"/>
    </row>
    <row r="29" spans="2:17" s="782" customFormat="1" ht="15.75">
      <c r="B29" s="788">
        <v>30115</v>
      </c>
      <c r="C29" s="439"/>
      <c r="D29" s="789" t="s">
        <v>1099</v>
      </c>
      <c r="E29" s="439"/>
      <c r="F29" s="438"/>
      <c r="G29" s="438">
        <v>0</v>
      </c>
      <c r="H29" s="438"/>
      <c r="I29" s="438">
        <v>0</v>
      </c>
      <c r="J29" s="438"/>
      <c r="K29" s="438">
        <v>0</v>
      </c>
      <c r="L29" s="438"/>
      <c r="M29" s="438">
        <f t="shared" si="0"/>
        <v>0</v>
      </c>
      <c r="N29" s="438"/>
      <c r="O29" s="438">
        <v>0</v>
      </c>
      <c r="P29" s="791"/>
      <c r="Q29" s="1209"/>
    </row>
    <row r="30" spans="2:17" s="782" customFormat="1" ht="15.75">
      <c r="B30" s="788">
        <v>30116</v>
      </c>
      <c r="C30" s="439"/>
      <c r="D30" s="789" t="s">
        <v>1100</v>
      </c>
      <c r="E30" s="439"/>
      <c r="F30" s="438"/>
      <c r="G30" s="438">
        <v>0</v>
      </c>
      <c r="H30" s="438"/>
      <c r="I30" s="438">
        <v>0</v>
      </c>
      <c r="J30" s="438"/>
      <c r="K30" s="438">
        <v>0</v>
      </c>
      <c r="L30" s="438"/>
      <c r="M30" s="438">
        <f t="shared" si="0"/>
        <v>0</v>
      </c>
      <c r="N30" s="438"/>
      <c r="O30" s="438">
        <v>0</v>
      </c>
      <c r="P30" s="791"/>
      <c r="Q30" s="1209"/>
    </row>
    <row r="31" spans="2:17" s="782" customFormat="1" ht="15.75">
      <c r="B31" s="788">
        <v>30117</v>
      </c>
      <c r="C31" s="439"/>
      <c r="D31" s="789" t="s">
        <v>1101</v>
      </c>
      <c r="E31" s="439"/>
      <c r="F31" s="438"/>
      <c r="G31" s="438">
        <v>0</v>
      </c>
      <c r="H31" s="438"/>
      <c r="I31" s="438">
        <v>0</v>
      </c>
      <c r="J31" s="438"/>
      <c r="K31" s="438">
        <v>0</v>
      </c>
      <c r="L31" s="438"/>
      <c r="M31" s="438">
        <f t="shared" si="0"/>
        <v>0</v>
      </c>
      <c r="N31" s="438"/>
      <c r="O31" s="438">
        <v>0</v>
      </c>
      <c r="P31" s="791"/>
      <c r="Q31" s="1209"/>
    </row>
    <row r="32" spans="2:17" s="782" customFormat="1" ht="15.75">
      <c r="B32" s="788">
        <v>30118</v>
      </c>
      <c r="C32" s="439"/>
      <c r="D32" s="789" t="s">
        <v>1102</v>
      </c>
      <c r="E32" s="439"/>
      <c r="F32" s="438"/>
      <c r="G32" s="438">
        <v>0</v>
      </c>
      <c r="H32" s="438"/>
      <c r="I32" s="438">
        <v>0</v>
      </c>
      <c r="J32" s="438"/>
      <c r="K32" s="438">
        <v>0</v>
      </c>
      <c r="L32" s="438"/>
      <c r="M32" s="438">
        <f t="shared" si="0"/>
        <v>0</v>
      </c>
      <c r="N32" s="438"/>
      <c r="O32" s="438">
        <v>0</v>
      </c>
      <c r="P32" s="791"/>
      <c r="Q32" s="1209"/>
    </row>
    <row r="33" spans="2:17" s="782" customFormat="1" ht="15.75">
      <c r="B33" s="788">
        <v>30119</v>
      </c>
      <c r="C33" s="439"/>
      <c r="D33" s="789" t="s">
        <v>1103</v>
      </c>
      <c r="E33" s="439"/>
      <c r="F33" s="438"/>
      <c r="G33" s="438">
        <v>0</v>
      </c>
      <c r="H33" s="438"/>
      <c r="I33" s="438">
        <v>0</v>
      </c>
      <c r="J33" s="438"/>
      <c r="K33" s="438">
        <v>0</v>
      </c>
      <c r="L33" s="438"/>
      <c r="M33" s="438">
        <f t="shared" si="0"/>
        <v>0</v>
      </c>
      <c r="N33" s="438"/>
      <c r="O33" s="438">
        <v>0</v>
      </c>
      <c r="P33" s="791"/>
      <c r="Q33" s="1209"/>
    </row>
    <row r="34" spans="2:17" s="782" customFormat="1" ht="15.75">
      <c r="B34" s="788">
        <v>30120</v>
      </c>
      <c r="C34" s="439"/>
      <c r="D34" s="789" t="s">
        <v>1104</v>
      </c>
      <c r="E34" s="439"/>
      <c r="F34" s="438"/>
      <c r="G34" s="438">
        <v>0</v>
      </c>
      <c r="H34" s="438"/>
      <c r="I34" s="438">
        <v>0</v>
      </c>
      <c r="J34" s="438"/>
      <c r="K34" s="438">
        <v>0</v>
      </c>
      <c r="L34" s="438"/>
      <c r="M34" s="438">
        <f t="shared" si="0"/>
        <v>0</v>
      </c>
      <c r="N34" s="438"/>
      <c r="O34" s="438">
        <v>0</v>
      </c>
      <c r="P34" s="791"/>
      <c r="Q34" s="1209"/>
    </row>
    <row r="35" spans="2:17" s="782" customFormat="1" ht="15.75">
      <c r="B35" s="788">
        <v>30121</v>
      </c>
      <c r="C35" s="439"/>
      <c r="D35" s="789" t="s">
        <v>1105</v>
      </c>
      <c r="E35" s="439"/>
      <c r="F35" s="438"/>
      <c r="G35" s="438">
        <v>0</v>
      </c>
      <c r="H35" s="438"/>
      <c r="I35" s="438">
        <v>0</v>
      </c>
      <c r="J35" s="438"/>
      <c r="K35" s="438">
        <v>0</v>
      </c>
      <c r="L35" s="438"/>
      <c r="M35" s="438">
        <f t="shared" si="0"/>
        <v>0</v>
      </c>
      <c r="N35" s="438"/>
      <c r="O35" s="438">
        <v>0</v>
      </c>
      <c r="P35" s="791"/>
      <c r="Q35" s="1209"/>
    </row>
    <row r="36" spans="2:17" s="782" customFormat="1" ht="15.75">
      <c r="B36" s="788">
        <v>30122</v>
      </c>
      <c r="C36" s="439"/>
      <c r="D36" s="789" t="s">
        <v>1106</v>
      </c>
      <c r="E36" s="439"/>
      <c r="F36" s="438"/>
      <c r="G36" s="438">
        <v>0</v>
      </c>
      <c r="H36" s="438"/>
      <c r="I36" s="438">
        <v>0</v>
      </c>
      <c r="J36" s="438"/>
      <c r="K36" s="438">
        <v>0</v>
      </c>
      <c r="L36" s="438"/>
      <c r="M36" s="438">
        <f t="shared" si="0"/>
        <v>0</v>
      </c>
      <c r="N36" s="438"/>
      <c r="O36" s="438">
        <v>0</v>
      </c>
      <c r="P36" s="791"/>
      <c r="Q36" s="1209"/>
    </row>
    <row r="37" spans="2:17" s="782" customFormat="1" ht="15.75">
      <c r="B37" s="788">
        <v>30123</v>
      </c>
      <c r="C37" s="439"/>
      <c r="D37" s="789" t="s">
        <v>1107</v>
      </c>
      <c r="E37" s="439"/>
      <c r="F37" s="438"/>
      <c r="G37" s="438">
        <v>0</v>
      </c>
      <c r="H37" s="438"/>
      <c r="I37" s="438">
        <v>0</v>
      </c>
      <c r="J37" s="438"/>
      <c r="K37" s="438">
        <v>0</v>
      </c>
      <c r="L37" s="438"/>
      <c r="M37" s="438">
        <f t="shared" si="0"/>
        <v>0</v>
      </c>
      <c r="N37" s="438"/>
      <c r="O37" s="438">
        <v>0</v>
      </c>
      <c r="P37" s="791"/>
      <c r="Q37" s="1209"/>
    </row>
    <row r="38" spans="2:17" s="782" customFormat="1" ht="15.75">
      <c r="B38" s="788">
        <v>30124</v>
      </c>
      <c r="C38" s="439"/>
      <c r="D38" s="789" t="s">
        <v>1108</v>
      </c>
      <c r="E38" s="439"/>
      <c r="F38" s="438"/>
      <c r="G38" s="438">
        <v>0</v>
      </c>
      <c r="H38" s="438"/>
      <c r="I38" s="438">
        <v>0</v>
      </c>
      <c r="J38" s="438"/>
      <c r="K38" s="438">
        <v>0</v>
      </c>
      <c r="L38" s="438"/>
      <c r="M38" s="438">
        <f t="shared" si="0"/>
        <v>0</v>
      </c>
      <c r="N38" s="438"/>
      <c r="O38" s="438">
        <v>0</v>
      </c>
      <c r="P38" s="791"/>
      <c r="Q38" s="1209"/>
    </row>
    <row r="39" spans="2:17" s="782" customFormat="1" ht="15.75">
      <c r="B39" s="788">
        <v>30125</v>
      </c>
      <c r="C39" s="439"/>
      <c r="D39" s="789" t="s">
        <v>1109</v>
      </c>
      <c r="E39" s="439"/>
      <c r="F39" s="438"/>
      <c r="G39" s="438">
        <v>292346.28999999998</v>
      </c>
      <c r="H39" s="438"/>
      <c r="I39" s="438">
        <v>365720.87</v>
      </c>
      <c r="J39" s="438"/>
      <c r="K39" s="438">
        <v>431999.46</v>
      </c>
      <c r="L39" s="438"/>
      <c r="M39" s="438">
        <f t="shared" si="0"/>
        <v>77122.25</v>
      </c>
      <c r="N39" s="438"/>
      <c r="O39" s="438">
        <v>509121.71</v>
      </c>
      <c r="P39" s="791"/>
      <c r="Q39" s="1209"/>
    </row>
    <row r="40" spans="2:17" s="782" customFormat="1" ht="15.75">
      <c r="B40" s="788">
        <v>30126</v>
      </c>
      <c r="C40" s="439"/>
      <c r="D40" s="789" t="s">
        <v>1110</v>
      </c>
      <c r="E40" s="439"/>
      <c r="F40" s="438"/>
      <c r="G40" s="438">
        <v>0</v>
      </c>
      <c r="H40" s="438"/>
      <c r="I40" s="438">
        <v>0</v>
      </c>
      <c r="J40" s="438"/>
      <c r="K40" s="438">
        <v>0</v>
      </c>
      <c r="L40" s="438"/>
      <c r="M40" s="438">
        <f t="shared" si="0"/>
        <v>0</v>
      </c>
      <c r="N40" s="438"/>
      <c r="O40" s="438">
        <v>0</v>
      </c>
      <c r="P40" s="791"/>
      <c r="Q40" s="1209"/>
    </row>
    <row r="41" spans="2:17" s="782" customFormat="1" ht="15.75">
      <c r="B41" s="788">
        <v>30127</v>
      </c>
      <c r="C41" s="439"/>
      <c r="D41" s="789" t="s">
        <v>1111</v>
      </c>
      <c r="E41" s="439"/>
      <c r="F41" s="438"/>
      <c r="G41" s="438">
        <v>304282.03999999998</v>
      </c>
      <c r="H41" s="438"/>
      <c r="I41" s="438">
        <v>305405.84999999998</v>
      </c>
      <c r="J41" s="438"/>
      <c r="K41" s="438">
        <v>306475.88</v>
      </c>
      <c r="L41" s="438"/>
      <c r="M41" s="438">
        <f t="shared" si="0"/>
        <v>99023.19</v>
      </c>
      <c r="N41" s="438"/>
      <c r="O41" s="438">
        <v>405499.07</v>
      </c>
      <c r="P41" s="791"/>
      <c r="Q41" s="1209"/>
    </row>
    <row r="42" spans="2:17" s="782" customFormat="1" ht="15.75">
      <c r="B42" s="788">
        <v>30128</v>
      </c>
      <c r="C42" s="439"/>
      <c r="D42" s="789" t="s">
        <v>1112</v>
      </c>
      <c r="E42" s="439"/>
      <c r="F42" s="438"/>
      <c r="G42" s="438">
        <v>0</v>
      </c>
      <c r="H42" s="438"/>
      <c r="I42" s="438">
        <v>0</v>
      </c>
      <c r="J42" s="438"/>
      <c r="K42" s="438">
        <v>0</v>
      </c>
      <c r="L42" s="438"/>
      <c r="M42" s="438">
        <f t="shared" si="0"/>
        <v>0</v>
      </c>
      <c r="N42" s="438"/>
      <c r="O42" s="438">
        <v>0</v>
      </c>
      <c r="P42" s="791"/>
      <c r="Q42" s="1209"/>
    </row>
    <row r="43" spans="2:17" s="782" customFormat="1" ht="15.75">
      <c r="B43" s="788">
        <v>30129</v>
      </c>
      <c r="C43" s="439"/>
      <c r="D43" s="789" t="s">
        <v>1113</v>
      </c>
      <c r="E43" s="439"/>
      <c r="F43" s="438"/>
      <c r="G43" s="438">
        <v>0</v>
      </c>
      <c r="H43" s="438"/>
      <c r="I43" s="438">
        <v>0</v>
      </c>
      <c r="J43" s="438"/>
      <c r="K43" s="438">
        <v>0</v>
      </c>
      <c r="L43" s="438"/>
      <c r="M43" s="438">
        <f t="shared" si="0"/>
        <v>0</v>
      </c>
      <c r="N43" s="438"/>
      <c r="O43" s="438">
        <v>0</v>
      </c>
      <c r="P43" s="791"/>
      <c r="Q43" s="1209"/>
    </row>
    <row r="44" spans="2:17" s="782" customFormat="1" ht="15.75">
      <c r="B44" s="788">
        <v>30130</v>
      </c>
      <c r="C44" s="439"/>
      <c r="D44" s="789" t="s">
        <v>1114</v>
      </c>
      <c r="E44" s="439"/>
      <c r="F44" s="438"/>
      <c r="G44" s="438">
        <v>0</v>
      </c>
      <c r="H44" s="438"/>
      <c r="I44" s="438">
        <v>0</v>
      </c>
      <c r="J44" s="438"/>
      <c r="K44" s="438">
        <v>0</v>
      </c>
      <c r="L44" s="438"/>
      <c r="M44" s="438">
        <f t="shared" si="0"/>
        <v>0</v>
      </c>
      <c r="N44" s="438"/>
      <c r="O44" s="438">
        <v>0</v>
      </c>
      <c r="P44" s="791"/>
      <c r="Q44" s="1209"/>
    </row>
    <row r="45" spans="2:17" s="782" customFormat="1" ht="15.75">
      <c r="B45" s="788">
        <v>30131</v>
      </c>
      <c r="C45" s="439"/>
      <c r="D45" s="789" t="s">
        <v>1115</v>
      </c>
      <c r="E45" s="439"/>
      <c r="F45" s="438"/>
      <c r="G45" s="438">
        <v>0</v>
      </c>
      <c r="H45" s="438"/>
      <c r="I45" s="438">
        <v>0</v>
      </c>
      <c r="J45" s="438"/>
      <c r="K45" s="438">
        <v>0</v>
      </c>
      <c r="L45" s="438"/>
      <c r="M45" s="438">
        <f t="shared" si="0"/>
        <v>0</v>
      </c>
      <c r="N45" s="438"/>
      <c r="O45" s="438">
        <v>0</v>
      </c>
      <c r="P45" s="791"/>
      <c r="Q45" s="1209"/>
    </row>
    <row r="46" spans="2:17" s="782" customFormat="1" ht="15.75">
      <c r="B46" s="788">
        <v>30132</v>
      </c>
      <c r="C46" s="439"/>
      <c r="D46" s="789" t="s">
        <v>1116</v>
      </c>
      <c r="E46" s="439"/>
      <c r="F46" s="438"/>
      <c r="G46" s="438">
        <v>0</v>
      </c>
      <c r="H46" s="438"/>
      <c r="I46" s="438">
        <v>0</v>
      </c>
      <c r="J46" s="438"/>
      <c r="K46" s="438">
        <v>0</v>
      </c>
      <c r="L46" s="438"/>
      <c r="M46" s="438">
        <f t="shared" si="0"/>
        <v>0</v>
      </c>
      <c r="N46" s="438"/>
      <c r="O46" s="438">
        <v>0</v>
      </c>
      <c r="P46" s="791"/>
      <c r="Q46" s="1209"/>
    </row>
    <row r="47" spans="2:17" s="782" customFormat="1" ht="15.75">
      <c r="B47" s="788">
        <v>30133</v>
      </c>
      <c r="C47" s="439"/>
      <c r="D47" s="789" t="s">
        <v>1117</v>
      </c>
      <c r="E47" s="439"/>
      <c r="F47" s="438"/>
      <c r="G47" s="438">
        <v>0</v>
      </c>
      <c r="H47" s="438"/>
      <c r="I47" s="438">
        <v>0</v>
      </c>
      <c r="J47" s="438"/>
      <c r="K47" s="438">
        <v>0</v>
      </c>
      <c r="L47" s="438"/>
      <c r="M47" s="438">
        <f t="shared" si="0"/>
        <v>0</v>
      </c>
      <c r="N47" s="438"/>
      <c r="O47" s="438">
        <v>0</v>
      </c>
      <c r="P47" s="791"/>
      <c r="Q47" s="1209"/>
    </row>
    <row r="48" spans="2:17" s="782" customFormat="1" ht="15.75">
      <c r="B48" s="788">
        <v>30134</v>
      </c>
      <c r="C48" s="439"/>
      <c r="D48" s="789" t="s">
        <v>1118</v>
      </c>
      <c r="E48" s="439"/>
      <c r="F48" s="438"/>
      <c r="G48" s="438">
        <v>0</v>
      </c>
      <c r="H48" s="438"/>
      <c r="I48" s="438">
        <v>0</v>
      </c>
      <c r="J48" s="438"/>
      <c r="K48" s="438">
        <v>0</v>
      </c>
      <c r="L48" s="438"/>
      <c r="M48" s="438">
        <f t="shared" si="0"/>
        <v>0</v>
      </c>
      <c r="N48" s="438"/>
      <c r="O48" s="438">
        <v>0</v>
      </c>
      <c r="P48" s="791"/>
      <c r="Q48" s="1209"/>
    </row>
    <row r="49" spans="2:17" s="782" customFormat="1" ht="15.75">
      <c r="B49" s="788">
        <v>30135</v>
      </c>
      <c r="C49" s="439"/>
      <c r="D49" s="789" t="s">
        <v>1119</v>
      </c>
      <c r="E49" s="439"/>
      <c r="F49" s="438"/>
      <c r="G49" s="438">
        <v>9611.5400000000009</v>
      </c>
      <c r="H49" s="438"/>
      <c r="I49" s="438">
        <v>71506.12</v>
      </c>
      <c r="J49" s="438"/>
      <c r="K49" s="438">
        <v>71637.42</v>
      </c>
      <c r="L49" s="438"/>
      <c r="M49" s="438">
        <f t="shared" si="0"/>
        <v>99584.500000000015</v>
      </c>
      <c r="N49" s="438"/>
      <c r="O49" s="438">
        <v>171221.92</v>
      </c>
      <c r="P49" s="791"/>
      <c r="Q49" s="1209"/>
    </row>
    <row r="50" spans="2:17" s="782" customFormat="1" ht="15.75">
      <c r="B50" s="788">
        <v>30136</v>
      </c>
      <c r="C50" s="439"/>
      <c r="D50" s="789" t="s">
        <v>1120</v>
      </c>
      <c r="E50" s="439"/>
      <c r="F50" s="438"/>
      <c r="G50" s="438">
        <v>0</v>
      </c>
      <c r="H50" s="438"/>
      <c r="I50" s="438">
        <v>0</v>
      </c>
      <c r="J50" s="438"/>
      <c r="K50" s="438">
        <v>0</v>
      </c>
      <c r="L50" s="438"/>
      <c r="M50" s="438">
        <f t="shared" si="0"/>
        <v>0</v>
      </c>
      <c r="N50" s="438"/>
      <c r="O50" s="438">
        <v>0</v>
      </c>
      <c r="P50" s="791"/>
      <c r="Q50" s="1209"/>
    </row>
    <row r="51" spans="2:17" s="782" customFormat="1" ht="15.75">
      <c r="B51" s="788">
        <v>30137</v>
      </c>
      <c r="C51" s="439"/>
      <c r="D51" s="789" t="s">
        <v>1121</v>
      </c>
      <c r="E51" s="439"/>
      <c r="F51" s="438"/>
      <c r="G51" s="438">
        <v>0</v>
      </c>
      <c r="H51" s="438"/>
      <c r="I51" s="438">
        <v>0</v>
      </c>
      <c r="J51" s="438"/>
      <c r="K51" s="438">
        <v>0</v>
      </c>
      <c r="L51" s="438"/>
      <c r="M51" s="438">
        <f t="shared" si="0"/>
        <v>0</v>
      </c>
      <c r="N51" s="438"/>
      <c r="O51" s="438">
        <v>0</v>
      </c>
      <c r="P51" s="791"/>
      <c r="Q51" s="1209"/>
    </row>
    <row r="52" spans="2:17" s="782" customFormat="1" ht="15.75">
      <c r="B52" s="788">
        <v>30138</v>
      </c>
      <c r="C52" s="439"/>
      <c r="D52" s="789" t="s">
        <v>1122</v>
      </c>
      <c r="E52" s="439"/>
      <c r="F52" s="438"/>
      <c r="G52" s="438">
        <v>0</v>
      </c>
      <c r="H52" s="438"/>
      <c r="I52" s="438">
        <v>0</v>
      </c>
      <c r="J52" s="438"/>
      <c r="K52" s="438">
        <v>0</v>
      </c>
      <c r="L52" s="438"/>
      <c r="M52" s="438">
        <f t="shared" si="0"/>
        <v>0</v>
      </c>
      <c r="N52" s="438"/>
      <c r="O52" s="438">
        <v>0</v>
      </c>
      <c r="P52" s="791"/>
      <c r="Q52" s="1209"/>
    </row>
    <row r="53" spans="2:17" s="782" customFormat="1" ht="15.75">
      <c r="B53" s="788">
        <v>30139</v>
      </c>
      <c r="C53" s="439"/>
      <c r="D53" s="789" t="s">
        <v>1123</v>
      </c>
      <c r="E53" s="439"/>
      <c r="F53" s="438"/>
      <c r="G53" s="438">
        <v>0</v>
      </c>
      <c r="H53" s="438"/>
      <c r="I53" s="438">
        <v>0</v>
      </c>
      <c r="J53" s="438"/>
      <c r="K53" s="438">
        <v>0</v>
      </c>
      <c r="L53" s="438"/>
      <c r="M53" s="438">
        <f t="shared" si="0"/>
        <v>0</v>
      </c>
      <c r="N53" s="438"/>
      <c r="O53" s="438">
        <v>0</v>
      </c>
      <c r="P53" s="791"/>
      <c r="Q53" s="1209"/>
    </row>
    <row r="54" spans="2:17" s="782" customFormat="1" ht="15.75">
      <c r="B54" s="788">
        <v>30140</v>
      </c>
      <c r="C54" s="439"/>
      <c r="D54" s="789" t="s">
        <v>1124</v>
      </c>
      <c r="E54" s="439"/>
      <c r="F54" s="438"/>
      <c r="G54" s="438">
        <v>0</v>
      </c>
      <c r="H54" s="438"/>
      <c r="I54" s="438">
        <v>0</v>
      </c>
      <c r="J54" s="438"/>
      <c r="K54" s="438">
        <v>0</v>
      </c>
      <c r="L54" s="438"/>
      <c r="M54" s="438">
        <f t="shared" si="0"/>
        <v>0</v>
      </c>
      <c r="N54" s="438"/>
      <c r="O54" s="438">
        <v>0</v>
      </c>
      <c r="P54" s="791"/>
      <c r="Q54" s="1209"/>
    </row>
    <row r="55" spans="2:17" s="782" customFormat="1" ht="15.75">
      <c r="B55" s="788">
        <v>30141</v>
      </c>
      <c r="C55" s="439"/>
      <c r="D55" s="789" t="s">
        <v>1125</v>
      </c>
      <c r="E55" s="439"/>
      <c r="F55" s="438"/>
      <c r="G55" s="438">
        <v>0</v>
      </c>
      <c r="H55" s="438"/>
      <c r="I55" s="438">
        <v>0</v>
      </c>
      <c r="J55" s="438"/>
      <c r="K55" s="438">
        <v>0</v>
      </c>
      <c r="L55" s="438"/>
      <c r="M55" s="438">
        <f t="shared" si="0"/>
        <v>0</v>
      </c>
      <c r="N55" s="438"/>
      <c r="O55" s="438">
        <v>0</v>
      </c>
      <c r="P55" s="791"/>
      <c r="Q55" s="1209"/>
    </row>
    <row r="56" spans="2:17" s="782" customFormat="1" ht="15.75">
      <c r="B56" s="788">
        <v>30142</v>
      </c>
      <c r="C56" s="439"/>
      <c r="D56" s="789" t="s">
        <v>1126</v>
      </c>
      <c r="E56" s="439"/>
      <c r="F56" s="438"/>
      <c r="G56" s="438">
        <v>0</v>
      </c>
      <c r="H56" s="438"/>
      <c r="I56" s="438">
        <v>0</v>
      </c>
      <c r="J56" s="438"/>
      <c r="K56" s="438">
        <v>0</v>
      </c>
      <c r="L56" s="438"/>
      <c r="M56" s="438">
        <f t="shared" si="0"/>
        <v>0</v>
      </c>
      <c r="N56" s="438"/>
      <c r="O56" s="438">
        <v>0</v>
      </c>
      <c r="P56" s="791"/>
      <c r="Q56" s="1209"/>
    </row>
    <row r="57" spans="2:17" s="782" customFormat="1" ht="15.75">
      <c r="B57" s="788">
        <v>30143</v>
      </c>
      <c r="C57" s="439"/>
      <c r="D57" s="789" t="s">
        <v>1127</v>
      </c>
      <c r="E57" s="439"/>
      <c r="F57" s="438"/>
      <c r="G57" s="438">
        <v>0</v>
      </c>
      <c r="H57" s="438"/>
      <c r="I57" s="438">
        <v>0</v>
      </c>
      <c r="J57" s="438"/>
      <c r="K57" s="438">
        <v>0</v>
      </c>
      <c r="L57" s="438"/>
      <c r="M57" s="438">
        <f t="shared" si="0"/>
        <v>0</v>
      </c>
      <c r="N57" s="438"/>
      <c r="O57" s="438">
        <v>0</v>
      </c>
      <c r="P57" s="791"/>
      <c r="Q57" s="1209"/>
    </row>
    <row r="58" spans="2:17" s="782" customFormat="1" ht="15.75">
      <c r="B58" s="788">
        <v>30144</v>
      </c>
      <c r="C58" s="439"/>
      <c r="D58" s="789" t="s">
        <v>1128</v>
      </c>
      <c r="E58" s="439"/>
      <c r="F58" s="438"/>
      <c r="G58" s="438">
        <v>0</v>
      </c>
      <c r="H58" s="438"/>
      <c r="I58" s="438">
        <v>0</v>
      </c>
      <c r="J58" s="438"/>
      <c r="K58" s="438">
        <v>0</v>
      </c>
      <c r="L58" s="438"/>
      <c r="M58" s="438">
        <f t="shared" si="0"/>
        <v>0</v>
      </c>
      <c r="N58" s="438"/>
      <c r="O58" s="438">
        <v>0</v>
      </c>
      <c r="P58" s="791"/>
      <c r="Q58" s="1209"/>
    </row>
    <row r="59" spans="2:17" s="782" customFormat="1" ht="15.75">
      <c r="B59" s="788">
        <v>30145</v>
      </c>
      <c r="C59" s="439"/>
      <c r="D59" s="789" t="s">
        <v>1129</v>
      </c>
      <c r="E59" s="439"/>
      <c r="F59" s="438"/>
      <c r="G59" s="438">
        <v>0</v>
      </c>
      <c r="H59" s="438"/>
      <c r="I59" s="438">
        <v>0</v>
      </c>
      <c r="J59" s="438"/>
      <c r="K59" s="438">
        <v>0</v>
      </c>
      <c r="L59" s="438"/>
      <c r="M59" s="438">
        <f t="shared" si="0"/>
        <v>0</v>
      </c>
      <c r="N59" s="438"/>
      <c r="O59" s="438">
        <v>0</v>
      </c>
      <c r="P59" s="791"/>
      <c r="Q59" s="1209"/>
    </row>
    <row r="60" spans="2:17" s="782" customFormat="1" ht="15.75">
      <c r="B60" s="788">
        <v>30146</v>
      </c>
      <c r="C60" s="439"/>
      <c r="D60" s="789" t="s">
        <v>1130</v>
      </c>
      <c r="E60" s="439"/>
      <c r="F60" s="438"/>
      <c r="G60" s="438">
        <v>0</v>
      </c>
      <c r="H60" s="438"/>
      <c r="I60" s="438">
        <v>0</v>
      </c>
      <c r="J60" s="438"/>
      <c r="K60" s="438">
        <v>0</v>
      </c>
      <c r="L60" s="438"/>
      <c r="M60" s="438">
        <f t="shared" si="0"/>
        <v>0</v>
      </c>
      <c r="N60" s="438"/>
      <c r="O60" s="438">
        <v>0</v>
      </c>
      <c r="P60" s="791"/>
      <c r="Q60" s="1209"/>
    </row>
    <row r="61" spans="2:17" s="782" customFormat="1" ht="15.75">
      <c r="B61" s="788">
        <v>30147</v>
      </c>
      <c r="C61" s="439"/>
      <c r="D61" s="789" t="s">
        <v>1131</v>
      </c>
      <c r="E61" s="439"/>
      <c r="F61" s="438"/>
      <c r="G61" s="438">
        <v>0</v>
      </c>
      <c r="H61" s="438"/>
      <c r="I61" s="438">
        <v>0</v>
      </c>
      <c r="J61" s="438"/>
      <c r="K61" s="438">
        <v>0</v>
      </c>
      <c r="L61" s="438"/>
      <c r="M61" s="438">
        <f t="shared" si="0"/>
        <v>0</v>
      </c>
      <c r="N61" s="438"/>
      <c r="O61" s="438">
        <v>0</v>
      </c>
      <c r="P61" s="791"/>
      <c r="Q61" s="1209"/>
    </row>
    <row r="62" spans="2:17" s="782" customFormat="1" ht="15.75">
      <c r="B62" s="788">
        <v>30148</v>
      </c>
      <c r="C62" s="439"/>
      <c r="D62" s="789" t="s">
        <v>1132</v>
      </c>
      <c r="E62" s="439"/>
      <c r="F62" s="438"/>
      <c r="G62" s="438">
        <v>0</v>
      </c>
      <c r="H62" s="438"/>
      <c r="I62" s="438">
        <v>0</v>
      </c>
      <c r="J62" s="438"/>
      <c r="K62" s="438">
        <v>0</v>
      </c>
      <c r="L62" s="438"/>
      <c r="M62" s="438">
        <f t="shared" si="0"/>
        <v>0</v>
      </c>
      <c r="N62" s="438"/>
      <c r="O62" s="438">
        <v>0</v>
      </c>
      <c r="P62" s="791"/>
      <c r="Q62" s="1209"/>
    </row>
    <row r="63" spans="2:17" s="782" customFormat="1" ht="15.75">
      <c r="B63" s="788">
        <v>30149</v>
      </c>
      <c r="C63" s="439"/>
      <c r="D63" s="789" t="s">
        <v>1133</v>
      </c>
      <c r="E63" s="439"/>
      <c r="F63" s="438"/>
      <c r="G63" s="438">
        <v>0</v>
      </c>
      <c r="H63" s="438"/>
      <c r="I63" s="438">
        <v>0</v>
      </c>
      <c r="J63" s="438"/>
      <c r="K63" s="438">
        <v>0</v>
      </c>
      <c r="L63" s="438"/>
      <c r="M63" s="438">
        <f t="shared" si="0"/>
        <v>0</v>
      </c>
      <c r="N63" s="438"/>
      <c r="O63" s="438">
        <v>0</v>
      </c>
      <c r="P63" s="791"/>
      <c r="Q63" s="1209"/>
    </row>
    <row r="64" spans="2:17" s="782" customFormat="1" ht="15.75">
      <c r="B64" s="788">
        <v>30150</v>
      </c>
      <c r="C64" s="439"/>
      <c r="D64" s="789" t="s">
        <v>1134</v>
      </c>
      <c r="E64" s="439"/>
      <c r="F64" s="438"/>
      <c r="G64" s="438">
        <v>0</v>
      </c>
      <c r="H64" s="438"/>
      <c r="I64" s="438">
        <v>0</v>
      </c>
      <c r="J64" s="438"/>
      <c r="K64" s="438">
        <v>0</v>
      </c>
      <c r="L64" s="438"/>
      <c r="M64" s="438">
        <f t="shared" si="0"/>
        <v>0</v>
      </c>
      <c r="N64" s="438"/>
      <c r="O64" s="438">
        <v>0</v>
      </c>
      <c r="P64" s="791"/>
      <c r="Q64" s="1209"/>
    </row>
    <row r="65" spans="2:17" s="782" customFormat="1" ht="15.75">
      <c r="B65" s="788">
        <v>30151</v>
      </c>
      <c r="C65" s="439"/>
      <c r="D65" s="789" t="s">
        <v>1135</v>
      </c>
      <c r="E65" s="439"/>
      <c r="F65" s="438"/>
      <c r="G65" s="438">
        <v>0</v>
      </c>
      <c r="H65" s="438"/>
      <c r="I65" s="438">
        <v>79841.14</v>
      </c>
      <c r="J65" s="438"/>
      <c r="K65" s="438">
        <v>159099.98000000001</v>
      </c>
      <c r="L65" s="438"/>
      <c r="M65" s="438">
        <f t="shared" si="0"/>
        <v>28728.419999999984</v>
      </c>
      <c r="N65" s="438"/>
      <c r="O65" s="438">
        <v>187828.4</v>
      </c>
      <c r="P65" s="791"/>
      <c r="Q65" s="1209"/>
    </row>
    <row r="66" spans="2:17" s="782" customFormat="1" ht="15.75">
      <c r="B66" s="788">
        <v>30152</v>
      </c>
      <c r="C66" s="439"/>
      <c r="D66" s="789" t="s">
        <v>1136</v>
      </c>
      <c r="E66" s="439"/>
      <c r="F66" s="438"/>
      <c r="G66" s="438">
        <v>0</v>
      </c>
      <c r="H66" s="438"/>
      <c r="I66" s="438">
        <v>0</v>
      </c>
      <c r="J66" s="438"/>
      <c r="K66" s="438">
        <v>0</v>
      </c>
      <c r="L66" s="438"/>
      <c r="M66" s="438">
        <f t="shared" si="0"/>
        <v>0</v>
      </c>
      <c r="N66" s="438"/>
      <c r="O66" s="438">
        <v>0</v>
      </c>
      <c r="P66" s="791"/>
      <c r="Q66" s="1209"/>
    </row>
    <row r="67" spans="2:17" s="782" customFormat="1" ht="15.75">
      <c r="B67" s="788">
        <v>30153</v>
      </c>
      <c r="C67" s="439"/>
      <c r="D67" s="789" t="s">
        <v>1137</v>
      </c>
      <c r="E67" s="439"/>
      <c r="F67" s="438"/>
      <c r="G67" s="438">
        <v>0</v>
      </c>
      <c r="H67" s="438"/>
      <c r="I67" s="438">
        <v>0</v>
      </c>
      <c r="J67" s="438"/>
      <c r="K67" s="438">
        <v>0</v>
      </c>
      <c r="L67" s="438"/>
      <c r="M67" s="438">
        <f t="shared" si="0"/>
        <v>0</v>
      </c>
      <c r="N67" s="438"/>
      <c r="O67" s="438">
        <v>0</v>
      </c>
      <c r="P67" s="791"/>
      <c r="Q67" s="1209"/>
    </row>
    <row r="68" spans="2:17" s="782" customFormat="1" ht="15.75">
      <c r="B68" s="788">
        <v>30154</v>
      </c>
      <c r="C68" s="439"/>
      <c r="D68" s="789" t="s">
        <v>1138</v>
      </c>
      <c r="E68" s="439"/>
      <c r="F68" s="438"/>
      <c r="G68" s="438">
        <v>0</v>
      </c>
      <c r="H68" s="438"/>
      <c r="I68" s="438">
        <v>0</v>
      </c>
      <c r="J68" s="438"/>
      <c r="K68" s="438">
        <v>0</v>
      </c>
      <c r="L68" s="438"/>
      <c r="M68" s="438">
        <f t="shared" si="0"/>
        <v>0</v>
      </c>
      <c r="N68" s="438"/>
      <c r="O68" s="438">
        <v>0</v>
      </c>
      <c r="P68" s="791"/>
      <c r="Q68" s="1209"/>
    </row>
    <row r="69" spans="2:17" s="782" customFormat="1" ht="15.75">
      <c r="B69" s="788">
        <v>30351</v>
      </c>
      <c r="C69" s="439"/>
      <c r="D69" s="789" t="s">
        <v>1139</v>
      </c>
      <c r="E69" s="439"/>
      <c r="F69" s="438"/>
      <c r="G69" s="438">
        <v>208100666.56</v>
      </c>
      <c r="H69" s="438"/>
      <c r="I69" s="438">
        <v>227321797.53</v>
      </c>
      <c r="J69" s="438"/>
      <c r="K69" s="438">
        <v>246310037.5</v>
      </c>
      <c r="L69" s="438"/>
      <c r="M69" s="438">
        <f t="shared" si="0"/>
        <v>30482357.389999986</v>
      </c>
      <c r="N69" s="438"/>
      <c r="O69" s="438">
        <v>276792394.88999999</v>
      </c>
      <c r="P69" s="791"/>
      <c r="Q69" s="1209"/>
    </row>
    <row r="70" spans="2:17" s="782" customFormat="1" ht="15.75">
      <c r="B70" s="788">
        <v>30501</v>
      </c>
      <c r="C70" s="439"/>
      <c r="D70" s="789" t="s">
        <v>1140</v>
      </c>
      <c r="E70" s="439"/>
      <c r="F70" s="438"/>
      <c r="G70" s="438">
        <v>0</v>
      </c>
      <c r="H70" s="438"/>
      <c r="I70" s="438">
        <v>0</v>
      </c>
      <c r="J70" s="438"/>
      <c r="K70" s="438">
        <v>0</v>
      </c>
      <c r="L70" s="438"/>
      <c r="M70" s="438">
        <f t="shared" si="0"/>
        <v>0</v>
      </c>
      <c r="N70" s="438"/>
      <c r="O70" s="438">
        <v>0</v>
      </c>
      <c r="P70" s="791"/>
      <c r="Q70" s="1209"/>
    </row>
    <row r="71" spans="2:17" s="782" customFormat="1" ht="15.75">
      <c r="B71" s="788">
        <v>30502</v>
      </c>
      <c r="C71" s="439"/>
      <c r="D71" s="789" t="s">
        <v>1141</v>
      </c>
      <c r="E71" s="439"/>
      <c r="F71" s="438"/>
      <c r="G71" s="438">
        <v>0</v>
      </c>
      <c r="H71" s="438"/>
      <c r="I71" s="438">
        <v>0</v>
      </c>
      <c r="J71" s="438"/>
      <c r="K71" s="438">
        <v>0</v>
      </c>
      <c r="L71" s="438"/>
      <c r="M71" s="438">
        <f t="shared" si="0"/>
        <v>0</v>
      </c>
      <c r="N71" s="438"/>
      <c r="O71" s="438">
        <v>0</v>
      </c>
      <c r="P71" s="791"/>
      <c r="Q71" s="1209"/>
    </row>
    <row r="72" spans="2:17" s="782" customFormat="1" ht="15.75">
      <c r="B72" s="788">
        <v>30503</v>
      </c>
      <c r="C72" s="439"/>
      <c r="D72" s="789" t="s">
        <v>1142</v>
      </c>
      <c r="E72" s="439"/>
      <c r="F72" s="438"/>
      <c r="G72" s="438">
        <v>0</v>
      </c>
      <c r="H72" s="438"/>
      <c r="I72" s="438">
        <v>0</v>
      </c>
      <c r="J72" s="438"/>
      <c r="K72" s="438">
        <v>0</v>
      </c>
      <c r="L72" s="438"/>
      <c r="M72" s="438">
        <f t="shared" si="0"/>
        <v>0</v>
      </c>
      <c r="N72" s="438"/>
      <c r="O72" s="438">
        <v>0</v>
      </c>
      <c r="P72" s="791"/>
      <c r="Q72" s="1209"/>
    </row>
    <row r="73" spans="2:17" s="782" customFormat="1" ht="15.75">
      <c r="B73" s="788">
        <v>30504</v>
      </c>
      <c r="C73" s="439"/>
      <c r="D73" s="789" t="s">
        <v>1143</v>
      </c>
      <c r="E73" s="439"/>
      <c r="F73" s="438"/>
      <c r="G73" s="438">
        <v>0</v>
      </c>
      <c r="H73" s="438"/>
      <c r="I73" s="438">
        <v>0</v>
      </c>
      <c r="J73" s="438"/>
      <c r="K73" s="438">
        <v>0</v>
      </c>
      <c r="L73" s="438"/>
      <c r="M73" s="438">
        <f t="shared" si="0"/>
        <v>0</v>
      </c>
      <c r="N73" s="438"/>
      <c r="O73" s="438">
        <v>0</v>
      </c>
      <c r="P73" s="791"/>
      <c r="Q73" s="1209"/>
    </row>
    <row r="74" spans="2:17" s="782" customFormat="1" ht="15.75">
      <c r="B74" s="788">
        <v>31506</v>
      </c>
      <c r="C74" s="795"/>
      <c r="D74" s="794" t="s">
        <v>1144</v>
      </c>
      <c r="E74" s="796"/>
      <c r="F74" s="438"/>
      <c r="G74" s="438">
        <v>119768718.98999999</v>
      </c>
      <c r="H74" s="438"/>
      <c r="I74" s="438">
        <v>126419515.7</v>
      </c>
      <c r="J74" s="438"/>
      <c r="K74" s="438">
        <v>134580553.18000001</v>
      </c>
      <c r="L74" s="438"/>
      <c r="M74" s="438">
        <f t="shared" si="0"/>
        <v>6670922.9499999881</v>
      </c>
      <c r="N74" s="438"/>
      <c r="O74" s="438">
        <v>141251476.13</v>
      </c>
      <c r="P74" s="791"/>
      <c r="Q74" s="1209"/>
    </row>
    <row r="75" spans="2:17" s="782" customFormat="1" ht="15.75">
      <c r="B75" s="788">
        <v>31701</v>
      </c>
      <c r="C75" s="439"/>
      <c r="D75" s="789" t="s">
        <v>1145</v>
      </c>
      <c r="E75" s="439"/>
      <c r="F75" s="438"/>
      <c r="G75" s="438">
        <v>23119343.82</v>
      </c>
      <c r="H75" s="438"/>
      <c r="I75" s="438">
        <v>25127529.219999999</v>
      </c>
      <c r="J75" s="438"/>
      <c r="K75" s="438">
        <v>16208040.15</v>
      </c>
      <c r="L75" s="438"/>
      <c r="M75" s="438">
        <f t="shared" si="0"/>
        <v>2360797.17</v>
      </c>
      <c r="N75" s="438"/>
      <c r="O75" s="438">
        <v>18568837.32</v>
      </c>
      <c r="P75" s="791"/>
      <c r="Q75" s="1209"/>
    </row>
    <row r="76" spans="2:17" s="782" customFormat="1" ht="15.75">
      <c r="B76" s="788">
        <v>31801</v>
      </c>
      <c r="C76" s="439"/>
      <c r="D76" s="789" t="s">
        <v>1146</v>
      </c>
      <c r="E76" s="439"/>
      <c r="F76" s="438"/>
      <c r="G76" s="438">
        <v>12941967.060000001</v>
      </c>
      <c r="H76" s="438"/>
      <c r="I76" s="438">
        <v>12941967.060000001</v>
      </c>
      <c r="J76" s="438"/>
      <c r="K76" s="438">
        <v>12941967.060000001</v>
      </c>
      <c r="L76" s="438"/>
      <c r="M76" s="438">
        <f t="shared" si="0"/>
        <v>0</v>
      </c>
      <c r="N76" s="438"/>
      <c r="O76" s="438">
        <v>12941967.060000001</v>
      </c>
      <c r="P76" s="791"/>
      <c r="Q76" s="1209"/>
    </row>
    <row r="77" spans="2:17" s="782" customFormat="1" ht="15.75">
      <c r="B77" s="788">
        <v>31851</v>
      </c>
      <c r="C77" s="439"/>
      <c r="D77" s="794" t="s">
        <v>1147</v>
      </c>
      <c r="E77" s="439"/>
      <c r="F77" s="438"/>
      <c r="G77" s="438">
        <v>969588876.38</v>
      </c>
      <c r="H77" s="438"/>
      <c r="I77" s="438">
        <v>1108060586.3800001</v>
      </c>
      <c r="J77" s="438"/>
      <c r="K77" s="438">
        <v>500101087.07999998</v>
      </c>
      <c r="L77" s="438"/>
      <c r="M77" s="438">
        <f t="shared" si="0"/>
        <v>261272928.00000006</v>
      </c>
      <c r="N77" s="438"/>
      <c r="O77" s="438">
        <v>761374015.08000004</v>
      </c>
      <c r="P77" s="791"/>
      <c r="Q77" s="1209"/>
    </row>
    <row r="78" spans="2:17" s="782" customFormat="1" ht="15.75">
      <c r="B78" s="788">
        <v>31852</v>
      </c>
      <c r="C78" s="439"/>
      <c r="D78" s="789" t="s">
        <v>1148</v>
      </c>
      <c r="E78" s="439"/>
      <c r="F78" s="438"/>
      <c r="G78" s="438">
        <v>107312346.25</v>
      </c>
      <c r="H78" s="438"/>
      <c r="I78" s="438">
        <v>107312346.25</v>
      </c>
      <c r="J78" s="438"/>
      <c r="K78" s="438">
        <v>107312346.25</v>
      </c>
      <c r="L78" s="438"/>
      <c r="M78" s="438">
        <f t="shared" si="0"/>
        <v>0</v>
      </c>
      <c r="N78" s="438"/>
      <c r="O78" s="438">
        <v>107312346.25</v>
      </c>
      <c r="P78" s="791"/>
      <c r="Q78" s="1209"/>
    </row>
    <row r="79" spans="2:17" s="782" customFormat="1" ht="15.75">
      <c r="B79" s="788">
        <v>31853</v>
      </c>
      <c r="C79" s="439"/>
      <c r="D79" s="794" t="s">
        <v>1149</v>
      </c>
      <c r="E79" s="439"/>
      <c r="F79" s="438"/>
      <c r="G79" s="438">
        <v>447107498.38999999</v>
      </c>
      <c r="H79" s="438"/>
      <c r="I79" s="438">
        <v>447107498.38999999</v>
      </c>
      <c r="J79" s="438"/>
      <c r="K79" s="438">
        <v>425396101.94</v>
      </c>
      <c r="L79" s="438"/>
      <c r="M79" s="438">
        <f t="shared" ref="M79:M101" si="1">O79-K79</f>
        <v>0</v>
      </c>
      <c r="N79" s="438"/>
      <c r="O79" s="438">
        <v>425396101.94</v>
      </c>
      <c r="P79" s="791"/>
      <c r="Q79" s="1209"/>
    </row>
    <row r="80" spans="2:17" s="782" customFormat="1" ht="15.75">
      <c r="B80" s="788">
        <v>31854</v>
      </c>
      <c r="C80" s="439"/>
      <c r="D80" s="794" t="s">
        <v>1150</v>
      </c>
      <c r="E80" s="439"/>
      <c r="F80" s="438"/>
      <c r="G80" s="438">
        <v>0</v>
      </c>
      <c r="H80" s="438"/>
      <c r="I80" s="438">
        <v>0</v>
      </c>
      <c r="J80" s="438"/>
      <c r="K80" s="438">
        <v>0</v>
      </c>
      <c r="L80" s="438"/>
      <c r="M80" s="438">
        <f t="shared" si="1"/>
        <v>0</v>
      </c>
      <c r="N80" s="438"/>
      <c r="O80" s="438">
        <v>0</v>
      </c>
      <c r="P80" s="791"/>
      <c r="Q80" s="1209"/>
    </row>
    <row r="81" spans="2:17" s="782" customFormat="1" ht="15.75">
      <c r="B81" s="788">
        <v>31951</v>
      </c>
      <c r="C81" s="439"/>
      <c r="D81" s="794" t="s">
        <v>1151</v>
      </c>
      <c r="E81" s="439"/>
      <c r="F81" s="438"/>
      <c r="G81" s="438">
        <v>12015920.550000001</v>
      </c>
      <c r="H81" s="438"/>
      <c r="I81" s="438">
        <v>12015920.550000001</v>
      </c>
      <c r="J81" s="438"/>
      <c r="K81" s="438">
        <v>12015920.550000001</v>
      </c>
      <c r="L81" s="438"/>
      <c r="M81" s="438">
        <f t="shared" si="1"/>
        <v>0</v>
      </c>
      <c r="N81" s="438"/>
      <c r="O81" s="438">
        <v>12015920.550000001</v>
      </c>
      <c r="P81" s="791"/>
      <c r="Q81" s="1209"/>
    </row>
    <row r="82" spans="2:17" s="782" customFormat="1" ht="15.75">
      <c r="B82" s="788">
        <v>32213</v>
      </c>
      <c r="C82" s="439"/>
      <c r="D82" s="789" t="s">
        <v>1152</v>
      </c>
      <c r="E82" s="439"/>
      <c r="F82" s="438"/>
      <c r="G82" s="438">
        <v>153750</v>
      </c>
      <c r="H82" s="438"/>
      <c r="I82" s="438">
        <v>153750</v>
      </c>
      <c r="J82" s="438"/>
      <c r="K82" s="438">
        <v>153750</v>
      </c>
      <c r="L82" s="438"/>
      <c r="M82" s="438">
        <f t="shared" si="1"/>
        <v>0</v>
      </c>
      <c r="N82" s="438"/>
      <c r="O82" s="438">
        <v>153750</v>
      </c>
      <c r="P82" s="791"/>
      <c r="Q82" s="1209"/>
    </row>
    <row r="83" spans="2:17" s="782" customFormat="1" ht="15.75">
      <c r="B83" s="788">
        <v>32214</v>
      </c>
      <c r="C83" s="439"/>
      <c r="D83" s="789" t="s">
        <v>1153</v>
      </c>
      <c r="E83" s="439"/>
      <c r="F83" s="438"/>
      <c r="G83" s="438">
        <v>0</v>
      </c>
      <c r="H83" s="438"/>
      <c r="I83" s="438">
        <v>0</v>
      </c>
      <c r="J83" s="438"/>
      <c r="K83" s="438">
        <v>0</v>
      </c>
      <c r="L83" s="438"/>
      <c r="M83" s="438">
        <f t="shared" si="1"/>
        <v>0</v>
      </c>
      <c r="N83" s="438"/>
      <c r="O83" s="438">
        <v>0</v>
      </c>
      <c r="P83" s="791"/>
      <c r="Q83" s="1209"/>
    </row>
    <row r="84" spans="2:17" s="782" customFormat="1" ht="15.75">
      <c r="B84" s="788">
        <v>32215</v>
      </c>
      <c r="C84" s="439"/>
      <c r="D84" s="789" t="s">
        <v>1154</v>
      </c>
      <c r="E84" s="439"/>
      <c r="F84" s="438"/>
      <c r="G84" s="438">
        <v>1165.83</v>
      </c>
      <c r="H84" s="438"/>
      <c r="I84" s="438">
        <v>1170.1500000000001</v>
      </c>
      <c r="J84" s="438"/>
      <c r="K84" s="438">
        <v>1174.26</v>
      </c>
      <c r="L84" s="438"/>
      <c r="M84" s="438">
        <f t="shared" si="1"/>
        <v>4.1600000000000819</v>
      </c>
      <c r="N84" s="438"/>
      <c r="O84" s="438">
        <v>1178.42</v>
      </c>
      <c r="P84" s="791"/>
      <c r="Q84" s="1209"/>
    </row>
    <row r="85" spans="2:17" s="782" customFormat="1" ht="15.75">
      <c r="B85" s="788">
        <v>32219</v>
      </c>
      <c r="C85" s="439"/>
      <c r="D85" s="789" t="s">
        <v>1155</v>
      </c>
      <c r="E85" s="439"/>
      <c r="F85" s="438"/>
      <c r="G85" s="438">
        <v>0</v>
      </c>
      <c r="H85" s="438"/>
      <c r="I85" s="438">
        <v>0</v>
      </c>
      <c r="J85" s="438"/>
      <c r="K85" s="438">
        <v>0</v>
      </c>
      <c r="L85" s="438"/>
      <c r="M85" s="438">
        <f t="shared" si="1"/>
        <v>0</v>
      </c>
      <c r="N85" s="438"/>
      <c r="O85" s="438">
        <v>0</v>
      </c>
      <c r="P85" s="791"/>
      <c r="Q85" s="1209"/>
    </row>
    <row r="86" spans="2:17" s="782" customFormat="1" ht="15.75">
      <c r="B86" s="788">
        <v>32229</v>
      </c>
      <c r="C86" s="439"/>
      <c r="D86" s="789" t="s">
        <v>1481</v>
      </c>
      <c r="E86" s="439"/>
      <c r="F86" s="438"/>
      <c r="G86" s="438">
        <v>202189202.78</v>
      </c>
      <c r="H86" s="438"/>
      <c r="I86" s="438">
        <v>199449544.99000001</v>
      </c>
      <c r="J86" s="438"/>
      <c r="K86" s="438">
        <v>196953270.56</v>
      </c>
      <c r="L86" s="438"/>
      <c r="M86" s="438">
        <f t="shared" ref="M86" si="2">O86-K86</f>
        <v>-2626570.0099999905</v>
      </c>
      <c r="N86" s="438"/>
      <c r="O86" s="438">
        <v>194326700.55000001</v>
      </c>
      <c r="P86" s="791"/>
      <c r="Q86" s="1209"/>
    </row>
    <row r="87" spans="2:17" s="782" customFormat="1" ht="15.75">
      <c r="B87" s="788">
        <v>32230</v>
      </c>
      <c r="C87" s="439"/>
      <c r="D87" s="789" t="s">
        <v>1468</v>
      </c>
      <c r="E87" s="439"/>
      <c r="F87" s="438"/>
      <c r="G87" s="438">
        <v>0</v>
      </c>
      <c r="H87" s="438"/>
      <c r="I87" s="438">
        <v>0</v>
      </c>
      <c r="J87" s="438"/>
      <c r="K87" s="438">
        <v>1997003.94</v>
      </c>
      <c r="L87" s="438"/>
      <c r="M87" s="438">
        <f t="shared" si="1"/>
        <v>3117958.6999999997</v>
      </c>
      <c r="N87" s="438"/>
      <c r="O87" s="438">
        <v>5114962.6399999997</v>
      </c>
      <c r="P87" s="791"/>
      <c r="Q87" s="1209"/>
    </row>
    <row r="88" spans="2:17" s="782" customFormat="1" ht="15.75">
      <c r="B88" s="788">
        <v>32301</v>
      </c>
      <c r="C88" s="439"/>
      <c r="D88" s="789" t="s">
        <v>1156</v>
      </c>
      <c r="E88" s="439"/>
      <c r="F88" s="438"/>
      <c r="G88" s="438">
        <v>0</v>
      </c>
      <c r="H88" s="438"/>
      <c r="I88" s="438">
        <v>0</v>
      </c>
      <c r="J88" s="438"/>
      <c r="K88" s="438">
        <v>0</v>
      </c>
      <c r="L88" s="438"/>
      <c r="M88" s="438">
        <f t="shared" si="1"/>
        <v>0</v>
      </c>
      <c r="N88" s="438"/>
      <c r="O88" s="438">
        <v>0</v>
      </c>
      <c r="P88" s="791"/>
      <c r="Q88" s="1209"/>
    </row>
    <row r="89" spans="2:17" s="782" customFormat="1" ht="15.75">
      <c r="B89" s="788">
        <v>32302</v>
      </c>
      <c r="C89" s="439"/>
      <c r="D89" s="789" t="s">
        <v>1157</v>
      </c>
      <c r="E89" s="439"/>
      <c r="F89" s="438"/>
      <c r="G89" s="438">
        <v>0</v>
      </c>
      <c r="H89" s="438"/>
      <c r="I89" s="438">
        <v>0</v>
      </c>
      <c r="J89" s="438"/>
      <c r="K89" s="438">
        <v>0</v>
      </c>
      <c r="L89" s="438"/>
      <c r="M89" s="438">
        <f t="shared" si="1"/>
        <v>0</v>
      </c>
      <c r="N89" s="438"/>
      <c r="O89" s="438">
        <v>0</v>
      </c>
      <c r="P89" s="791"/>
      <c r="Q89" s="1209"/>
    </row>
    <row r="90" spans="2:17" s="782" customFormat="1" ht="15.75">
      <c r="B90" s="788">
        <v>32303</v>
      </c>
      <c r="C90" s="439"/>
      <c r="D90" s="789" t="s">
        <v>1158</v>
      </c>
      <c r="E90" s="796"/>
      <c r="F90" s="438"/>
      <c r="G90" s="438">
        <v>211927270.31999999</v>
      </c>
      <c r="H90" s="438"/>
      <c r="I90" s="438">
        <v>218619854.49000001</v>
      </c>
      <c r="J90" s="438"/>
      <c r="K90" s="438">
        <v>222704676.47999999</v>
      </c>
      <c r="L90" s="438"/>
      <c r="M90" s="438">
        <f t="shared" si="1"/>
        <v>5188396.2100000083</v>
      </c>
      <c r="N90" s="438"/>
      <c r="O90" s="438">
        <v>227893072.69</v>
      </c>
      <c r="P90" s="791"/>
      <c r="Q90" s="1209"/>
    </row>
    <row r="91" spans="2:17" s="782" customFormat="1" ht="15.75">
      <c r="B91" s="788">
        <v>32304</v>
      </c>
      <c r="C91" s="439"/>
      <c r="D91" s="789" t="s">
        <v>1159</v>
      </c>
      <c r="E91" s="796"/>
      <c r="F91" s="438"/>
      <c r="G91" s="438">
        <v>0</v>
      </c>
      <c r="H91" s="438"/>
      <c r="I91" s="438">
        <v>0</v>
      </c>
      <c r="J91" s="438"/>
      <c r="K91" s="438">
        <v>0</v>
      </c>
      <c r="L91" s="438"/>
      <c r="M91" s="438">
        <f t="shared" si="1"/>
        <v>0</v>
      </c>
      <c r="N91" s="438"/>
      <c r="O91" s="438">
        <v>0</v>
      </c>
      <c r="P91" s="791"/>
      <c r="Q91" s="1209"/>
    </row>
    <row r="92" spans="2:17" s="782" customFormat="1" ht="15.75">
      <c r="B92" s="788">
        <v>32305</v>
      </c>
      <c r="C92" s="439"/>
      <c r="D92" s="789" t="s">
        <v>1160</v>
      </c>
      <c r="E92" s="796"/>
      <c r="F92" s="438"/>
      <c r="G92" s="438">
        <v>281279221.57999998</v>
      </c>
      <c r="H92" s="438"/>
      <c r="I92" s="438">
        <v>284428939.57999998</v>
      </c>
      <c r="J92" s="438"/>
      <c r="K92" s="438">
        <v>276197877.86000001</v>
      </c>
      <c r="L92" s="438"/>
      <c r="M92" s="438">
        <f t="shared" si="1"/>
        <v>4892000</v>
      </c>
      <c r="N92" s="438"/>
      <c r="O92" s="438">
        <v>281089877.86000001</v>
      </c>
      <c r="P92" s="791"/>
      <c r="Q92" s="1209"/>
    </row>
    <row r="93" spans="2:17" s="782" customFormat="1" ht="15.75">
      <c r="B93" s="788">
        <v>32306</v>
      </c>
      <c r="C93" s="439"/>
      <c r="D93" s="789" t="s">
        <v>1161</v>
      </c>
      <c r="E93" s="796"/>
      <c r="F93" s="438"/>
      <c r="G93" s="438">
        <v>0</v>
      </c>
      <c r="H93" s="438"/>
      <c r="I93" s="438">
        <v>0</v>
      </c>
      <c r="J93" s="438"/>
      <c r="K93" s="438">
        <v>0</v>
      </c>
      <c r="L93" s="438"/>
      <c r="M93" s="438">
        <f t="shared" si="1"/>
        <v>0</v>
      </c>
      <c r="N93" s="438"/>
      <c r="O93" s="438">
        <v>0</v>
      </c>
      <c r="P93" s="791"/>
      <c r="Q93" s="1209"/>
    </row>
    <row r="94" spans="2:17" s="782" customFormat="1" ht="15.75">
      <c r="B94" s="788">
        <v>32307</v>
      </c>
      <c r="C94" s="439"/>
      <c r="D94" s="794" t="s">
        <v>1162</v>
      </c>
      <c r="E94" s="796"/>
      <c r="F94" s="438"/>
      <c r="G94" s="438">
        <v>17981098.210000001</v>
      </c>
      <c r="H94" s="438"/>
      <c r="I94" s="438">
        <v>17981098.210000001</v>
      </c>
      <c r="J94" s="438"/>
      <c r="K94" s="438">
        <v>17981098.210000001</v>
      </c>
      <c r="L94" s="438"/>
      <c r="M94" s="438">
        <f t="shared" si="1"/>
        <v>2335200</v>
      </c>
      <c r="N94" s="438"/>
      <c r="O94" s="438">
        <v>20316298.210000001</v>
      </c>
      <c r="P94" s="791"/>
      <c r="Q94" s="1209"/>
    </row>
    <row r="95" spans="2:17" s="782" customFormat="1" ht="15.75">
      <c r="B95" s="788">
        <v>32308</v>
      </c>
      <c r="C95" s="439"/>
      <c r="D95" s="794" t="s">
        <v>1163</v>
      </c>
      <c r="E95" s="796"/>
      <c r="F95" s="438"/>
      <c r="G95" s="438">
        <v>0</v>
      </c>
      <c r="H95" s="438"/>
      <c r="I95" s="438">
        <v>0</v>
      </c>
      <c r="J95" s="438"/>
      <c r="K95" s="438">
        <v>0</v>
      </c>
      <c r="L95" s="438"/>
      <c r="M95" s="438">
        <f t="shared" si="1"/>
        <v>0</v>
      </c>
      <c r="N95" s="438"/>
      <c r="O95" s="438">
        <v>0</v>
      </c>
      <c r="P95" s="791"/>
      <c r="Q95" s="1209"/>
    </row>
    <row r="96" spans="2:17" s="782" customFormat="1" ht="15.75">
      <c r="B96" s="788">
        <v>32309</v>
      </c>
      <c r="C96" s="439"/>
      <c r="D96" s="794" t="s">
        <v>1164</v>
      </c>
      <c r="E96" s="796"/>
      <c r="F96" s="438"/>
      <c r="G96" s="438">
        <v>282163543.02999997</v>
      </c>
      <c r="H96" s="438"/>
      <c r="I96" s="438">
        <v>299950725.44</v>
      </c>
      <c r="J96" s="438"/>
      <c r="K96" s="438">
        <v>325701367.33999997</v>
      </c>
      <c r="L96" s="438"/>
      <c r="M96" s="438">
        <f t="shared" si="1"/>
        <v>33702462.770000041</v>
      </c>
      <c r="N96" s="438"/>
      <c r="O96" s="438">
        <v>359403830.11000001</v>
      </c>
      <c r="P96" s="791"/>
      <c r="Q96" s="1209"/>
    </row>
    <row r="97" spans="2:17" s="782" customFormat="1" ht="15.75">
      <c r="B97" s="788">
        <v>32310</v>
      </c>
      <c r="C97" s="439"/>
      <c r="D97" s="794" t="s">
        <v>1165</v>
      </c>
      <c r="E97" s="796"/>
      <c r="F97" s="438"/>
      <c r="G97" s="438">
        <v>19872146.829999998</v>
      </c>
      <c r="H97" s="438"/>
      <c r="I97" s="438">
        <v>22216987.02</v>
      </c>
      <c r="J97" s="438"/>
      <c r="K97" s="438">
        <v>28000858.100000001</v>
      </c>
      <c r="L97" s="438"/>
      <c r="M97" s="438">
        <f t="shared" si="1"/>
        <v>2079890.8599999994</v>
      </c>
      <c r="N97" s="438"/>
      <c r="O97" s="438">
        <v>30080748.960000001</v>
      </c>
      <c r="P97" s="791"/>
      <c r="Q97" s="1209"/>
    </row>
    <row r="98" spans="2:17" s="782" customFormat="1" ht="15.75">
      <c r="B98" s="788">
        <v>32311</v>
      </c>
      <c r="C98" s="439"/>
      <c r="D98" s="957" t="s">
        <v>1166</v>
      </c>
      <c r="E98" s="796"/>
      <c r="F98" s="438"/>
      <c r="G98" s="438">
        <v>12493885.939999999</v>
      </c>
      <c r="H98" s="438"/>
      <c r="I98" s="438">
        <v>13276564.52</v>
      </c>
      <c r="J98" s="438"/>
      <c r="K98" s="438">
        <v>14321518.67</v>
      </c>
      <c r="L98" s="438"/>
      <c r="M98" s="438">
        <f t="shared" si="1"/>
        <v>2016790.0700000003</v>
      </c>
      <c r="N98" s="438"/>
      <c r="O98" s="438">
        <v>16338308.74</v>
      </c>
      <c r="P98" s="791"/>
      <c r="Q98" s="1209"/>
    </row>
    <row r="99" spans="2:17" s="782" customFormat="1" ht="15.75">
      <c r="B99" s="788">
        <v>32351</v>
      </c>
      <c r="C99" s="771"/>
      <c r="D99" s="794" t="s">
        <v>1167</v>
      </c>
      <c r="E99" s="796"/>
      <c r="F99" s="438"/>
      <c r="G99" s="438">
        <v>0</v>
      </c>
      <c r="H99" s="438"/>
      <c r="I99" s="438">
        <v>0</v>
      </c>
      <c r="J99" s="438"/>
      <c r="K99" s="438">
        <v>0</v>
      </c>
      <c r="L99" s="438"/>
      <c r="M99" s="438">
        <f t="shared" si="1"/>
        <v>0</v>
      </c>
      <c r="N99" s="438"/>
      <c r="O99" s="438">
        <v>0</v>
      </c>
      <c r="P99" s="791"/>
      <c r="Q99" s="1209"/>
    </row>
    <row r="100" spans="2:17" s="782" customFormat="1" ht="15.75">
      <c r="B100" s="788">
        <v>32352</v>
      </c>
      <c r="C100" s="439"/>
      <c r="D100" s="789" t="s">
        <v>1168</v>
      </c>
      <c r="E100" s="796"/>
      <c r="F100" s="438"/>
      <c r="G100" s="438">
        <v>367070146.91000003</v>
      </c>
      <c r="H100" s="438"/>
      <c r="I100" s="438">
        <v>399174792.49000001</v>
      </c>
      <c r="J100" s="438"/>
      <c r="K100" s="438">
        <v>439994736.92000002</v>
      </c>
      <c r="L100" s="438"/>
      <c r="M100" s="438">
        <f t="shared" si="1"/>
        <v>25453241.709999979</v>
      </c>
      <c r="N100" s="438"/>
      <c r="O100" s="438">
        <v>465447978.63</v>
      </c>
      <c r="P100" s="791"/>
      <c r="Q100" s="1209"/>
    </row>
    <row r="101" spans="2:17" s="782" customFormat="1" ht="15.75">
      <c r="B101" s="788">
        <v>32353</v>
      </c>
      <c r="C101" s="771"/>
      <c r="D101" s="789" t="s">
        <v>1169</v>
      </c>
      <c r="E101" s="796"/>
      <c r="F101" s="438"/>
      <c r="G101" s="438">
        <v>0</v>
      </c>
      <c r="H101" s="438"/>
      <c r="I101" s="438">
        <v>0</v>
      </c>
      <c r="J101" s="438"/>
      <c r="K101" s="438">
        <v>0</v>
      </c>
      <c r="L101" s="438"/>
      <c r="M101" s="438">
        <f t="shared" si="1"/>
        <v>0</v>
      </c>
      <c r="N101" s="438"/>
      <c r="O101" s="438">
        <v>0</v>
      </c>
      <c r="P101" s="791"/>
      <c r="Q101" s="1209"/>
    </row>
    <row r="102" spans="2:17" s="782" customFormat="1" ht="16.5" thickBot="1">
      <c r="B102" s="797"/>
      <c r="C102" s="798"/>
      <c r="D102" s="792" t="s">
        <v>1170</v>
      </c>
      <c r="E102" s="786"/>
      <c r="F102" s="786"/>
      <c r="G102" s="1700">
        <f>SUM(G14:G101)</f>
        <v>3333362834.7499995</v>
      </c>
      <c r="H102" s="1701"/>
      <c r="I102" s="1700">
        <f>SUM(I14:I101)</f>
        <v>3564265486.0700006</v>
      </c>
      <c r="J102" s="1701"/>
      <c r="K102" s="1700">
        <f>SUM(K14:K101)</f>
        <v>2981869619.3800001</v>
      </c>
      <c r="L102"/>
      <c r="M102" s="1700">
        <f>SUM(M14:M101)</f>
        <v>393445664.97000009</v>
      </c>
      <c r="N102"/>
      <c r="O102" s="1700">
        <f>SUM(O14:O101)</f>
        <v>3375315284.3500004</v>
      </c>
      <c r="P102" s="791"/>
      <c r="Q102" s="1209"/>
    </row>
    <row r="103" spans="2:17" s="782" customFormat="1" ht="16.5" thickTop="1">
      <c r="B103" s="787"/>
      <c r="C103" s="787"/>
      <c r="D103" s="799"/>
      <c r="E103" s="787"/>
      <c r="F103" s="787"/>
      <c r="G103" s="929"/>
      <c r="H103" s="271"/>
      <c r="I103" s="929"/>
      <c r="J103" s="271"/>
      <c r="K103" s="929"/>
      <c r="L103" s="271"/>
      <c r="M103" s="1702"/>
      <c r="N103" s="271"/>
      <c r="O103" s="929"/>
      <c r="P103" s="800"/>
      <c r="Q103" s="1209"/>
    </row>
    <row r="104" spans="2:17" s="782" customFormat="1" ht="15.75">
      <c r="B104" s="783"/>
      <c r="C104" s="798"/>
      <c r="D104" s="801" t="s">
        <v>1171</v>
      </c>
      <c r="E104" s="802"/>
      <c r="F104" s="802"/>
      <c r="G104" s="930"/>
      <c r="H104" s="1703"/>
      <c r="I104" s="930"/>
      <c r="J104" s="1703"/>
      <c r="K104" s="930"/>
      <c r="L104" s="1703"/>
      <c r="M104" s="1701"/>
      <c r="N104" s="1701"/>
      <c r="O104" s="930"/>
      <c r="P104" s="787"/>
      <c r="Q104" s="1209"/>
    </row>
    <row r="105" spans="2:17" s="782" customFormat="1" ht="15.75">
      <c r="B105" s="788">
        <v>20401</v>
      </c>
      <c r="C105" s="798"/>
      <c r="D105" s="789" t="s">
        <v>1172</v>
      </c>
      <c r="E105" s="802"/>
      <c r="F105" s="802"/>
      <c r="G105" s="438">
        <v>0</v>
      </c>
      <c r="H105" s="438"/>
      <c r="I105" s="438">
        <v>0</v>
      </c>
      <c r="J105" s="438"/>
      <c r="K105" s="438">
        <v>0</v>
      </c>
      <c r="L105" s="438"/>
      <c r="M105" s="438">
        <f t="shared" ref="M105:M168" si="3">O105-K105</f>
        <v>0</v>
      </c>
      <c r="N105" s="438"/>
      <c r="O105" s="438">
        <v>0</v>
      </c>
      <c r="P105" s="787"/>
      <c r="Q105" s="1209"/>
    </row>
    <row r="106" spans="2:17" s="782" customFormat="1" ht="15.75">
      <c r="B106" s="788">
        <v>20501</v>
      </c>
      <c r="C106" s="803"/>
      <c r="D106" s="789" t="s">
        <v>1173</v>
      </c>
      <c r="E106" s="804"/>
      <c r="F106" s="804"/>
      <c r="G106" s="438">
        <v>0</v>
      </c>
      <c r="H106" s="438"/>
      <c r="I106" s="438">
        <v>0</v>
      </c>
      <c r="J106" s="438"/>
      <c r="K106" s="438">
        <v>0</v>
      </c>
      <c r="L106" s="438"/>
      <c r="M106" s="438">
        <f t="shared" si="3"/>
        <v>0</v>
      </c>
      <c r="N106" s="438"/>
      <c r="O106" s="438">
        <v>0</v>
      </c>
      <c r="P106" s="791"/>
      <c r="Q106" s="1209"/>
    </row>
    <row r="107" spans="2:17" s="782" customFormat="1" ht="15.75">
      <c r="B107" s="788">
        <v>20810</v>
      </c>
      <c r="C107" s="795"/>
      <c r="D107" s="789" t="s">
        <v>1174</v>
      </c>
      <c r="E107" s="796"/>
      <c r="F107" s="796"/>
      <c r="G107" s="438">
        <v>168719782.09</v>
      </c>
      <c r="H107" s="438"/>
      <c r="I107" s="438">
        <v>0</v>
      </c>
      <c r="J107" s="438"/>
      <c r="K107" s="438">
        <v>70869530.400000006</v>
      </c>
      <c r="L107" s="438"/>
      <c r="M107" s="438">
        <f t="shared" si="3"/>
        <v>95860981.150000006</v>
      </c>
      <c r="N107" s="438"/>
      <c r="O107" s="438">
        <v>166730511.55000001</v>
      </c>
      <c r="P107" s="688"/>
      <c r="Q107" s="1209"/>
    </row>
    <row r="108" spans="2:17" s="782" customFormat="1" ht="15.75">
      <c r="B108" s="788">
        <v>20818</v>
      </c>
      <c r="C108" s="795"/>
      <c r="D108" s="789" t="s">
        <v>1175</v>
      </c>
      <c r="E108" s="796"/>
      <c r="F108" s="796"/>
      <c r="G108" s="438">
        <v>0</v>
      </c>
      <c r="H108" s="438"/>
      <c r="I108" s="438">
        <v>0</v>
      </c>
      <c r="J108" s="438"/>
      <c r="K108" s="438">
        <v>0</v>
      </c>
      <c r="L108" s="438"/>
      <c r="M108" s="438">
        <f t="shared" si="3"/>
        <v>0</v>
      </c>
      <c r="N108" s="438"/>
      <c r="O108" s="438">
        <v>0</v>
      </c>
      <c r="P108" s="688"/>
      <c r="Q108" s="1209"/>
    </row>
    <row r="109" spans="2:17" s="782" customFormat="1" ht="15.75">
      <c r="B109" s="788">
        <v>20901</v>
      </c>
      <c r="C109" s="795"/>
      <c r="D109" s="789" t="s">
        <v>1176</v>
      </c>
      <c r="E109" s="796"/>
      <c r="F109" s="796"/>
      <c r="G109" s="438">
        <v>0</v>
      </c>
      <c r="H109" s="438"/>
      <c r="I109" s="438">
        <v>1255616757.99</v>
      </c>
      <c r="J109" s="438"/>
      <c r="K109" s="438">
        <v>1056496594.5</v>
      </c>
      <c r="L109" s="438"/>
      <c r="M109" s="438">
        <f t="shared" si="3"/>
        <v>-160887902.14999998</v>
      </c>
      <c r="N109" s="438"/>
      <c r="O109" s="438">
        <v>895608692.35000002</v>
      </c>
      <c r="P109" s="688"/>
      <c r="Q109" s="1209"/>
    </row>
    <row r="110" spans="2:17" s="782" customFormat="1" ht="15.75">
      <c r="B110" s="788">
        <v>20904</v>
      </c>
      <c r="C110" s="795"/>
      <c r="D110" s="789" t="s">
        <v>1177</v>
      </c>
      <c r="E110" s="796"/>
      <c r="F110" s="796"/>
      <c r="G110" s="438">
        <v>0</v>
      </c>
      <c r="H110" s="438"/>
      <c r="I110" s="438">
        <v>0</v>
      </c>
      <c r="J110" s="438"/>
      <c r="K110" s="438">
        <v>0</v>
      </c>
      <c r="L110" s="438"/>
      <c r="M110" s="438">
        <f t="shared" si="3"/>
        <v>0</v>
      </c>
      <c r="N110" s="438"/>
      <c r="O110" s="438">
        <v>0</v>
      </c>
      <c r="P110" s="688"/>
      <c r="Q110" s="1209"/>
    </row>
    <row r="111" spans="2:17" s="782" customFormat="1" ht="15.75">
      <c r="B111" s="788">
        <v>21001</v>
      </c>
      <c r="C111" s="795"/>
      <c r="D111" s="789" t="s">
        <v>1178</v>
      </c>
      <c r="E111" s="796"/>
      <c r="F111" s="796"/>
      <c r="G111" s="438">
        <v>0</v>
      </c>
      <c r="H111" s="438"/>
      <c r="I111" s="438">
        <v>0</v>
      </c>
      <c r="J111" s="438"/>
      <c r="K111" s="438">
        <v>0</v>
      </c>
      <c r="L111" s="438"/>
      <c r="M111" s="438">
        <f t="shared" si="3"/>
        <v>0</v>
      </c>
      <c r="N111" s="438"/>
      <c r="O111" s="438">
        <v>0</v>
      </c>
      <c r="P111" s="688"/>
      <c r="Q111" s="1209"/>
    </row>
    <row r="112" spans="2:17" s="782" customFormat="1" ht="15.75">
      <c r="B112" s="788">
        <v>21002</v>
      </c>
      <c r="C112" s="795"/>
      <c r="D112" s="789" t="s">
        <v>1179</v>
      </c>
      <c r="E112" s="796"/>
      <c r="F112" s="796"/>
      <c r="G112" s="438">
        <v>222831.37</v>
      </c>
      <c r="H112" s="438"/>
      <c r="I112" s="438">
        <v>221291.18</v>
      </c>
      <c r="J112" s="438"/>
      <c r="K112" s="438">
        <v>221291.18</v>
      </c>
      <c r="L112" s="438"/>
      <c r="M112" s="438">
        <f t="shared" si="3"/>
        <v>0</v>
      </c>
      <c r="N112" s="438"/>
      <c r="O112" s="438">
        <v>221291.18</v>
      </c>
      <c r="P112" s="688"/>
      <c r="Q112" s="1209"/>
    </row>
    <row r="113" spans="2:17" s="782" customFormat="1" ht="15.75">
      <c r="B113" s="788">
        <v>21061</v>
      </c>
      <c r="C113" s="795"/>
      <c r="D113" s="789" t="s">
        <v>1180</v>
      </c>
      <c r="E113" s="796"/>
      <c r="F113" s="796"/>
      <c r="G113" s="438">
        <v>0</v>
      </c>
      <c r="H113" s="438"/>
      <c r="I113" s="438">
        <v>0</v>
      </c>
      <c r="J113" s="438"/>
      <c r="K113" s="438">
        <v>0</v>
      </c>
      <c r="L113" s="438"/>
      <c r="M113" s="438">
        <f t="shared" si="3"/>
        <v>0</v>
      </c>
      <c r="N113" s="438"/>
      <c r="O113" s="438">
        <v>0</v>
      </c>
      <c r="P113" s="688"/>
      <c r="Q113" s="1209"/>
    </row>
    <row r="114" spans="2:17" s="782" customFormat="1" ht="15.75">
      <c r="B114" s="788">
        <v>21064</v>
      </c>
      <c r="C114" s="795"/>
      <c r="D114" s="789" t="s">
        <v>1181</v>
      </c>
      <c r="E114" s="796"/>
      <c r="F114" s="796"/>
      <c r="G114" s="438">
        <v>618.66</v>
      </c>
      <c r="H114" s="438"/>
      <c r="I114" s="438">
        <v>618.66</v>
      </c>
      <c r="J114" s="438"/>
      <c r="K114" s="438">
        <v>618.66</v>
      </c>
      <c r="L114" s="438"/>
      <c r="M114" s="438">
        <f t="shared" si="3"/>
        <v>0</v>
      </c>
      <c r="N114" s="438"/>
      <c r="O114" s="438">
        <v>618.66</v>
      </c>
      <c r="P114" s="688"/>
      <c r="Q114" s="1209"/>
    </row>
    <row r="115" spans="2:17" s="782" customFormat="1" ht="15.75">
      <c r="B115" s="788">
        <v>21065</v>
      </c>
      <c r="C115" s="795"/>
      <c r="D115" s="789" t="s">
        <v>1182</v>
      </c>
      <c r="E115" s="796"/>
      <c r="F115" s="796"/>
      <c r="G115" s="438">
        <v>0</v>
      </c>
      <c r="H115" s="438"/>
      <c r="I115" s="438">
        <v>0</v>
      </c>
      <c r="J115" s="438"/>
      <c r="K115" s="438">
        <v>0</v>
      </c>
      <c r="L115" s="438"/>
      <c r="M115" s="438">
        <f t="shared" si="3"/>
        <v>0</v>
      </c>
      <c r="N115" s="438"/>
      <c r="O115" s="438">
        <v>0</v>
      </c>
      <c r="P115" s="688"/>
      <c r="Q115" s="1209"/>
    </row>
    <row r="116" spans="2:17" s="782" customFormat="1" ht="15.75">
      <c r="B116" s="788">
        <v>21066</v>
      </c>
      <c r="C116" s="795"/>
      <c r="D116" s="794" t="s">
        <v>1183</v>
      </c>
      <c r="E116" s="796"/>
      <c r="F116" s="796"/>
      <c r="G116" s="438">
        <v>408984.21</v>
      </c>
      <c r="H116" s="438"/>
      <c r="I116" s="438">
        <v>635162.16</v>
      </c>
      <c r="J116" s="438"/>
      <c r="K116" s="438">
        <v>818075.69</v>
      </c>
      <c r="L116" s="438"/>
      <c r="M116" s="438">
        <f t="shared" si="3"/>
        <v>-127436.83999999997</v>
      </c>
      <c r="N116" s="438"/>
      <c r="O116" s="438">
        <v>690638.85</v>
      </c>
      <c r="P116" s="688"/>
      <c r="Q116" s="1209"/>
    </row>
    <row r="117" spans="2:17" s="782" customFormat="1" ht="15.75">
      <c r="B117" s="788">
        <v>21067</v>
      </c>
      <c r="C117" s="795"/>
      <c r="D117" s="794" t="s">
        <v>1184</v>
      </c>
      <c r="E117" s="796"/>
      <c r="F117" s="796"/>
      <c r="G117" s="438">
        <v>0</v>
      </c>
      <c r="H117" s="438"/>
      <c r="I117" s="438">
        <v>0</v>
      </c>
      <c r="J117" s="438"/>
      <c r="K117" s="438">
        <v>0</v>
      </c>
      <c r="L117" s="438"/>
      <c r="M117" s="438">
        <f t="shared" si="3"/>
        <v>0</v>
      </c>
      <c r="N117" s="438"/>
      <c r="O117" s="438">
        <v>0</v>
      </c>
      <c r="P117" s="688"/>
      <c r="Q117" s="1209"/>
    </row>
    <row r="118" spans="2:17" s="782" customFormat="1" ht="15.75">
      <c r="B118" s="788">
        <v>21077</v>
      </c>
      <c r="C118" s="795"/>
      <c r="D118" s="789" t="s">
        <v>1185</v>
      </c>
      <c r="E118" s="796"/>
      <c r="F118" s="796"/>
      <c r="G118" s="438">
        <v>0</v>
      </c>
      <c r="H118" s="438"/>
      <c r="I118" s="438">
        <v>0</v>
      </c>
      <c r="J118" s="438"/>
      <c r="K118" s="438">
        <v>0</v>
      </c>
      <c r="L118" s="438"/>
      <c r="M118" s="438">
        <f t="shared" si="3"/>
        <v>0</v>
      </c>
      <c r="N118" s="438"/>
      <c r="O118" s="438">
        <v>0</v>
      </c>
      <c r="P118" s="688"/>
      <c r="Q118" s="1209"/>
    </row>
    <row r="119" spans="2:17" s="782" customFormat="1" ht="15.75">
      <c r="B119" s="788">
        <v>21081</v>
      </c>
      <c r="C119" s="795"/>
      <c r="D119" s="794" t="s">
        <v>1186</v>
      </c>
      <c r="E119" s="796"/>
      <c r="F119" s="796"/>
      <c r="G119" s="438">
        <v>110064072.52</v>
      </c>
      <c r="H119" s="438"/>
      <c r="I119" s="438">
        <v>111212474.04000001</v>
      </c>
      <c r="J119" s="438"/>
      <c r="K119" s="438">
        <v>112776040.03</v>
      </c>
      <c r="L119" s="438"/>
      <c r="M119" s="438">
        <f t="shared" si="3"/>
        <v>1754418.2800000012</v>
      </c>
      <c r="N119" s="438"/>
      <c r="O119" s="438">
        <v>114530458.31</v>
      </c>
      <c r="P119" s="688"/>
      <c r="Q119" s="1209"/>
    </row>
    <row r="120" spans="2:17" s="782" customFormat="1" ht="15.75">
      <c r="B120" s="788">
        <v>21082</v>
      </c>
      <c r="C120" s="795"/>
      <c r="D120" s="789" t="s">
        <v>1187</v>
      </c>
      <c r="E120" s="796"/>
      <c r="F120" s="796"/>
      <c r="G120" s="438">
        <v>3052752.57</v>
      </c>
      <c r="H120" s="438"/>
      <c r="I120" s="438">
        <v>2795202.02</v>
      </c>
      <c r="J120" s="438"/>
      <c r="K120" s="438">
        <v>2832058.37</v>
      </c>
      <c r="L120" s="438"/>
      <c r="M120" s="438">
        <f t="shared" si="3"/>
        <v>370004.12999999989</v>
      </c>
      <c r="N120" s="438"/>
      <c r="O120" s="438">
        <v>3202062.5</v>
      </c>
      <c r="P120" s="688"/>
      <c r="Q120" s="1209"/>
    </row>
    <row r="121" spans="2:17" s="782" customFormat="1" ht="15.75">
      <c r="B121" s="788">
        <v>21084</v>
      </c>
      <c r="C121" s="795"/>
      <c r="D121" s="789" t="s">
        <v>1188</v>
      </c>
      <c r="E121" s="796"/>
      <c r="F121" s="796"/>
      <c r="G121" s="438">
        <v>0</v>
      </c>
      <c r="H121" s="438"/>
      <c r="I121" s="438">
        <v>0</v>
      </c>
      <c r="J121" s="438"/>
      <c r="K121" s="438">
        <v>0</v>
      </c>
      <c r="L121" s="438"/>
      <c r="M121" s="438">
        <f t="shared" si="3"/>
        <v>0</v>
      </c>
      <c r="N121" s="438"/>
      <c r="O121" s="438">
        <v>0</v>
      </c>
      <c r="P121" s="688"/>
      <c r="Q121" s="1209"/>
    </row>
    <row r="122" spans="2:17" s="782" customFormat="1" ht="15.75">
      <c r="B122" s="788">
        <v>21087</v>
      </c>
      <c r="C122" s="795"/>
      <c r="D122" s="789" t="s">
        <v>1189</v>
      </c>
      <c r="E122" s="796"/>
      <c r="F122" s="796"/>
      <c r="G122" s="438">
        <v>0</v>
      </c>
      <c r="H122" s="438"/>
      <c r="I122" s="438">
        <v>0</v>
      </c>
      <c r="J122" s="438"/>
      <c r="K122" s="438">
        <v>0</v>
      </c>
      <c r="L122" s="438"/>
      <c r="M122" s="438">
        <f t="shared" si="3"/>
        <v>0</v>
      </c>
      <c r="N122" s="438"/>
      <c r="O122" s="438">
        <v>0</v>
      </c>
      <c r="P122" s="688"/>
      <c r="Q122" s="1209"/>
    </row>
    <row r="123" spans="2:17" s="782" customFormat="1" ht="15.75">
      <c r="B123" s="788">
        <v>21201</v>
      </c>
      <c r="C123" s="795"/>
      <c r="D123" s="789" t="s">
        <v>1190</v>
      </c>
      <c r="E123" s="796"/>
      <c r="F123" s="796"/>
      <c r="G123" s="438">
        <v>409180.41</v>
      </c>
      <c r="H123" s="438"/>
      <c r="I123" s="438">
        <v>476658.77</v>
      </c>
      <c r="J123" s="438"/>
      <c r="K123" s="438">
        <v>562433.69999999995</v>
      </c>
      <c r="L123" s="438"/>
      <c r="M123" s="438">
        <f t="shared" si="3"/>
        <v>72743.040000000037</v>
      </c>
      <c r="N123" s="438"/>
      <c r="O123" s="438">
        <v>635176.74</v>
      </c>
      <c r="P123" s="688"/>
      <c r="Q123" s="1209"/>
    </row>
    <row r="124" spans="2:17" s="782" customFormat="1" ht="15.75">
      <c r="B124" s="788">
        <v>21202</v>
      </c>
      <c r="C124" s="795"/>
      <c r="D124" s="789" t="s">
        <v>1191</v>
      </c>
      <c r="E124" s="796"/>
      <c r="F124" s="796"/>
      <c r="G124" s="438">
        <v>130230.25</v>
      </c>
      <c r="H124" s="438"/>
      <c r="I124" s="438">
        <v>153397.67000000001</v>
      </c>
      <c r="J124" s="438"/>
      <c r="K124" s="438">
        <v>181040.9</v>
      </c>
      <c r="L124" s="438"/>
      <c r="M124" s="438">
        <f t="shared" si="3"/>
        <v>23375.800000000017</v>
      </c>
      <c r="N124" s="438"/>
      <c r="O124" s="438">
        <v>204416.7</v>
      </c>
      <c r="P124" s="688"/>
      <c r="Q124" s="1209"/>
    </row>
    <row r="125" spans="2:17" s="782" customFormat="1" ht="15.75">
      <c r="B125" s="788">
        <v>21203</v>
      </c>
      <c r="C125" s="795"/>
      <c r="D125" s="789" t="s">
        <v>1192</v>
      </c>
      <c r="E125" s="796"/>
      <c r="F125" s="796"/>
      <c r="G125" s="438">
        <v>5740953.2599999998</v>
      </c>
      <c r="H125" s="438"/>
      <c r="I125" s="438">
        <v>6457298.8499999996</v>
      </c>
      <c r="J125" s="438"/>
      <c r="K125" s="438">
        <v>7184491.8499999996</v>
      </c>
      <c r="L125" s="438"/>
      <c r="M125" s="438">
        <f t="shared" si="3"/>
        <v>1729883.0899999999</v>
      </c>
      <c r="N125" s="438"/>
      <c r="O125" s="438">
        <v>8914374.9399999995</v>
      </c>
      <c r="P125" s="688"/>
      <c r="Q125" s="1209"/>
    </row>
    <row r="126" spans="2:17" s="782" customFormat="1" ht="15.75">
      <c r="B126" s="788">
        <v>21204</v>
      </c>
      <c r="C126" s="795"/>
      <c r="D126" s="789" t="s">
        <v>1193</v>
      </c>
      <c r="E126" s="796"/>
      <c r="F126" s="796"/>
      <c r="G126" s="438">
        <v>0</v>
      </c>
      <c r="H126" s="438"/>
      <c r="I126" s="438">
        <v>0</v>
      </c>
      <c r="J126" s="438"/>
      <c r="K126" s="438">
        <v>0</v>
      </c>
      <c r="L126" s="438"/>
      <c r="M126" s="438">
        <f t="shared" si="3"/>
        <v>0</v>
      </c>
      <c r="N126" s="438"/>
      <c r="O126" s="438">
        <v>0</v>
      </c>
      <c r="P126" s="688"/>
      <c r="Q126" s="1209"/>
    </row>
    <row r="127" spans="2:17" s="782" customFormat="1" ht="15.75">
      <c r="B127" s="788">
        <v>21205</v>
      </c>
      <c r="C127" s="795"/>
      <c r="D127" s="789" t="s">
        <v>1194</v>
      </c>
      <c r="E127" s="796"/>
      <c r="F127" s="796"/>
      <c r="G127" s="438">
        <v>0</v>
      </c>
      <c r="H127" s="438"/>
      <c r="I127" s="438">
        <v>0</v>
      </c>
      <c r="J127" s="438"/>
      <c r="K127" s="438">
        <v>0</v>
      </c>
      <c r="L127" s="438"/>
      <c r="M127" s="438">
        <f t="shared" si="3"/>
        <v>0</v>
      </c>
      <c r="N127" s="438"/>
      <c r="O127" s="438">
        <v>0</v>
      </c>
      <c r="P127" s="688"/>
      <c r="Q127" s="1209"/>
    </row>
    <row r="128" spans="2:17" s="782" customFormat="1" ht="15.75">
      <c r="B128" s="788">
        <v>21206</v>
      </c>
      <c r="C128" s="795"/>
      <c r="D128" s="789" t="s">
        <v>1195</v>
      </c>
      <c r="E128" s="796"/>
      <c r="F128" s="796"/>
      <c r="G128" s="438">
        <v>1196077.93</v>
      </c>
      <c r="H128" s="438"/>
      <c r="I128" s="438">
        <v>1428518.7</v>
      </c>
      <c r="J128" s="438"/>
      <c r="K128" s="438">
        <v>1697257.33</v>
      </c>
      <c r="L128" s="438"/>
      <c r="M128" s="438">
        <f t="shared" si="3"/>
        <v>234723.90999999992</v>
      </c>
      <c r="N128" s="438"/>
      <c r="O128" s="438">
        <v>1931981.24</v>
      </c>
      <c r="P128" s="688"/>
      <c r="Q128" s="1209"/>
    </row>
    <row r="129" spans="2:17" s="782" customFormat="1" ht="15.75">
      <c r="B129" s="788">
        <v>21401</v>
      </c>
      <c r="C129" s="795"/>
      <c r="D129" s="794" t="s">
        <v>1196</v>
      </c>
      <c r="E129" s="796"/>
      <c r="F129" s="796"/>
      <c r="G129" s="438">
        <v>0</v>
      </c>
      <c r="H129" s="438"/>
      <c r="I129" s="438">
        <v>0</v>
      </c>
      <c r="J129" s="438"/>
      <c r="K129" s="438">
        <v>0</v>
      </c>
      <c r="L129" s="438"/>
      <c r="M129" s="438">
        <f t="shared" si="3"/>
        <v>0</v>
      </c>
      <c r="N129" s="438"/>
      <c r="O129" s="438">
        <v>0</v>
      </c>
      <c r="P129" s="688"/>
      <c r="Q129" s="1209"/>
    </row>
    <row r="130" spans="2:17" s="782" customFormat="1" ht="15.75">
      <c r="B130" s="788">
        <v>21402</v>
      </c>
      <c r="C130" s="795"/>
      <c r="D130" s="794" t="s">
        <v>1197</v>
      </c>
      <c r="E130" s="796"/>
      <c r="F130" s="796"/>
      <c r="G130" s="438">
        <v>0</v>
      </c>
      <c r="H130" s="438"/>
      <c r="I130" s="438">
        <v>0</v>
      </c>
      <c r="J130" s="438"/>
      <c r="K130" s="438">
        <v>0</v>
      </c>
      <c r="L130" s="438"/>
      <c r="M130" s="438">
        <f t="shared" si="3"/>
        <v>0</v>
      </c>
      <c r="N130" s="438"/>
      <c r="O130" s="438">
        <v>0</v>
      </c>
      <c r="P130" s="688"/>
      <c r="Q130" s="1209"/>
    </row>
    <row r="131" spans="2:17" s="782" customFormat="1" ht="15.75">
      <c r="B131" s="788">
        <v>21451</v>
      </c>
      <c r="C131" s="795"/>
      <c r="D131" s="794" t="s">
        <v>1198</v>
      </c>
      <c r="E131" s="796"/>
      <c r="F131" s="796"/>
      <c r="G131" s="438">
        <v>51284558.590000004</v>
      </c>
      <c r="H131" s="438"/>
      <c r="I131" s="438">
        <v>51670405.710000001</v>
      </c>
      <c r="J131" s="438"/>
      <c r="K131" s="438">
        <v>52190623.170000002</v>
      </c>
      <c r="L131" s="438"/>
      <c r="M131" s="438">
        <f t="shared" si="3"/>
        <v>-1387152.2600000054</v>
      </c>
      <c r="N131" s="438"/>
      <c r="O131" s="438">
        <v>50803470.909999996</v>
      </c>
      <c r="P131" s="688"/>
      <c r="Q131" s="1209"/>
    </row>
    <row r="132" spans="2:17" s="782" customFormat="1" ht="15.75">
      <c r="B132" s="788">
        <v>21452</v>
      </c>
      <c r="C132" s="795"/>
      <c r="D132" s="789" t="s">
        <v>1199</v>
      </c>
      <c r="E132" s="796"/>
      <c r="F132" s="796"/>
      <c r="G132" s="438">
        <v>0</v>
      </c>
      <c r="H132" s="438"/>
      <c r="I132" s="438">
        <v>0</v>
      </c>
      <c r="J132" s="438"/>
      <c r="K132" s="438">
        <v>0</v>
      </c>
      <c r="L132" s="438"/>
      <c r="M132" s="438">
        <f t="shared" si="3"/>
        <v>0</v>
      </c>
      <c r="N132" s="438"/>
      <c r="O132" s="438">
        <v>0</v>
      </c>
      <c r="P132" s="688"/>
      <c r="Q132" s="1209"/>
    </row>
    <row r="133" spans="2:17" s="782" customFormat="1" ht="15.75">
      <c r="B133" s="788">
        <v>21902</v>
      </c>
      <c r="C133" s="795"/>
      <c r="D133" s="794" t="s">
        <v>1200</v>
      </c>
      <c r="E133" s="796"/>
      <c r="F133" s="796"/>
      <c r="G133" s="438">
        <v>0</v>
      </c>
      <c r="H133" s="438"/>
      <c r="I133" s="438">
        <v>0</v>
      </c>
      <c r="J133" s="438"/>
      <c r="K133" s="438">
        <v>0</v>
      </c>
      <c r="L133" s="438"/>
      <c r="M133" s="438">
        <f t="shared" si="3"/>
        <v>0</v>
      </c>
      <c r="N133" s="438"/>
      <c r="O133" s="438">
        <v>0</v>
      </c>
      <c r="P133" s="688"/>
      <c r="Q133" s="1209"/>
    </row>
    <row r="134" spans="2:17" s="782" customFormat="1" ht="15.75">
      <c r="B134" s="788">
        <v>21905</v>
      </c>
      <c r="C134" s="795"/>
      <c r="D134" s="864" t="s">
        <v>1201</v>
      </c>
      <c r="E134" s="796"/>
      <c r="F134" s="796"/>
      <c r="G134" s="438">
        <v>8524523.5700000003</v>
      </c>
      <c r="H134" s="438"/>
      <c r="I134" s="438">
        <v>0</v>
      </c>
      <c r="J134" s="438"/>
      <c r="K134" s="438">
        <v>0</v>
      </c>
      <c r="L134" s="438"/>
      <c r="M134" s="438">
        <f t="shared" si="3"/>
        <v>0</v>
      </c>
      <c r="N134" s="438"/>
      <c r="O134" s="438">
        <v>0</v>
      </c>
      <c r="P134" s="688"/>
      <c r="Q134" s="1209"/>
    </row>
    <row r="135" spans="2:17" s="782" customFormat="1" ht="15.75">
      <c r="B135" s="788">
        <v>21911</v>
      </c>
      <c r="C135" s="795"/>
      <c r="D135" s="789" t="s">
        <v>1202</v>
      </c>
      <c r="E135" s="796"/>
      <c r="F135" s="796"/>
      <c r="G135" s="438">
        <v>456653.93</v>
      </c>
      <c r="H135" s="438"/>
      <c r="I135" s="438">
        <v>742757.17</v>
      </c>
      <c r="J135" s="438"/>
      <c r="K135" s="438">
        <v>259451.02</v>
      </c>
      <c r="L135" s="438"/>
      <c r="M135" s="438">
        <f t="shared" si="3"/>
        <v>178939.69999999998</v>
      </c>
      <c r="N135" s="438"/>
      <c r="O135" s="438">
        <v>438390.72</v>
      </c>
      <c r="P135" s="688"/>
      <c r="Q135" s="1209"/>
    </row>
    <row r="136" spans="2:17" s="782" customFormat="1" ht="15.75">
      <c r="B136" s="788">
        <v>21912</v>
      </c>
      <c r="C136" s="795"/>
      <c r="D136" s="794" t="s">
        <v>1203</v>
      </c>
      <c r="E136" s="796"/>
      <c r="F136" s="796"/>
      <c r="G136" s="438">
        <v>1347728.52</v>
      </c>
      <c r="H136" s="438"/>
      <c r="I136" s="438">
        <v>1537497.21</v>
      </c>
      <c r="J136" s="438"/>
      <c r="K136" s="438">
        <v>1756894</v>
      </c>
      <c r="L136" s="438"/>
      <c r="M136" s="438">
        <f t="shared" si="3"/>
        <v>-410058.58000000007</v>
      </c>
      <c r="N136" s="438"/>
      <c r="O136" s="438">
        <v>1346835.42</v>
      </c>
      <c r="P136" s="688"/>
      <c r="Q136" s="1209"/>
    </row>
    <row r="137" spans="2:17" s="782" customFormat="1" ht="15.75">
      <c r="B137" s="788">
        <v>21937</v>
      </c>
      <c r="C137" s="795"/>
      <c r="D137" s="789" t="s">
        <v>1204</v>
      </c>
      <c r="E137" s="796"/>
      <c r="F137" s="796"/>
      <c r="G137" s="438">
        <v>537981.84</v>
      </c>
      <c r="H137" s="438"/>
      <c r="I137" s="438">
        <v>225094.48</v>
      </c>
      <c r="J137" s="438"/>
      <c r="K137" s="438">
        <v>687889.39</v>
      </c>
      <c r="L137" s="438"/>
      <c r="M137" s="438">
        <f t="shared" si="3"/>
        <v>-415132.38</v>
      </c>
      <c r="N137" s="438"/>
      <c r="O137" s="438">
        <v>272757.01</v>
      </c>
      <c r="P137" s="688"/>
      <c r="Q137" s="1209"/>
    </row>
    <row r="138" spans="2:17" s="782" customFormat="1" ht="15.75">
      <c r="B138" s="788">
        <v>21945</v>
      </c>
      <c r="C138" s="795"/>
      <c r="D138" s="794" t="s">
        <v>1205</v>
      </c>
      <c r="E138" s="796"/>
      <c r="F138" s="796"/>
      <c r="G138" s="438">
        <v>0</v>
      </c>
      <c r="H138" s="438"/>
      <c r="I138" s="438">
        <v>0</v>
      </c>
      <c r="J138" s="438"/>
      <c r="K138" s="438">
        <v>0</v>
      </c>
      <c r="L138" s="438"/>
      <c r="M138" s="438">
        <f t="shared" si="3"/>
        <v>0</v>
      </c>
      <c r="N138" s="438"/>
      <c r="O138" s="438">
        <v>0</v>
      </c>
      <c r="P138" s="688"/>
      <c r="Q138" s="1209"/>
    </row>
    <row r="139" spans="2:17" s="782" customFormat="1" ht="15.75">
      <c r="B139" s="788">
        <v>21959</v>
      </c>
      <c r="C139" s="795"/>
      <c r="D139" s="789" t="s">
        <v>1206</v>
      </c>
      <c r="E139" s="796"/>
      <c r="F139" s="796"/>
      <c r="G139" s="438">
        <v>0</v>
      </c>
      <c r="H139" s="438"/>
      <c r="I139" s="438">
        <v>0</v>
      </c>
      <c r="J139" s="438"/>
      <c r="K139" s="438">
        <v>0</v>
      </c>
      <c r="L139" s="438"/>
      <c r="M139" s="438">
        <f t="shared" si="3"/>
        <v>0</v>
      </c>
      <c r="N139" s="438"/>
      <c r="O139" s="438">
        <v>0</v>
      </c>
      <c r="P139" s="688"/>
      <c r="Q139" s="1209"/>
    </row>
    <row r="140" spans="2:17" s="782" customFormat="1" ht="15.75">
      <c r="B140" s="788">
        <v>21961</v>
      </c>
      <c r="C140" s="795"/>
      <c r="D140" s="789" t="s">
        <v>1207</v>
      </c>
      <c r="E140" s="796"/>
      <c r="F140" s="796"/>
      <c r="G140" s="438">
        <v>0</v>
      </c>
      <c r="H140" s="438"/>
      <c r="I140" s="438">
        <v>0</v>
      </c>
      <c r="J140" s="438"/>
      <c r="K140" s="438">
        <v>0</v>
      </c>
      <c r="L140" s="438"/>
      <c r="M140" s="438">
        <f t="shared" si="3"/>
        <v>0</v>
      </c>
      <c r="N140" s="438"/>
      <c r="O140" s="438">
        <v>0</v>
      </c>
      <c r="P140" s="688"/>
      <c r="Q140" s="1209"/>
    </row>
    <row r="141" spans="2:17" s="782" customFormat="1" ht="15.75">
      <c r="B141" s="788">
        <v>21962</v>
      </c>
      <c r="C141" s="795"/>
      <c r="D141" s="789" t="s">
        <v>1208</v>
      </c>
      <c r="E141" s="796"/>
      <c r="F141" s="796"/>
      <c r="G141" s="438">
        <v>11980116.460000001</v>
      </c>
      <c r="H141" s="438"/>
      <c r="I141" s="438">
        <v>11017248.1</v>
      </c>
      <c r="J141" s="438"/>
      <c r="K141" s="438">
        <v>10236486.789999999</v>
      </c>
      <c r="L141" s="438"/>
      <c r="M141" s="438">
        <f t="shared" si="3"/>
        <v>-342517.46999999881</v>
      </c>
      <c r="N141" s="438"/>
      <c r="O141" s="438">
        <v>9893969.3200000003</v>
      </c>
      <c r="P141" s="688"/>
      <c r="Q141" s="1209"/>
    </row>
    <row r="142" spans="2:17" s="782" customFormat="1" ht="15.75">
      <c r="B142" s="788">
        <v>21978</v>
      </c>
      <c r="C142" s="795"/>
      <c r="D142" s="794" t="s">
        <v>1209</v>
      </c>
      <c r="E142" s="796"/>
      <c r="F142" s="796"/>
      <c r="G142" s="438">
        <v>0</v>
      </c>
      <c r="H142" s="438"/>
      <c r="I142" s="438">
        <v>0</v>
      </c>
      <c r="J142" s="438"/>
      <c r="K142" s="438">
        <v>0</v>
      </c>
      <c r="L142" s="438"/>
      <c r="M142" s="438">
        <f t="shared" si="3"/>
        <v>0</v>
      </c>
      <c r="N142" s="438"/>
      <c r="O142" s="438">
        <v>0</v>
      </c>
      <c r="P142" s="688"/>
      <c r="Q142" s="1209"/>
    </row>
    <row r="143" spans="2:17" s="782" customFormat="1" ht="15.75">
      <c r="B143" s="788">
        <v>21989</v>
      </c>
      <c r="C143" s="795"/>
      <c r="D143" s="794" t="s">
        <v>1210</v>
      </c>
      <c r="E143" s="796"/>
      <c r="F143" s="796"/>
      <c r="G143" s="438">
        <v>5644365.3200000003</v>
      </c>
      <c r="H143" s="438"/>
      <c r="I143" s="438">
        <v>5407922.5199999996</v>
      </c>
      <c r="J143" s="438"/>
      <c r="K143" s="438">
        <v>6050632.21</v>
      </c>
      <c r="L143" s="438"/>
      <c r="M143" s="438">
        <f t="shared" si="3"/>
        <v>1167489.9500000002</v>
      </c>
      <c r="N143" s="438"/>
      <c r="O143" s="438">
        <v>7218122.1600000001</v>
      </c>
      <c r="P143" s="688"/>
      <c r="Q143" s="1209"/>
    </row>
    <row r="144" spans="2:17" s="782" customFormat="1" ht="15.75">
      <c r="B144" s="788">
        <v>22003</v>
      </c>
      <c r="C144" s="795"/>
      <c r="D144" s="794" t="s">
        <v>1211</v>
      </c>
      <c r="E144" s="796"/>
      <c r="F144" s="796"/>
      <c r="G144" s="438">
        <v>4837.21</v>
      </c>
      <c r="H144" s="438"/>
      <c r="I144" s="438">
        <v>0</v>
      </c>
      <c r="J144" s="438"/>
      <c r="K144" s="438">
        <v>0</v>
      </c>
      <c r="L144" s="438"/>
      <c r="M144" s="438">
        <f t="shared" si="3"/>
        <v>0</v>
      </c>
      <c r="N144" s="438"/>
      <c r="O144" s="438">
        <v>0</v>
      </c>
      <c r="P144" s="688"/>
      <c r="Q144" s="1209"/>
    </row>
    <row r="145" spans="2:17" s="782" customFormat="1" ht="15.75">
      <c r="B145" s="788">
        <v>22004</v>
      </c>
      <c r="C145" s="795"/>
      <c r="D145" s="789" t="s">
        <v>1212</v>
      </c>
      <c r="E145" s="796"/>
      <c r="F145" s="796"/>
      <c r="G145" s="438">
        <v>0</v>
      </c>
      <c r="H145" s="438"/>
      <c r="I145" s="438">
        <v>0</v>
      </c>
      <c r="J145" s="438"/>
      <c r="K145" s="438">
        <v>0</v>
      </c>
      <c r="L145" s="438"/>
      <c r="M145" s="438">
        <f t="shared" si="3"/>
        <v>0</v>
      </c>
      <c r="N145" s="438"/>
      <c r="O145" s="438">
        <v>0</v>
      </c>
      <c r="P145" s="688"/>
      <c r="Q145" s="1209"/>
    </row>
    <row r="146" spans="2:17" s="782" customFormat="1" ht="15.75">
      <c r="B146" s="788">
        <v>22006</v>
      </c>
      <c r="C146" s="795"/>
      <c r="D146" s="794" t="s">
        <v>1213</v>
      </c>
      <c r="E146" s="796"/>
      <c r="F146" s="796"/>
      <c r="G146" s="438">
        <v>0</v>
      </c>
      <c r="H146" s="438"/>
      <c r="I146" s="438">
        <v>0</v>
      </c>
      <c r="J146" s="438"/>
      <c r="K146" s="438">
        <v>0</v>
      </c>
      <c r="L146" s="438"/>
      <c r="M146" s="438">
        <f t="shared" si="3"/>
        <v>0</v>
      </c>
      <c r="N146" s="438"/>
      <c r="O146" s="438">
        <v>0</v>
      </c>
      <c r="P146" s="688"/>
      <c r="Q146" s="1209"/>
    </row>
    <row r="147" spans="2:17" s="782" customFormat="1" ht="15.75">
      <c r="B147" s="788">
        <v>22007</v>
      </c>
      <c r="C147" s="795"/>
      <c r="D147" s="789" t="s">
        <v>1214</v>
      </c>
      <c r="E147" s="796"/>
      <c r="F147" s="796"/>
      <c r="G147" s="438">
        <v>1297917.99</v>
      </c>
      <c r="H147" s="438"/>
      <c r="I147" s="438">
        <v>1152850.9099999999</v>
      </c>
      <c r="J147" s="438"/>
      <c r="K147" s="438">
        <v>1068047.02</v>
      </c>
      <c r="L147" s="438"/>
      <c r="M147" s="438">
        <f t="shared" si="3"/>
        <v>-14890.320000000065</v>
      </c>
      <c r="N147" s="438"/>
      <c r="O147" s="438">
        <v>1053156.7</v>
      </c>
      <c r="P147" s="688"/>
      <c r="Q147" s="1209"/>
    </row>
    <row r="148" spans="2:17" s="782" customFormat="1" ht="15.75">
      <c r="B148" s="788">
        <v>22008</v>
      </c>
      <c r="C148" s="795"/>
      <c r="D148" s="789" t="s">
        <v>1215</v>
      </c>
      <c r="E148" s="796"/>
      <c r="F148" s="796"/>
      <c r="G148" s="438">
        <v>1414989.21</v>
      </c>
      <c r="H148" s="438"/>
      <c r="I148" s="438">
        <v>1200640.8600000001</v>
      </c>
      <c r="J148" s="438"/>
      <c r="K148" s="438">
        <v>1061355.05</v>
      </c>
      <c r="L148" s="438"/>
      <c r="M148" s="438">
        <f t="shared" si="3"/>
        <v>191488.72999999998</v>
      </c>
      <c r="N148" s="438"/>
      <c r="O148" s="438">
        <v>1252843.78</v>
      </c>
      <c r="P148" s="688"/>
      <c r="Q148" s="1209"/>
    </row>
    <row r="149" spans="2:17" s="782" customFormat="1" ht="15.75">
      <c r="B149" s="788">
        <v>22009</v>
      </c>
      <c r="C149" s="795"/>
      <c r="D149" s="789" t="s">
        <v>1216</v>
      </c>
      <c r="E149" s="796"/>
      <c r="F149" s="796"/>
      <c r="G149" s="438">
        <v>0</v>
      </c>
      <c r="H149" s="438"/>
      <c r="I149" s="438">
        <v>0</v>
      </c>
      <c r="J149" s="438"/>
      <c r="K149" s="438">
        <v>0</v>
      </c>
      <c r="L149" s="438"/>
      <c r="M149" s="438">
        <f t="shared" si="3"/>
        <v>0</v>
      </c>
      <c r="N149" s="438"/>
      <c r="O149" s="438">
        <v>0</v>
      </c>
      <c r="P149" s="688"/>
      <c r="Q149" s="1209"/>
    </row>
    <row r="150" spans="2:17" s="782" customFormat="1" ht="15.75">
      <c r="B150" s="788">
        <v>22032</v>
      </c>
      <c r="C150" s="795"/>
      <c r="D150" s="789" t="s">
        <v>1217</v>
      </c>
      <c r="E150" s="796"/>
      <c r="F150" s="796"/>
      <c r="G150" s="438">
        <v>14306936.23</v>
      </c>
      <c r="H150" s="438"/>
      <c r="I150" s="438">
        <v>15149882.779999999</v>
      </c>
      <c r="J150" s="438"/>
      <c r="K150" s="438">
        <v>16277085.41</v>
      </c>
      <c r="L150" s="438"/>
      <c r="M150" s="438">
        <f t="shared" si="3"/>
        <v>1079836.1999999993</v>
      </c>
      <c r="N150" s="438"/>
      <c r="O150" s="438">
        <v>17356921.609999999</v>
      </c>
      <c r="P150" s="688"/>
      <c r="Q150" s="1209"/>
    </row>
    <row r="151" spans="2:17" s="782" customFormat="1" ht="15.75">
      <c r="B151" s="788">
        <v>22034</v>
      </c>
      <c r="C151" s="795"/>
      <c r="D151" s="789" t="s">
        <v>1218</v>
      </c>
      <c r="E151" s="796"/>
      <c r="F151" s="796"/>
      <c r="G151" s="438">
        <v>0</v>
      </c>
      <c r="H151" s="438"/>
      <c r="I151" s="438">
        <v>0</v>
      </c>
      <c r="J151" s="438"/>
      <c r="K151" s="438">
        <v>0</v>
      </c>
      <c r="L151" s="438"/>
      <c r="M151" s="438">
        <f t="shared" si="3"/>
        <v>0</v>
      </c>
      <c r="N151" s="438"/>
      <c r="O151" s="438">
        <v>0</v>
      </c>
      <c r="P151" s="688"/>
      <c r="Q151" s="1209"/>
    </row>
    <row r="152" spans="2:17" s="782" customFormat="1" ht="15.75">
      <c r="B152" s="788">
        <v>22036</v>
      </c>
      <c r="C152" s="795"/>
      <c r="D152" s="789" t="s">
        <v>1219</v>
      </c>
      <c r="E152" s="796"/>
      <c r="F152" s="796"/>
      <c r="G152" s="438">
        <v>0</v>
      </c>
      <c r="H152" s="438"/>
      <c r="I152" s="438">
        <v>0</v>
      </c>
      <c r="J152" s="438"/>
      <c r="K152" s="438">
        <v>0</v>
      </c>
      <c r="L152" s="438"/>
      <c r="M152" s="438">
        <f t="shared" si="3"/>
        <v>0</v>
      </c>
      <c r="N152" s="438"/>
      <c r="O152" s="438">
        <v>0</v>
      </c>
      <c r="P152" s="688"/>
      <c r="Q152" s="1209"/>
    </row>
    <row r="153" spans="2:17" s="782" customFormat="1" ht="15.75">
      <c r="B153" s="788">
        <v>22039</v>
      </c>
      <c r="C153" s="795"/>
      <c r="D153" s="789" t="s">
        <v>1220</v>
      </c>
      <c r="E153" s="796"/>
      <c r="F153" s="796"/>
      <c r="G153" s="438">
        <v>843941.94</v>
      </c>
      <c r="H153" s="438"/>
      <c r="I153" s="438">
        <v>1164685.28</v>
      </c>
      <c r="J153" s="438"/>
      <c r="K153" s="438">
        <v>493776.95</v>
      </c>
      <c r="L153" s="438"/>
      <c r="M153" s="438">
        <f t="shared" si="3"/>
        <v>353835.32</v>
      </c>
      <c r="N153" s="438"/>
      <c r="O153" s="438">
        <v>847612.27</v>
      </c>
      <c r="P153" s="688"/>
      <c r="Q153" s="1209"/>
    </row>
    <row r="154" spans="2:17" s="782" customFormat="1" ht="15.75">
      <c r="B154" s="788">
        <v>22046</v>
      </c>
      <c r="C154" s="795"/>
      <c r="D154" s="789" t="s">
        <v>1221</v>
      </c>
      <c r="E154" s="796"/>
      <c r="F154" s="796"/>
      <c r="G154" s="438">
        <v>132584093.40000001</v>
      </c>
      <c r="H154" s="438"/>
      <c r="I154" s="438">
        <v>133344218.87</v>
      </c>
      <c r="J154" s="438"/>
      <c r="K154" s="438">
        <v>134235450.38</v>
      </c>
      <c r="L154" s="438"/>
      <c r="M154" s="438">
        <f t="shared" si="3"/>
        <v>-228202.00999999046</v>
      </c>
      <c r="N154" s="438"/>
      <c r="O154" s="438">
        <v>134007248.37</v>
      </c>
      <c r="P154" s="688"/>
      <c r="Q154" s="1209"/>
    </row>
    <row r="155" spans="2:17" s="782" customFormat="1" ht="15.75">
      <c r="B155" s="788">
        <v>22053</v>
      </c>
      <c r="C155" s="795"/>
      <c r="D155" s="789" t="s">
        <v>1222</v>
      </c>
      <c r="E155" s="796"/>
      <c r="F155" s="796"/>
      <c r="G155" s="438">
        <v>9244963.6600000001</v>
      </c>
      <c r="H155" s="438"/>
      <c r="I155" s="438">
        <v>10086493.550000001</v>
      </c>
      <c r="J155" s="438"/>
      <c r="K155" s="438">
        <v>11226521.1</v>
      </c>
      <c r="L155" s="438"/>
      <c r="M155" s="438">
        <f t="shared" si="3"/>
        <v>923079.55000000075</v>
      </c>
      <c r="N155" s="438"/>
      <c r="O155" s="438">
        <v>12149600.65</v>
      </c>
      <c r="P155" s="688"/>
      <c r="Q155" s="1209"/>
    </row>
    <row r="156" spans="2:17" s="782" customFormat="1" ht="15.75">
      <c r="B156" s="788">
        <v>22054</v>
      </c>
      <c r="C156" s="795"/>
      <c r="D156" s="789" t="s">
        <v>1223</v>
      </c>
      <c r="E156" s="796"/>
      <c r="F156" s="796"/>
      <c r="G156" s="438">
        <v>0</v>
      </c>
      <c r="H156" s="438"/>
      <c r="I156" s="438">
        <v>0</v>
      </c>
      <c r="J156" s="438"/>
      <c r="K156" s="438">
        <v>0</v>
      </c>
      <c r="L156" s="438"/>
      <c r="M156" s="438">
        <f t="shared" si="3"/>
        <v>0</v>
      </c>
      <c r="N156" s="438"/>
      <c r="O156" s="438">
        <v>0</v>
      </c>
      <c r="P156" s="688"/>
      <c r="Q156" s="1209"/>
    </row>
    <row r="157" spans="2:17" s="782" customFormat="1" ht="15.75">
      <c r="B157" s="788">
        <v>22055</v>
      </c>
      <c r="C157" s="795"/>
      <c r="D157" s="789" t="s">
        <v>1224</v>
      </c>
      <c r="E157" s="796"/>
      <c r="F157" s="796"/>
      <c r="G157" s="438">
        <v>75535387.170000002</v>
      </c>
      <c r="H157" s="438"/>
      <c r="I157" s="438">
        <v>79425441.650000006</v>
      </c>
      <c r="J157" s="438"/>
      <c r="K157" s="438">
        <v>79169155.620000005</v>
      </c>
      <c r="L157" s="438"/>
      <c r="M157" s="438">
        <f t="shared" si="3"/>
        <v>3579470.7299999893</v>
      </c>
      <c r="N157" s="438"/>
      <c r="O157" s="438">
        <v>82748626.349999994</v>
      </c>
      <c r="P157" s="688"/>
      <c r="Q157" s="1209"/>
    </row>
    <row r="158" spans="2:17" s="782" customFormat="1" ht="15.75">
      <c r="B158" s="788">
        <v>22062</v>
      </c>
      <c r="C158" s="795"/>
      <c r="D158" s="789" t="s">
        <v>1225</v>
      </c>
      <c r="E158" s="796"/>
      <c r="F158" s="796"/>
      <c r="G158" s="438">
        <v>0</v>
      </c>
      <c r="H158" s="438"/>
      <c r="I158" s="438">
        <v>0</v>
      </c>
      <c r="J158" s="438"/>
      <c r="K158" s="438">
        <v>0</v>
      </c>
      <c r="L158" s="438"/>
      <c r="M158" s="438">
        <f t="shared" si="3"/>
        <v>0</v>
      </c>
      <c r="N158" s="438"/>
      <c r="O158" s="438">
        <v>0</v>
      </c>
      <c r="P158" s="688"/>
      <c r="Q158" s="1209"/>
    </row>
    <row r="159" spans="2:17" s="782" customFormat="1" ht="15.75">
      <c r="B159" s="788">
        <v>22063</v>
      </c>
      <c r="C159" s="795"/>
      <c r="D159" s="789" t="s">
        <v>1226</v>
      </c>
      <c r="E159" s="796"/>
      <c r="F159" s="796"/>
      <c r="G159" s="438">
        <v>8672810.9800000004</v>
      </c>
      <c r="H159" s="438"/>
      <c r="I159" s="438">
        <v>8878427.1899999995</v>
      </c>
      <c r="J159" s="438"/>
      <c r="K159" s="438">
        <v>8519534.0399999991</v>
      </c>
      <c r="L159" s="438"/>
      <c r="M159" s="438">
        <f t="shared" si="3"/>
        <v>601260.04000000097</v>
      </c>
      <c r="N159" s="438"/>
      <c r="O159" s="438">
        <v>9120794.0800000001</v>
      </c>
      <c r="P159" s="688"/>
      <c r="Q159" s="1209"/>
    </row>
    <row r="160" spans="2:17" s="782" customFormat="1" ht="15.75">
      <c r="B160" s="788">
        <v>22078</v>
      </c>
      <c r="C160" s="795"/>
      <c r="D160" s="789" t="s">
        <v>1227</v>
      </c>
      <c r="E160" s="796"/>
      <c r="F160" s="796"/>
      <c r="G160" s="438">
        <v>0</v>
      </c>
      <c r="H160" s="438"/>
      <c r="I160" s="438">
        <v>0</v>
      </c>
      <c r="J160" s="438"/>
      <c r="K160" s="438">
        <v>0</v>
      </c>
      <c r="L160" s="438"/>
      <c r="M160" s="438">
        <f t="shared" si="3"/>
        <v>0</v>
      </c>
      <c r="N160" s="438"/>
      <c r="O160" s="438">
        <v>0</v>
      </c>
      <c r="P160" s="688"/>
      <c r="Q160" s="1209"/>
    </row>
    <row r="161" spans="2:17" s="782" customFormat="1" ht="15.75">
      <c r="B161" s="788">
        <v>22085</v>
      </c>
      <c r="C161" s="795"/>
      <c r="D161" s="789" t="s">
        <v>1228</v>
      </c>
      <c r="E161" s="796"/>
      <c r="F161" s="796"/>
      <c r="G161" s="438">
        <v>1088816.76</v>
      </c>
      <c r="H161" s="438"/>
      <c r="I161" s="438">
        <v>1403841.01</v>
      </c>
      <c r="J161" s="438"/>
      <c r="K161" s="438">
        <v>1668265.77</v>
      </c>
      <c r="L161" s="438"/>
      <c r="M161" s="438">
        <f t="shared" si="3"/>
        <v>197664.66999999993</v>
      </c>
      <c r="N161" s="438"/>
      <c r="O161" s="438">
        <v>1865930.44</v>
      </c>
      <c r="P161" s="688"/>
      <c r="Q161" s="1209"/>
    </row>
    <row r="162" spans="2:17" s="782" customFormat="1" ht="15.75">
      <c r="B162" s="788">
        <v>22090</v>
      </c>
      <c r="C162" s="795"/>
      <c r="D162" s="789" t="s">
        <v>1229</v>
      </c>
      <c r="E162" s="796"/>
      <c r="F162" s="796"/>
      <c r="G162" s="438">
        <v>0</v>
      </c>
      <c r="H162" s="438"/>
      <c r="I162" s="438">
        <v>0</v>
      </c>
      <c r="J162" s="438"/>
      <c r="K162" s="438">
        <v>0</v>
      </c>
      <c r="L162" s="438"/>
      <c r="M162" s="438">
        <f t="shared" si="3"/>
        <v>0</v>
      </c>
      <c r="N162" s="438"/>
      <c r="O162" s="438">
        <v>0</v>
      </c>
      <c r="P162" s="688"/>
      <c r="Q162" s="1209"/>
    </row>
    <row r="163" spans="2:17" s="782" customFormat="1" ht="15.75">
      <c r="B163" s="788">
        <v>22099</v>
      </c>
      <c r="C163" s="795"/>
      <c r="D163" s="789" t="s">
        <v>1230</v>
      </c>
      <c r="E163" s="796"/>
      <c r="F163" s="796"/>
      <c r="G163" s="438">
        <v>0</v>
      </c>
      <c r="H163" s="438"/>
      <c r="I163" s="438">
        <v>7982.46</v>
      </c>
      <c r="J163" s="438"/>
      <c r="K163" s="438">
        <v>49973.11</v>
      </c>
      <c r="L163" s="438"/>
      <c r="M163" s="438">
        <f t="shared" si="3"/>
        <v>53517.179999999993</v>
      </c>
      <c r="N163" s="438"/>
      <c r="O163" s="438">
        <v>103490.29</v>
      </c>
      <c r="P163" s="688"/>
      <c r="Q163" s="1209"/>
    </row>
    <row r="164" spans="2:17" s="782" customFormat="1" ht="15.75">
      <c r="B164" s="788">
        <v>22100</v>
      </c>
      <c r="C164" s="795"/>
      <c r="D164" s="789" t="s">
        <v>1231</v>
      </c>
      <c r="E164" s="796"/>
      <c r="F164" s="796"/>
      <c r="G164" s="438">
        <v>17169229.809999999</v>
      </c>
      <c r="H164" s="438"/>
      <c r="I164" s="438">
        <v>16373913.560000001</v>
      </c>
      <c r="J164" s="438"/>
      <c r="K164" s="438">
        <v>15809726.779999999</v>
      </c>
      <c r="L164" s="438"/>
      <c r="M164" s="438">
        <f t="shared" si="3"/>
        <v>51400.650000000373</v>
      </c>
      <c r="N164" s="438"/>
      <c r="O164" s="438">
        <v>15861127.43</v>
      </c>
      <c r="P164" s="688"/>
      <c r="Q164" s="1209"/>
    </row>
    <row r="165" spans="2:17" s="782" customFormat="1" ht="15.75">
      <c r="B165" s="788">
        <v>22130</v>
      </c>
      <c r="C165" s="795"/>
      <c r="D165" s="794" t="s">
        <v>1232</v>
      </c>
      <c r="E165" s="796"/>
      <c r="F165" s="796"/>
      <c r="G165" s="438">
        <v>0</v>
      </c>
      <c r="H165" s="438"/>
      <c r="I165" s="438">
        <v>0</v>
      </c>
      <c r="J165" s="438"/>
      <c r="K165" s="438">
        <v>0</v>
      </c>
      <c r="L165" s="438"/>
      <c r="M165" s="438">
        <f t="shared" si="3"/>
        <v>0</v>
      </c>
      <c r="N165" s="438"/>
      <c r="O165" s="438">
        <v>0</v>
      </c>
      <c r="P165" s="688"/>
      <c r="Q165" s="1209"/>
    </row>
    <row r="166" spans="2:17" s="782" customFormat="1" ht="15.75">
      <c r="B166" s="788">
        <v>22134</v>
      </c>
      <c r="C166" s="795"/>
      <c r="D166" s="794" t="s">
        <v>1233</v>
      </c>
      <c r="E166" s="796"/>
      <c r="F166" s="796"/>
      <c r="G166" s="438">
        <v>0</v>
      </c>
      <c r="H166" s="438"/>
      <c r="I166" s="438">
        <v>0</v>
      </c>
      <c r="J166" s="438"/>
      <c r="K166" s="438">
        <v>0</v>
      </c>
      <c r="L166" s="438"/>
      <c r="M166" s="438">
        <f t="shared" si="3"/>
        <v>0</v>
      </c>
      <c r="N166" s="438"/>
      <c r="O166" s="438">
        <v>0</v>
      </c>
      <c r="P166" s="688"/>
      <c r="Q166" s="1209"/>
    </row>
    <row r="167" spans="2:17" s="782" customFormat="1" ht="15.75">
      <c r="B167" s="788">
        <v>22135</v>
      </c>
      <c r="C167" s="795"/>
      <c r="D167" s="794" t="s">
        <v>1234</v>
      </c>
      <c r="E167" s="796"/>
      <c r="F167" s="796"/>
      <c r="G167" s="438">
        <v>0</v>
      </c>
      <c r="H167" s="438"/>
      <c r="I167" s="438">
        <v>0</v>
      </c>
      <c r="J167" s="438"/>
      <c r="K167" s="438">
        <v>0</v>
      </c>
      <c r="L167" s="438"/>
      <c r="M167" s="438">
        <f t="shared" si="3"/>
        <v>0</v>
      </c>
      <c r="N167" s="438"/>
      <c r="O167" s="438">
        <v>0</v>
      </c>
      <c r="P167" s="688"/>
      <c r="Q167" s="1209"/>
    </row>
    <row r="168" spans="2:17" s="782" customFormat="1" ht="15.75">
      <c r="B168" s="788">
        <v>22144</v>
      </c>
      <c r="C168" s="795"/>
      <c r="D168" s="789" t="s">
        <v>1235</v>
      </c>
      <c r="E168" s="796"/>
      <c r="F168" s="796"/>
      <c r="G168" s="438">
        <v>0</v>
      </c>
      <c r="H168" s="438"/>
      <c r="I168" s="438">
        <v>0</v>
      </c>
      <c r="J168" s="438"/>
      <c r="K168" s="438">
        <v>0</v>
      </c>
      <c r="L168" s="438"/>
      <c r="M168" s="438">
        <f t="shared" si="3"/>
        <v>0</v>
      </c>
      <c r="N168" s="438"/>
      <c r="O168" s="438">
        <v>0</v>
      </c>
      <c r="P168" s="688"/>
      <c r="Q168" s="1209"/>
    </row>
    <row r="169" spans="2:17" s="782" customFormat="1" ht="15.75">
      <c r="B169" s="788">
        <v>22151</v>
      </c>
      <c r="C169" s="795"/>
      <c r="D169" s="794" t="s">
        <v>1236</v>
      </c>
      <c r="E169" s="796"/>
      <c r="F169" s="796"/>
      <c r="G169" s="438">
        <v>99140.71</v>
      </c>
      <c r="H169" s="438"/>
      <c r="I169" s="438">
        <v>160353.13</v>
      </c>
      <c r="J169" s="438"/>
      <c r="K169" s="438">
        <v>233727.21</v>
      </c>
      <c r="L169" s="438"/>
      <c r="M169" s="438">
        <f t="shared" ref="M169:M192" si="4">O169-K169</f>
        <v>-147133.51999999999</v>
      </c>
      <c r="N169" s="438"/>
      <c r="O169" s="438">
        <v>86593.69</v>
      </c>
      <c r="P169" s="688"/>
      <c r="Q169" s="1209"/>
    </row>
    <row r="170" spans="2:17" s="782" customFormat="1" ht="15.75">
      <c r="B170" s="788">
        <v>22156</v>
      </c>
      <c r="C170" s="795"/>
      <c r="D170" s="794" t="s">
        <v>1237</v>
      </c>
      <c r="E170" s="796"/>
      <c r="F170" s="796"/>
      <c r="G170" s="438">
        <v>0</v>
      </c>
      <c r="H170" s="438"/>
      <c r="I170" s="438">
        <v>0</v>
      </c>
      <c r="J170" s="438"/>
      <c r="K170" s="438">
        <v>0</v>
      </c>
      <c r="L170" s="438"/>
      <c r="M170" s="438">
        <f t="shared" si="4"/>
        <v>0</v>
      </c>
      <c r="N170" s="438"/>
      <c r="O170" s="438">
        <v>0</v>
      </c>
      <c r="P170" s="688"/>
      <c r="Q170" s="1209"/>
    </row>
    <row r="171" spans="2:17" s="782" customFormat="1" ht="15.75">
      <c r="B171" s="788">
        <v>22158</v>
      </c>
      <c r="C171" s="795"/>
      <c r="D171" s="789" t="s">
        <v>1238</v>
      </c>
      <c r="E171" s="796"/>
      <c r="F171" s="796"/>
      <c r="G171" s="438">
        <v>0</v>
      </c>
      <c r="H171" s="438"/>
      <c r="I171" s="438">
        <v>0</v>
      </c>
      <c r="J171" s="438"/>
      <c r="K171" s="438">
        <v>0</v>
      </c>
      <c r="L171" s="438"/>
      <c r="M171" s="438">
        <f t="shared" si="4"/>
        <v>0</v>
      </c>
      <c r="N171" s="438"/>
      <c r="O171" s="438">
        <v>0</v>
      </c>
      <c r="P171" s="688"/>
      <c r="Q171" s="1209"/>
    </row>
    <row r="172" spans="2:17" s="782" customFormat="1" ht="15.75">
      <c r="B172" s="788">
        <v>22165</v>
      </c>
      <c r="C172" s="795"/>
      <c r="D172" s="789" t="s">
        <v>1239</v>
      </c>
      <c r="E172" s="796"/>
      <c r="F172" s="796"/>
      <c r="G172" s="438">
        <v>0</v>
      </c>
      <c r="H172" s="438"/>
      <c r="I172" s="438">
        <v>0</v>
      </c>
      <c r="J172" s="438"/>
      <c r="K172" s="438">
        <v>0</v>
      </c>
      <c r="L172" s="438"/>
      <c r="M172" s="438">
        <f t="shared" si="4"/>
        <v>0</v>
      </c>
      <c r="N172" s="438"/>
      <c r="O172" s="438">
        <v>0</v>
      </c>
      <c r="P172" s="688"/>
      <c r="Q172" s="1209"/>
    </row>
    <row r="173" spans="2:17" s="782" customFormat="1" ht="15.75">
      <c r="B173" s="788">
        <v>22168</v>
      </c>
      <c r="C173" s="795"/>
      <c r="D173" s="789" t="s">
        <v>1240</v>
      </c>
      <c r="E173" s="796"/>
      <c r="F173" s="796"/>
      <c r="G173" s="438">
        <v>0</v>
      </c>
      <c r="H173" s="438"/>
      <c r="I173" s="438">
        <v>0</v>
      </c>
      <c r="J173" s="438"/>
      <c r="K173" s="438">
        <v>0</v>
      </c>
      <c r="L173" s="438"/>
      <c r="M173" s="438">
        <f t="shared" si="4"/>
        <v>0</v>
      </c>
      <c r="N173" s="438"/>
      <c r="O173" s="438">
        <v>0</v>
      </c>
      <c r="P173" s="688"/>
      <c r="Q173" s="1209"/>
    </row>
    <row r="174" spans="2:17" s="782" customFormat="1" ht="15.75">
      <c r="B174" s="788">
        <v>22211</v>
      </c>
      <c r="C174" s="795"/>
      <c r="D174" s="789" t="s">
        <v>1241</v>
      </c>
      <c r="E174" s="796"/>
      <c r="F174" s="796"/>
      <c r="G174" s="438">
        <v>0</v>
      </c>
      <c r="H174" s="438"/>
      <c r="I174" s="438">
        <v>0</v>
      </c>
      <c r="J174" s="438"/>
      <c r="K174" s="438">
        <v>177029.4</v>
      </c>
      <c r="L174" s="438"/>
      <c r="M174" s="438">
        <f t="shared" si="4"/>
        <v>-440</v>
      </c>
      <c r="N174" s="438"/>
      <c r="O174" s="438">
        <v>176589.4</v>
      </c>
      <c r="P174" s="688"/>
      <c r="Q174" s="1209"/>
    </row>
    <row r="175" spans="2:17" s="782" customFormat="1" ht="15.75">
      <c r="B175" s="788">
        <v>22240</v>
      </c>
      <c r="C175" s="795"/>
      <c r="D175" s="789" t="s">
        <v>1242</v>
      </c>
      <c r="E175" s="796"/>
      <c r="F175" s="796"/>
      <c r="G175" s="438">
        <v>3974382.59</v>
      </c>
      <c r="H175" s="438"/>
      <c r="I175" s="438">
        <v>4079583.59</v>
      </c>
      <c r="J175" s="438"/>
      <c r="K175" s="438">
        <v>4206039.07</v>
      </c>
      <c r="L175" s="438"/>
      <c r="M175" s="438">
        <f t="shared" si="4"/>
        <v>105201</v>
      </c>
      <c r="N175" s="438"/>
      <c r="O175" s="438">
        <v>4311240.07</v>
      </c>
      <c r="P175" s="688"/>
      <c r="Q175" s="1209"/>
    </row>
    <row r="176" spans="2:17" s="782" customFormat="1" ht="15.75">
      <c r="B176" s="788">
        <v>22246</v>
      </c>
      <c r="C176" s="795"/>
      <c r="D176" s="789" t="s">
        <v>1243</v>
      </c>
      <c r="E176" s="796"/>
      <c r="F176" s="796"/>
      <c r="G176" s="438">
        <v>0</v>
      </c>
      <c r="H176" s="438"/>
      <c r="I176" s="438">
        <v>0</v>
      </c>
      <c r="J176" s="438"/>
      <c r="K176" s="438">
        <v>0</v>
      </c>
      <c r="L176" s="438"/>
      <c r="M176" s="438">
        <f t="shared" si="4"/>
        <v>0</v>
      </c>
      <c r="N176" s="438"/>
      <c r="O176" s="438">
        <v>0</v>
      </c>
      <c r="P176" s="688"/>
      <c r="Q176" s="1209"/>
    </row>
    <row r="177" spans="2:17" s="782" customFormat="1" ht="15.75">
      <c r="B177" s="788">
        <v>22255</v>
      </c>
      <c r="C177" s="795"/>
      <c r="D177" s="789" t="s">
        <v>1244</v>
      </c>
      <c r="E177" s="796"/>
      <c r="F177" s="796"/>
      <c r="G177" s="438">
        <v>0</v>
      </c>
      <c r="H177" s="438"/>
      <c r="I177" s="438">
        <v>0</v>
      </c>
      <c r="J177" s="438"/>
      <c r="K177" s="438">
        <v>0</v>
      </c>
      <c r="L177" s="438"/>
      <c r="M177" s="438">
        <f t="shared" si="4"/>
        <v>0</v>
      </c>
      <c r="N177" s="438"/>
      <c r="O177" s="438">
        <v>0</v>
      </c>
      <c r="P177" s="688"/>
      <c r="Q177" s="1209"/>
    </row>
    <row r="178" spans="2:17" s="782" customFormat="1" ht="15.75">
      <c r="B178" s="788">
        <v>22262</v>
      </c>
      <c r="C178" s="795"/>
      <c r="D178" s="789" t="s">
        <v>1410</v>
      </c>
      <c r="E178" s="796"/>
      <c r="F178" s="796"/>
      <c r="G178" s="438">
        <v>902791.59</v>
      </c>
      <c r="H178" s="438"/>
      <c r="I178" s="438">
        <v>0</v>
      </c>
      <c r="J178" s="438"/>
      <c r="K178" s="438">
        <v>451187.56</v>
      </c>
      <c r="L178" s="438"/>
      <c r="M178" s="438">
        <f t="shared" si="4"/>
        <v>470750.85000000003</v>
      </c>
      <c r="N178" s="438"/>
      <c r="O178" s="438">
        <v>921938.41</v>
      </c>
      <c r="P178" s="1297"/>
      <c r="Q178" s="1209"/>
    </row>
    <row r="179" spans="2:17" s="782" customFormat="1" ht="15.75">
      <c r="B179" s="788">
        <v>22269</v>
      </c>
      <c r="C179" s="795"/>
      <c r="D179" s="789" t="s">
        <v>1494</v>
      </c>
      <c r="E179" s="796"/>
      <c r="F179" s="796"/>
      <c r="G179" s="438">
        <v>0</v>
      </c>
      <c r="H179" s="438"/>
      <c r="I179" s="438">
        <v>0</v>
      </c>
      <c r="J179" s="438"/>
      <c r="K179" s="438">
        <v>0</v>
      </c>
      <c r="L179" s="438"/>
      <c r="M179" s="438">
        <f t="shared" ref="M179" si="5">O179-K179</f>
        <v>0</v>
      </c>
      <c r="N179" s="438"/>
      <c r="O179" s="438">
        <v>0</v>
      </c>
      <c r="P179" s="1297"/>
      <c r="Q179" s="1209"/>
    </row>
    <row r="180" spans="2:17" s="782" customFormat="1" ht="15.75">
      <c r="B180" s="788">
        <v>22654</v>
      </c>
      <c r="C180" s="795"/>
      <c r="D180" s="794" t="s">
        <v>1245</v>
      </c>
      <c r="E180" s="796"/>
      <c r="F180" s="796"/>
      <c r="G180" s="438">
        <v>23880751.48</v>
      </c>
      <c r="H180" s="438"/>
      <c r="I180" s="438">
        <v>23880751.48</v>
      </c>
      <c r="J180" s="438"/>
      <c r="K180" s="438">
        <v>24052564.780000001</v>
      </c>
      <c r="L180" s="438"/>
      <c r="M180" s="438">
        <f t="shared" si="4"/>
        <v>85022.059999998659</v>
      </c>
      <c r="N180" s="438"/>
      <c r="O180" s="438">
        <v>24137586.84</v>
      </c>
      <c r="P180" s="688"/>
      <c r="Q180" s="1209"/>
    </row>
    <row r="181" spans="2:17" s="782" customFormat="1" ht="15.75">
      <c r="B181" s="788">
        <v>22751</v>
      </c>
      <c r="C181" s="795"/>
      <c r="D181" s="794" t="s">
        <v>1246</v>
      </c>
      <c r="E181" s="796"/>
      <c r="F181" s="796"/>
      <c r="G181" s="438">
        <v>0</v>
      </c>
      <c r="H181" s="438"/>
      <c r="I181" s="438">
        <v>0</v>
      </c>
      <c r="J181" s="438"/>
      <c r="K181" s="438">
        <v>0</v>
      </c>
      <c r="L181" s="438"/>
      <c r="M181" s="438">
        <f t="shared" si="4"/>
        <v>0</v>
      </c>
      <c r="N181" s="438"/>
      <c r="O181" s="438">
        <v>0</v>
      </c>
      <c r="P181" s="688"/>
      <c r="Q181" s="1209"/>
    </row>
    <row r="182" spans="2:17" s="782" customFormat="1" ht="15.75">
      <c r="B182" s="788">
        <v>23001</v>
      </c>
      <c r="C182" s="795"/>
      <c r="D182" s="794" t="s">
        <v>1247</v>
      </c>
      <c r="E182" s="796"/>
      <c r="F182" s="796"/>
      <c r="G182" s="438">
        <v>25874595.539999999</v>
      </c>
      <c r="H182" s="438"/>
      <c r="I182" s="438">
        <v>26292503.690000001</v>
      </c>
      <c r="J182" s="438"/>
      <c r="K182" s="438">
        <v>26699118.859999999</v>
      </c>
      <c r="L182" s="438"/>
      <c r="M182" s="438">
        <f t="shared" si="4"/>
        <v>203743.37000000104</v>
      </c>
      <c r="N182" s="438"/>
      <c r="O182" s="438">
        <v>26902862.23</v>
      </c>
      <c r="P182" s="688"/>
      <c r="Q182" s="1209"/>
    </row>
    <row r="183" spans="2:17" s="782" customFormat="1" ht="15.75">
      <c r="B183" s="788">
        <v>23102</v>
      </c>
      <c r="C183" s="795"/>
      <c r="D183" s="789" t="s">
        <v>1248</v>
      </c>
      <c r="E183" s="796"/>
      <c r="F183" s="796"/>
      <c r="G183" s="438">
        <v>0</v>
      </c>
      <c r="H183" s="438"/>
      <c r="I183" s="438">
        <v>0</v>
      </c>
      <c r="J183" s="438"/>
      <c r="K183" s="438">
        <v>0</v>
      </c>
      <c r="L183" s="438"/>
      <c r="M183" s="438">
        <f t="shared" si="4"/>
        <v>0</v>
      </c>
      <c r="N183" s="438"/>
      <c r="O183" s="438">
        <v>0</v>
      </c>
      <c r="P183" s="688"/>
      <c r="Q183" s="1209"/>
    </row>
    <row r="184" spans="2:17" s="782" customFormat="1" ht="15.75">
      <c r="B184" s="788">
        <v>23151</v>
      </c>
      <c r="C184" s="795"/>
      <c r="D184" s="794" t="s">
        <v>1249</v>
      </c>
      <c r="E184" s="796"/>
      <c r="F184" s="796"/>
      <c r="G184" s="438">
        <v>46967097.109999999</v>
      </c>
      <c r="H184" s="438"/>
      <c r="I184" s="438">
        <v>49575496.060000002</v>
      </c>
      <c r="J184" s="438"/>
      <c r="K184" s="438">
        <v>52620019.229999997</v>
      </c>
      <c r="L184" s="438"/>
      <c r="M184" s="438">
        <f t="shared" si="4"/>
        <v>3164964.3600000069</v>
      </c>
      <c r="N184" s="438"/>
      <c r="O184" s="438">
        <v>55784983.590000004</v>
      </c>
      <c r="P184" s="688"/>
      <c r="Q184" s="1209"/>
    </row>
    <row r="185" spans="2:17" s="782" customFormat="1" ht="15.75">
      <c r="B185" s="788">
        <v>23701</v>
      </c>
      <c r="C185" s="795"/>
      <c r="D185" s="794" t="s">
        <v>1250</v>
      </c>
      <c r="E185" s="796"/>
      <c r="F185" s="796"/>
      <c r="G185" s="438">
        <v>0</v>
      </c>
      <c r="H185" s="438"/>
      <c r="I185" s="438">
        <v>0</v>
      </c>
      <c r="J185" s="438"/>
      <c r="K185" s="438">
        <v>0</v>
      </c>
      <c r="L185" s="438"/>
      <c r="M185" s="438">
        <f t="shared" si="4"/>
        <v>0</v>
      </c>
      <c r="N185" s="438"/>
      <c r="O185" s="438">
        <v>0</v>
      </c>
      <c r="P185" s="688"/>
      <c r="Q185" s="1209"/>
    </row>
    <row r="186" spans="2:17" s="782" customFormat="1" ht="15.75">
      <c r="B186" s="805">
        <v>23702</v>
      </c>
      <c r="C186" s="795"/>
      <c r="D186" s="789" t="s">
        <v>1251</v>
      </c>
      <c r="E186" s="796"/>
      <c r="F186" s="796"/>
      <c r="G186" s="438">
        <v>20306792</v>
      </c>
      <c r="H186" s="438"/>
      <c r="I186" s="438">
        <v>18081947.420000002</v>
      </c>
      <c r="J186" s="438"/>
      <c r="K186" s="438">
        <v>18779440.809999999</v>
      </c>
      <c r="L186" s="438"/>
      <c r="M186" s="438">
        <f t="shared" si="4"/>
        <v>720023.51000000164</v>
      </c>
      <c r="N186" s="438"/>
      <c r="O186" s="438">
        <v>19499464.32</v>
      </c>
      <c r="P186" s="688"/>
      <c r="Q186" s="1209"/>
    </row>
    <row r="187" spans="2:17" s="782" customFormat="1" ht="15.75">
      <c r="B187" s="805">
        <v>23801</v>
      </c>
      <c r="C187" s="795"/>
      <c r="D187" s="789" t="s">
        <v>1252</v>
      </c>
      <c r="E187" s="796"/>
      <c r="F187" s="796"/>
      <c r="G187" s="438">
        <v>0</v>
      </c>
      <c r="H187" s="438"/>
      <c r="I187" s="438">
        <v>0</v>
      </c>
      <c r="J187" s="438"/>
      <c r="K187" s="438">
        <v>0</v>
      </c>
      <c r="L187" s="438"/>
      <c r="M187" s="438">
        <f t="shared" si="4"/>
        <v>0</v>
      </c>
      <c r="N187" s="438"/>
      <c r="O187" s="438">
        <v>0</v>
      </c>
      <c r="P187" s="791"/>
      <c r="Q187" s="1209"/>
    </row>
    <row r="188" spans="2:17" s="782" customFormat="1" ht="15.75">
      <c r="B188" s="805">
        <v>23806</v>
      </c>
      <c r="C188" s="795"/>
      <c r="D188" s="789" t="s">
        <v>1253</v>
      </c>
      <c r="E188" s="796"/>
      <c r="F188" s="796"/>
      <c r="G188" s="438">
        <v>2050256.47</v>
      </c>
      <c r="H188" s="438"/>
      <c r="I188" s="438">
        <v>2119402.0499999998</v>
      </c>
      <c r="J188" s="438"/>
      <c r="K188" s="438">
        <v>2205679.2999999998</v>
      </c>
      <c r="L188" s="438"/>
      <c r="M188" s="438">
        <f t="shared" si="4"/>
        <v>57318.680000000168</v>
      </c>
      <c r="N188" s="438"/>
      <c r="O188" s="438">
        <v>2262997.98</v>
      </c>
      <c r="P188" s="791"/>
      <c r="Q188" s="1209"/>
    </row>
    <row r="189" spans="2:17" s="782" customFormat="1" ht="15.75">
      <c r="B189" s="805">
        <v>24800</v>
      </c>
      <c r="C189" s="795"/>
      <c r="D189" s="789" t="s">
        <v>1254</v>
      </c>
      <c r="E189" s="796"/>
      <c r="F189" s="796"/>
      <c r="G189" s="438">
        <v>0</v>
      </c>
      <c r="H189" s="438"/>
      <c r="I189" s="438">
        <v>0</v>
      </c>
      <c r="J189" s="438"/>
      <c r="K189" s="438">
        <v>0</v>
      </c>
      <c r="L189" s="438"/>
      <c r="M189" s="438">
        <f t="shared" si="4"/>
        <v>0</v>
      </c>
      <c r="N189" s="438"/>
      <c r="O189" s="438">
        <v>0</v>
      </c>
      <c r="P189" s="791"/>
      <c r="Q189" s="1209"/>
    </row>
    <row r="190" spans="2:17" s="782" customFormat="1" ht="15.75">
      <c r="B190" s="805">
        <v>24801</v>
      </c>
      <c r="C190" s="795"/>
      <c r="D190" s="789" t="s">
        <v>1495</v>
      </c>
      <c r="E190" s="796"/>
      <c r="F190" s="796"/>
      <c r="G190" s="438">
        <v>0</v>
      </c>
      <c r="H190" s="438"/>
      <c r="I190" s="438">
        <v>0</v>
      </c>
      <c r="J190" s="438"/>
      <c r="K190" s="438">
        <v>0</v>
      </c>
      <c r="L190" s="438"/>
      <c r="M190" s="438">
        <f t="shared" ref="M190" si="6">O190-K190</f>
        <v>0</v>
      </c>
      <c r="N190" s="438"/>
      <c r="O190" s="438">
        <v>0</v>
      </c>
      <c r="P190" s="791"/>
      <c r="Q190" s="1209"/>
    </row>
    <row r="191" spans="2:17" s="782" customFormat="1" ht="15.75">
      <c r="B191" s="805">
        <v>24951</v>
      </c>
      <c r="C191" s="795"/>
      <c r="D191" s="789" t="s">
        <v>1255</v>
      </c>
      <c r="E191" s="796"/>
      <c r="F191" s="796"/>
      <c r="G191" s="438">
        <v>0</v>
      </c>
      <c r="H191" s="438"/>
      <c r="I191" s="438">
        <v>0</v>
      </c>
      <c r="J191" s="438"/>
      <c r="K191" s="438">
        <v>0</v>
      </c>
      <c r="L191" s="438"/>
      <c r="M191" s="438">
        <f t="shared" si="4"/>
        <v>0</v>
      </c>
      <c r="N191" s="438"/>
      <c r="O191" s="438">
        <v>0</v>
      </c>
      <c r="P191" s="791"/>
      <c r="Q191" s="1209"/>
    </row>
    <row r="192" spans="2:17" s="782" customFormat="1" ht="15.75">
      <c r="B192" s="805">
        <v>24955</v>
      </c>
      <c r="C192" s="795"/>
      <c r="D192" s="789" t="s">
        <v>1256</v>
      </c>
      <c r="E192" s="796"/>
      <c r="F192" s="796"/>
      <c r="G192" s="438">
        <v>0</v>
      </c>
      <c r="H192" s="438"/>
      <c r="I192" s="438">
        <v>604263604.75999999</v>
      </c>
      <c r="J192" s="438"/>
      <c r="K192" s="438">
        <v>487607578.29000002</v>
      </c>
      <c r="L192" s="438"/>
      <c r="M192" s="438">
        <f t="shared" si="4"/>
        <v>-135250085.92000002</v>
      </c>
      <c r="N192" s="438"/>
      <c r="O192" s="438">
        <v>352357492.37</v>
      </c>
      <c r="P192" s="791"/>
      <c r="Q192" s="1209"/>
    </row>
    <row r="193" spans="2:17" s="782" customFormat="1" ht="16.5" thickBot="1">
      <c r="B193" s="797"/>
      <c r="C193" s="784"/>
      <c r="D193" s="792" t="s">
        <v>1257</v>
      </c>
      <c r="E193" s="786"/>
      <c r="F193" s="786"/>
      <c r="G193" s="1700">
        <f>SUM(G105:G192)</f>
        <v>755941143.35000002</v>
      </c>
      <c r="H193" s="1701"/>
      <c r="I193" s="1700">
        <f>SUM(I105:I192)</f>
        <v>2446240325.5300007</v>
      </c>
      <c r="J193" s="1701"/>
      <c r="K193" s="1700">
        <f>SUM(K105:K192)</f>
        <v>2211432684.9299998</v>
      </c>
      <c r="L193"/>
      <c r="M193" s="1700">
        <f>SUM(M105:M192)</f>
        <v>-185979815.5</v>
      </c>
      <c r="N193"/>
      <c r="O193" s="1700">
        <f>SUM(O105:O192)</f>
        <v>2025452869.4300003</v>
      </c>
      <c r="P193" s="791"/>
      <c r="Q193" s="1209"/>
    </row>
    <row r="194" spans="2:17" s="782" customFormat="1" ht="16.5" thickTop="1">
      <c r="B194" s="799"/>
      <c r="C194" s="787"/>
      <c r="D194" s="806"/>
      <c r="E194" s="795"/>
      <c r="F194" s="795"/>
      <c r="G194" s="688"/>
      <c r="H194" s="1703"/>
      <c r="I194" s="688"/>
      <c r="J194" s="1703"/>
      <c r="K194" s="688"/>
      <c r="L194" s="1703"/>
      <c r="M194" s="438"/>
      <c r="N194" s="1703"/>
      <c r="O194" s="688"/>
      <c r="P194" s="791"/>
      <c r="Q194" s="1209"/>
    </row>
    <row r="195" spans="2:17" s="782" customFormat="1" ht="15.75">
      <c r="B195" s="799"/>
      <c r="C195" s="784"/>
      <c r="D195" s="792" t="s">
        <v>1258</v>
      </c>
      <c r="E195" s="786"/>
      <c r="F195" s="786"/>
      <c r="G195" s="688"/>
      <c r="H195" s="1703"/>
      <c r="I195" s="688"/>
      <c r="J195" s="1703"/>
      <c r="K195" s="791"/>
      <c r="L195" s="1703"/>
      <c r="M195" s="1704"/>
      <c r="N195" s="1701"/>
      <c r="O195" s="688"/>
      <c r="P195" s="791"/>
      <c r="Q195" s="1209"/>
    </row>
    <row r="196" spans="2:17" s="782" customFormat="1" ht="15.75">
      <c r="B196" s="807" t="s">
        <v>1259</v>
      </c>
      <c r="C196" s="966"/>
      <c r="D196" s="794" t="s">
        <v>1260</v>
      </c>
      <c r="E196" s="857"/>
      <c r="F196" s="857"/>
      <c r="G196" s="688">
        <v>54931191.530000009</v>
      </c>
      <c r="H196" s="438"/>
      <c r="I196" s="688">
        <v>59903900.089999996</v>
      </c>
      <c r="J196" s="438"/>
      <c r="K196" s="688">
        <v>58382845.379999995</v>
      </c>
      <c r="L196" s="337"/>
      <c r="M196" s="438">
        <f t="shared" ref="M196:M204" si="7">O196-K196</f>
        <v>4994883.9600000009</v>
      </c>
      <c r="N196" s="438"/>
      <c r="O196" s="688">
        <v>63377729.339999996</v>
      </c>
      <c r="P196" s="791"/>
      <c r="Q196" s="1209" t="s">
        <v>103</v>
      </c>
    </row>
    <row r="197" spans="2:17" s="782" customFormat="1" ht="15.75">
      <c r="B197" s="807" t="s">
        <v>1261</v>
      </c>
      <c r="C197" s="966"/>
      <c r="D197" s="794" t="s">
        <v>1262</v>
      </c>
      <c r="E197" s="857"/>
      <c r="F197" s="857"/>
      <c r="G197" s="688">
        <v>288876239.16000003</v>
      </c>
      <c r="H197" s="438"/>
      <c r="I197" s="688">
        <v>1988647610.46</v>
      </c>
      <c r="J197" s="438"/>
      <c r="K197" s="688">
        <v>462207716.10999995</v>
      </c>
      <c r="L197" s="337"/>
      <c r="M197" s="438">
        <f t="shared" si="7"/>
        <v>-78361284.039999902</v>
      </c>
      <c r="N197" s="438"/>
      <c r="O197" s="688">
        <v>383846432.07000005</v>
      </c>
      <c r="P197" s="791"/>
      <c r="Q197" s="1209" t="s">
        <v>103</v>
      </c>
    </row>
    <row r="198" spans="2:17" s="782" customFormat="1" ht="15.75">
      <c r="B198" s="807" t="s">
        <v>1263</v>
      </c>
      <c r="C198" s="966"/>
      <c r="D198" s="789" t="s">
        <v>1264</v>
      </c>
      <c r="E198" s="857"/>
      <c r="F198" s="857"/>
      <c r="G198" s="688">
        <v>66892409.589999989</v>
      </c>
      <c r="H198" s="438"/>
      <c r="I198" s="688">
        <v>69854222.859999999</v>
      </c>
      <c r="J198" s="438"/>
      <c r="K198" s="688">
        <v>60054840.169999994</v>
      </c>
      <c r="L198" s="337"/>
      <c r="M198" s="438">
        <f t="shared" si="7"/>
        <v>1734946.5600000024</v>
      </c>
      <c r="N198" s="438"/>
      <c r="O198" s="688">
        <v>61789786.729999997</v>
      </c>
      <c r="P198" s="791"/>
      <c r="Q198" s="1209"/>
    </row>
    <row r="199" spans="2:17" s="782" customFormat="1" ht="15.75">
      <c r="B199" s="807" t="s">
        <v>1265</v>
      </c>
      <c r="C199" s="789"/>
      <c r="D199" s="794" t="s">
        <v>1266</v>
      </c>
      <c r="E199" s="857"/>
      <c r="F199" s="857"/>
      <c r="G199" s="688">
        <v>295746791.86999995</v>
      </c>
      <c r="H199" s="438"/>
      <c r="I199" s="688">
        <v>264892303.36999997</v>
      </c>
      <c r="J199" s="438"/>
      <c r="K199" s="688">
        <v>304970445.45000005</v>
      </c>
      <c r="L199" s="337"/>
      <c r="M199" s="438">
        <f t="shared" si="7"/>
        <v>-33907237.910000026</v>
      </c>
      <c r="N199" s="438"/>
      <c r="O199" s="688">
        <v>271063207.54000002</v>
      </c>
      <c r="Q199" s="1209"/>
    </row>
    <row r="200" spans="2:17" s="782" customFormat="1" ht="15.75">
      <c r="B200" s="770">
        <v>31354</v>
      </c>
      <c r="C200" s="858"/>
      <c r="D200" s="789" t="s">
        <v>1267</v>
      </c>
      <c r="E200" s="857"/>
      <c r="F200" s="857"/>
      <c r="G200" s="438">
        <v>372292463.12</v>
      </c>
      <c r="H200" s="438"/>
      <c r="I200" s="438">
        <v>310845591.81</v>
      </c>
      <c r="J200" s="438"/>
      <c r="K200" s="438">
        <v>328937069.35000002</v>
      </c>
      <c r="L200" s="438"/>
      <c r="M200" s="438">
        <f t="shared" si="7"/>
        <v>2828523.4399999976</v>
      </c>
      <c r="N200" s="438"/>
      <c r="O200" s="438">
        <v>331765592.79000002</v>
      </c>
      <c r="P200" s="796"/>
      <c r="Q200" s="438"/>
    </row>
    <row r="201" spans="2:17" s="782" customFormat="1" ht="15.75">
      <c r="B201" s="859" t="s">
        <v>1268</v>
      </c>
      <c r="C201" s="795"/>
      <c r="D201" s="794" t="s">
        <v>1269</v>
      </c>
      <c r="E201" s="857"/>
      <c r="F201" s="857"/>
      <c r="G201" s="2015">
        <v>113994089.9600001</v>
      </c>
      <c r="H201" s="438"/>
      <c r="I201" s="2015">
        <v>190627422.49000013</v>
      </c>
      <c r="J201" s="438"/>
      <c r="K201" s="2015">
        <v>122377968.05000007</v>
      </c>
      <c r="L201" s="337"/>
      <c r="M201" s="438">
        <f t="shared" si="7"/>
        <v>3169447.1499999762</v>
      </c>
      <c r="N201" s="438"/>
      <c r="O201" s="2015">
        <v>125547415.20000005</v>
      </c>
      <c r="P201" s="800"/>
      <c r="Q201" s="1209" t="s">
        <v>103</v>
      </c>
    </row>
    <row r="202" spans="2:17" s="782" customFormat="1" ht="15.75">
      <c r="B202" s="805" t="s">
        <v>1270</v>
      </c>
      <c r="C202" s="795"/>
      <c r="D202" s="794" t="s">
        <v>1271</v>
      </c>
      <c r="E202" s="807"/>
      <c r="F202" s="807"/>
      <c r="G202" s="2015">
        <v>21240955.050000001</v>
      </c>
      <c r="H202" s="438"/>
      <c r="I202" s="2015">
        <v>31918183.109999999</v>
      </c>
      <c r="J202" s="438"/>
      <c r="K202" s="2015">
        <v>25282924.41</v>
      </c>
      <c r="L202" s="337"/>
      <c r="M202" s="438">
        <f t="shared" si="7"/>
        <v>7784527.7300000004</v>
      </c>
      <c r="N202" s="438"/>
      <c r="O202" s="2015">
        <v>33067452.140000001</v>
      </c>
      <c r="P202" s="807"/>
      <c r="Q202" s="1209"/>
    </row>
    <row r="203" spans="2:17" s="782" customFormat="1" ht="15.75">
      <c r="B203" s="788">
        <v>25950</v>
      </c>
      <c r="C203" s="795"/>
      <c r="D203" s="794" t="s">
        <v>1272</v>
      </c>
      <c r="E203" s="808"/>
      <c r="F203" s="808"/>
      <c r="G203" s="438">
        <v>420171.63</v>
      </c>
      <c r="H203" s="438"/>
      <c r="I203" s="438">
        <v>420050.77</v>
      </c>
      <c r="J203" s="438"/>
      <c r="K203" s="438">
        <v>420050.77</v>
      </c>
      <c r="L203" s="438"/>
      <c r="M203" s="438">
        <f t="shared" si="7"/>
        <v>-112.51000000000931</v>
      </c>
      <c r="N203" s="438"/>
      <c r="O203" s="438">
        <v>419938.26</v>
      </c>
      <c r="P203" s="807"/>
      <c r="Q203" s="1209"/>
    </row>
    <row r="204" spans="2:17" s="782" customFormat="1" ht="15.75">
      <c r="B204" s="805" t="s">
        <v>1273</v>
      </c>
      <c r="C204" s="795"/>
      <c r="D204" s="789" t="s">
        <v>1274</v>
      </c>
      <c r="E204" s="807"/>
      <c r="F204" s="807"/>
      <c r="G204" s="688">
        <v>19993213.48</v>
      </c>
      <c r="H204" s="438"/>
      <c r="I204" s="688">
        <v>11796113.67</v>
      </c>
      <c r="J204" s="438"/>
      <c r="K204" s="688">
        <v>5643775.0700000003</v>
      </c>
      <c r="L204" s="337"/>
      <c r="M204" s="438">
        <f t="shared" si="7"/>
        <v>12491495.77</v>
      </c>
      <c r="N204" s="438"/>
      <c r="O204" s="688">
        <v>18135270.84</v>
      </c>
      <c r="P204" s="807"/>
      <c r="Q204" s="1209"/>
    </row>
    <row r="205" spans="2:17" s="782" customFormat="1" ht="16.5" thickBot="1">
      <c r="B205" s="800"/>
      <c r="C205" s="784"/>
      <c r="D205" s="792" t="s">
        <v>1275</v>
      </c>
      <c r="E205" s="793"/>
      <c r="F205" s="793"/>
      <c r="G205" s="1700">
        <f>SUM(G196:G204)</f>
        <v>1234387525.3900001</v>
      </c>
      <c r="H205" s="1701"/>
      <c r="I205" s="1700">
        <f>SUM(I196:I204)</f>
        <v>2928905398.6300001</v>
      </c>
      <c r="J205" s="1701"/>
      <c r="K205" s="1700">
        <f>SUM(K196:K204)</f>
        <v>1368277634.7600002</v>
      </c>
      <c r="L205"/>
      <c r="M205" s="1700">
        <f>SUM(M196:M204)</f>
        <v>-79264809.849999949</v>
      </c>
      <c r="N205"/>
      <c r="O205" s="1700">
        <f>SUM(O196:O204)</f>
        <v>1289012824.9100001</v>
      </c>
      <c r="P205" s="796" t="s">
        <v>269</v>
      </c>
      <c r="Q205" s="1209"/>
    </row>
    <row r="206" spans="2:17" s="782" customFormat="1" ht="16.5" thickTop="1">
      <c r="B206" s="797"/>
      <c r="C206" s="784"/>
      <c r="D206" s="796"/>
      <c r="E206" s="793"/>
      <c r="F206" s="793"/>
      <c r="G206" s="809"/>
      <c r="H206" s="1701"/>
      <c r="I206" s="809"/>
      <c r="J206" s="1701"/>
      <c r="K206" s="809"/>
      <c r="L206" s="1701"/>
      <c r="M206" s="1704"/>
      <c r="N206" s="1701"/>
      <c r="O206" s="809"/>
      <c r="P206" s="859"/>
      <c r="Q206" s="1209"/>
    </row>
    <row r="207" spans="2:17" s="782" customFormat="1" ht="15.75">
      <c r="B207" s="799"/>
      <c r="C207" s="784"/>
      <c r="D207" s="785" t="s">
        <v>1276</v>
      </c>
      <c r="E207" s="793"/>
      <c r="F207" s="793"/>
      <c r="G207" s="688"/>
      <c r="H207" s="1703"/>
      <c r="I207" s="688"/>
      <c r="J207" s="1703"/>
      <c r="K207" s="688"/>
      <c r="L207" s="1703"/>
      <c r="M207" s="1704"/>
      <c r="N207" s="1701"/>
      <c r="O207" s="688"/>
      <c r="P207" s="805"/>
      <c r="Q207" s="1209"/>
    </row>
    <row r="208" spans="2:17" s="782" customFormat="1" ht="15.75">
      <c r="B208" s="788">
        <v>60201</v>
      </c>
      <c r="C208" s="784"/>
      <c r="D208" s="794" t="s">
        <v>1277</v>
      </c>
      <c r="E208" s="793"/>
      <c r="F208" s="793"/>
      <c r="G208" s="438">
        <v>388012650.76999998</v>
      </c>
      <c r="H208" s="438"/>
      <c r="I208" s="438">
        <v>33383642.719999999</v>
      </c>
      <c r="J208" s="438"/>
      <c r="K208" s="438">
        <v>301380436.52999997</v>
      </c>
      <c r="L208" s="438"/>
      <c r="M208" s="438">
        <f t="shared" ref="M208:M209" si="8">O208-K208</f>
        <v>147829662.83000004</v>
      </c>
      <c r="N208" s="438"/>
      <c r="O208" s="438">
        <v>449210099.36000001</v>
      </c>
      <c r="P208" s="805"/>
      <c r="Q208" s="1209"/>
    </row>
    <row r="209" spans="2:17" s="782" customFormat="1" ht="15.75">
      <c r="B209" s="788">
        <v>60901</v>
      </c>
      <c r="C209" s="795"/>
      <c r="D209" s="789" t="s">
        <v>1278</v>
      </c>
      <c r="E209" s="796"/>
      <c r="F209" s="796"/>
      <c r="G209" s="438">
        <v>0</v>
      </c>
      <c r="H209" s="438"/>
      <c r="I209" s="438">
        <v>0</v>
      </c>
      <c r="J209" s="438"/>
      <c r="K209" s="438">
        <v>0</v>
      </c>
      <c r="L209" s="438"/>
      <c r="M209" s="438">
        <f t="shared" si="8"/>
        <v>0</v>
      </c>
      <c r="N209" s="438"/>
      <c r="O209" s="438">
        <v>0</v>
      </c>
      <c r="P209" s="805"/>
      <c r="Q209" s="1209" t="s">
        <v>103</v>
      </c>
    </row>
    <row r="210" spans="2:17" s="782" customFormat="1" ht="16.5" thickBot="1">
      <c r="B210" s="805"/>
      <c r="C210" s="784"/>
      <c r="D210" s="785" t="s">
        <v>1279</v>
      </c>
      <c r="E210" s="793"/>
      <c r="F210" s="793"/>
      <c r="G210" s="1193">
        <f>SUM(G208:G209)</f>
        <v>388012650.76999998</v>
      </c>
      <c r="H210" s="1701"/>
      <c r="I210" s="1193">
        <f>SUM(I208:I209)</f>
        <v>33383642.719999999</v>
      </c>
      <c r="J210" s="1701"/>
      <c r="K210" s="1193">
        <f>SUM(K208:K209)</f>
        <v>301380436.52999997</v>
      </c>
      <c r="L210" s="1701"/>
      <c r="M210" s="1193">
        <f>SUM(M208:M209)</f>
        <v>147829662.83000004</v>
      </c>
      <c r="N210" s="1701"/>
      <c r="O210" s="1193">
        <f>SUM(O208:O209)</f>
        <v>449210099.36000001</v>
      </c>
      <c r="P210" s="791"/>
      <c r="Q210" s="1209"/>
    </row>
    <row r="211" spans="2:17" s="782" customFormat="1" ht="16.5" thickTop="1">
      <c r="B211" s="805"/>
      <c r="C211" s="810"/>
      <c r="D211" s="810"/>
      <c r="E211" s="811"/>
      <c r="F211" s="811"/>
      <c r="G211" s="688"/>
      <c r="H211" s="1703"/>
      <c r="I211" s="688"/>
      <c r="J211" s="1703"/>
      <c r="K211" s="688"/>
      <c r="L211" s="1703"/>
      <c r="M211" s="438"/>
      <c r="N211" s="1703"/>
      <c r="O211" s="688"/>
      <c r="P211" s="791"/>
      <c r="Q211" s="1209"/>
    </row>
    <row r="212" spans="2:17" s="782" customFormat="1" ht="15.75">
      <c r="B212" s="805"/>
      <c r="C212" s="798"/>
      <c r="D212" s="785" t="s">
        <v>1280</v>
      </c>
      <c r="E212" s="802"/>
      <c r="F212" s="802"/>
      <c r="G212" s="688"/>
      <c r="H212" s="1703"/>
      <c r="I212" s="688"/>
      <c r="J212" s="1703"/>
      <c r="K212" s="688"/>
      <c r="L212" s="1703"/>
      <c r="M212" s="1705"/>
      <c r="N212" s="1706"/>
      <c r="O212" s="688"/>
      <c r="P212" s="859"/>
      <c r="Q212" s="1209"/>
    </row>
    <row r="213" spans="2:17" s="782" customFormat="1" ht="15.75">
      <c r="B213" s="788">
        <v>50318</v>
      </c>
      <c r="C213" s="787"/>
      <c r="D213" s="789" t="s">
        <v>1281</v>
      </c>
      <c r="E213" s="787"/>
      <c r="F213" s="787"/>
      <c r="G213" s="438">
        <v>1006449.13</v>
      </c>
      <c r="H213" s="438"/>
      <c r="I213" s="438">
        <v>943817.26</v>
      </c>
      <c r="J213" s="438"/>
      <c r="K213" s="438">
        <v>1080344.05</v>
      </c>
      <c r="L213" s="438"/>
      <c r="M213" s="438">
        <f t="shared" ref="M213" si="9">O213-K213</f>
        <v>363.48999999999069</v>
      </c>
      <c r="N213" s="438"/>
      <c r="O213" s="438">
        <v>1080707.54</v>
      </c>
      <c r="P213" s="805"/>
      <c r="Q213" s="1209"/>
    </row>
    <row r="214" spans="2:17" s="782" customFormat="1" ht="15.75">
      <c r="B214" s="788">
        <v>50327</v>
      </c>
      <c r="C214" s="787"/>
      <c r="D214" s="789" t="s">
        <v>1282</v>
      </c>
      <c r="E214" s="787"/>
      <c r="F214" s="787"/>
      <c r="G214" s="438">
        <v>397358.15</v>
      </c>
      <c r="H214" s="438"/>
      <c r="I214" s="438">
        <v>430297.57</v>
      </c>
      <c r="J214" s="438"/>
      <c r="K214" s="438">
        <v>432548.56</v>
      </c>
      <c r="L214" s="438"/>
      <c r="M214" s="438">
        <f t="shared" ref="M214:M215" si="10">O214-K214</f>
        <v>3073.0100000000093</v>
      </c>
      <c r="N214" s="438"/>
      <c r="O214" s="438">
        <v>435621.57</v>
      </c>
      <c r="P214" s="805"/>
      <c r="Q214" s="1209"/>
    </row>
    <row r="215" spans="2:17" s="782" customFormat="1" ht="15.75">
      <c r="B215" s="788">
        <v>50651</v>
      </c>
      <c r="C215" s="787"/>
      <c r="D215" s="789" t="s">
        <v>1283</v>
      </c>
      <c r="E215" s="787"/>
      <c r="F215" s="787"/>
      <c r="G215" s="438">
        <v>0</v>
      </c>
      <c r="H215" s="438"/>
      <c r="I215" s="438">
        <v>0</v>
      </c>
      <c r="J215" s="438"/>
      <c r="K215" s="438">
        <v>0</v>
      </c>
      <c r="L215" s="438"/>
      <c r="M215" s="438">
        <f t="shared" si="10"/>
        <v>0</v>
      </c>
      <c r="N215" s="438"/>
      <c r="O215" s="438">
        <v>0</v>
      </c>
      <c r="P215" s="805"/>
      <c r="Q215" s="1209"/>
    </row>
    <row r="216" spans="2:17" s="782" customFormat="1" ht="16.5" thickBot="1">
      <c r="B216" s="800"/>
      <c r="C216" s="784"/>
      <c r="D216" s="792" t="s">
        <v>1284</v>
      </c>
      <c r="E216" s="786"/>
      <c r="F216" s="786"/>
      <c r="G216" s="1707">
        <f>SUM(G213:G215)</f>
        <v>1403807.28</v>
      </c>
      <c r="H216" s="1701"/>
      <c r="I216" s="1707">
        <f>SUM(I213:I215)</f>
        <v>1374114.83</v>
      </c>
      <c r="J216" s="1701"/>
      <c r="K216" s="1707">
        <f>SUM(K213:K215)</f>
        <v>1512892.61</v>
      </c>
      <c r="L216" s="1701"/>
      <c r="M216" s="1707">
        <f>SUM(M213:M215)</f>
        <v>3436.5</v>
      </c>
      <c r="N216" s="1701"/>
      <c r="O216" s="1707">
        <f>SUM(O213:O215)</f>
        <v>1516329.11</v>
      </c>
      <c r="P216" s="800"/>
      <c r="Q216" s="1209"/>
    </row>
    <row r="217" spans="2:17" s="782" customFormat="1" ht="16.5" thickTop="1">
      <c r="B217" s="787"/>
      <c r="C217" s="787"/>
      <c r="D217" s="812"/>
      <c r="E217" s="787"/>
      <c r="F217" s="787"/>
      <c r="G217" s="688"/>
      <c r="H217" s="1708"/>
      <c r="I217" s="688"/>
      <c r="J217" s="1708"/>
      <c r="K217" s="688"/>
      <c r="L217" s="1708"/>
      <c r="M217" s="1708"/>
      <c r="N217" s="1708"/>
      <c r="O217" s="688"/>
      <c r="P217" s="800"/>
      <c r="Q217" s="1209"/>
    </row>
    <row r="218" spans="2:17" s="782" customFormat="1" ht="15.75">
      <c r="B218" s="783"/>
      <c r="C218" s="784"/>
      <c r="D218" s="785" t="s">
        <v>600</v>
      </c>
      <c r="E218" s="786"/>
      <c r="F218" s="786"/>
      <c r="G218" s="930"/>
      <c r="H218" s="1703"/>
      <c r="I218" s="930"/>
      <c r="J218" s="1703"/>
      <c r="K218" s="930"/>
      <c r="L218" s="1703"/>
      <c r="M218" s="1701"/>
      <c r="N218" s="1701"/>
      <c r="O218" s="930"/>
      <c r="P218" s="787"/>
      <c r="Q218" s="1209"/>
    </row>
    <row r="219" spans="2:17" s="782" customFormat="1" ht="15.75">
      <c r="B219" s="788">
        <v>55001</v>
      </c>
      <c r="C219" s="787"/>
      <c r="D219" s="789" t="s">
        <v>1285</v>
      </c>
      <c r="E219" s="787"/>
      <c r="F219" s="787"/>
      <c r="G219" s="438">
        <v>0</v>
      </c>
      <c r="H219" s="438"/>
      <c r="I219" s="438">
        <v>0</v>
      </c>
      <c r="J219" s="438"/>
      <c r="K219" s="438">
        <v>0</v>
      </c>
      <c r="L219" s="438"/>
      <c r="M219" s="438">
        <f t="shared" ref="M219" si="11">O219-K219</f>
        <v>0</v>
      </c>
      <c r="N219" s="438"/>
      <c r="O219" s="438">
        <v>0</v>
      </c>
      <c r="P219" s="791"/>
      <c r="Q219" s="1209"/>
    </row>
    <row r="220" spans="2:17" s="782" customFormat="1" ht="15.75">
      <c r="B220" s="788">
        <v>55002</v>
      </c>
      <c r="C220" s="787"/>
      <c r="D220" s="789" t="s">
        <v>1489</v>
      </c>
      <c r="E220" s="787"/>
      <c r="F220" s="787"/>
      <c r="G220" s="438">
        <v>0</v>
      </c>
      <c r="H220" s="438"/>
      <c r="I220" s="438">
        <v>0</v>
      </c>
      <c r="J220" s="438"/>
      <c r="K220" s="438">
        <v>0</v>
      </c>
      <c r="L220" s="438"/>
      <c r="M220" s="438">
        <f t="shared" ref="M220:M262" si="12">O220-K220</f>
        <v>0</v>
      </c>
      <c r="N220" s="438"/>
      <c r="O220" s="438">
        <v>0</v>
      </c>
      <c r="P220" s="791"/>
      <c r="Q220" s="1209"/>
    </row>
    <row r="221" spans="2:17" s="782" customFormat="1" ht="15.75">
      <c r="B221" s="788">
        <v>55003</v>
      </c>
      <c r="C221" s="795"/>
      <c r="D221" s="789" t="s">
        <v>1286</v>
      </c>
      <c r="E221" s="796"/>
      <c r="F221" s="796"/>
      <c r="G221" s="438">
        <v>0</v>
      </c>
      <c r="H221" s="438"/>
      <c r="I221" s="438">
        <v>0</v>
      </c>
      <c r="J221" s="438"/>
      <c r="K221" s="438">
        <v>0</v>
      </c>
      <c r="L221" s="438"/>
      <c r="M221" s="438">
        <f t="shared" si="12"/>
        <v>0</v>
      </c>
      <c r="N221" s="438"/>
      <c r="O221" s="438">
        <v>0</v>
      </c>
      <c r="P221" s="791"/>
      <c r="Q221" s="1209"/>
    </row>
    <row r="222" spans="2:17" s="782" customFormat="1" ht="15.75">
      <c r="B222" s="788">
        <v>55004</v>
      </c>
      <c r="C222" s="795"/>
      <c r="D222" s="794" t="s">
        <v>1287</v>
      </c>
      <c r="E222" s="796"/>
      <c r="F222" s="796"/>
      <c r="G222" s="438">
        <v>210700.63</v>
      </c>
      <c r="H222" s="438"/>
      <c r="I222" s="438">
        <v>466234.21</v>
      </c>
      <c r="J222" s="438"/>
      <c r="K222" s="438">
        <v>43357.5</v>
      </c>
      <c r="L222" s="438"/>
      <c r="M222" s="438">
        <f t="shared" si="12"/>
        <v>136754.88</v>
      </c>
      <c r="N222" s="438"/>
      <c r="O222" s="438">
        <v>180112.38</v>
      </c>
      <c r="P222" s="791"/>
      <c r="Q222" s="1209"/>
    </row>
    <row r="223" spans="2:17" s="782" customFormat="1" ht="15.75">
      <c r="B223" s="788">
        <v>55005</v>
      </c>
      <c r="C223" s="795"/>
      <c r="D223" s="794" t="s">
        <v>1288</v>
      </c>
      <c r="E223" s="796"/>
      <c r="F223" s="796"/>
      <c r="G223" s="438">
        <v>0</v>
      </c>
      <c r="H223" s="438"/>
      <c r="I223" s="438">
        <v>0</v>
      </c>
      <c r="J223" s="438"/>
      <c r="K223" s="438">
        <v>0</v>
      </c>
      <c r="L223" s="438"/>
      <c r="M223" s="438">
        <f t="shared" si="12"/>
        <v>0</v>
      </c>
      <c r="N223" s="438"/>
      <c r="O223" s="438">
        <v>0</v>
      </c>
      <c r="P223" s="791"/>
      <c r="Q223" s="1209"/>
    </row>
    <row r="224" spans="2:17" s="782" customFormat="1" ht="15.75">
      <c r="B224" s="788">
        <v>55006</v>
      </c>
      <c r="C224" s="795"/>
      <c r="D224" s="789" t="s">
        <v>1490</v>
      </c>
      <c r="E224" s="796"/>
      <c r="F224" s="796"/>
      <c r="G224" s="438">
        <v>35162.46</v>
      </c>
      <c r="H224" s="438"/>
      <c r="I224" s="438">
        <v>38721.769999999997</v>
      </c>
      <c r="J224" s="438"/>
      <c r="K224" s="438">
        <v>48284</v>
      </c>
      <c r="L224" s="438"/>
      <c r="M224" s="438">
        <f t="shared" si="12"/>
        <v>11338.769999999997</v>
      </c>
      <c r="N224" s="438"/>
      <c r="O224" s="438">
        <v>59622.77</v>
      </c>
      <c r="P224" s="791"/>
      <c r="Q224" s="1209"/>
    </row>
    <row r="225" spans="2:17" s="782" customFormat="1" ht="15.75">
      <c r="B225" s="788">
        <v>55007</v>
      </c>
      <c r="C225" s="803"/>
      <c r="D225" s="789" t="s">
        <v>1289</v>
      </c>
      <c r="E225" s="804"/>
      <c r="F225" s="804"/>
      <c r="G225" s="438">
        <v>3447068.93</v>
      </c>
      <c r="H225" s="438"/>
      <c r="I225" s="438">
        <v>4267106.57</v>
      </c>
      <c r="J225" s="438"/>
      <c r="K225" s="438">
        <v>4911116.9800000004</v>
      </c>
      <c r="L225" s="438"/>
      <c r="M225" s="438">
        <f t="shared" si="12"/>
        <v>390255.56999999937</v>
      </c>
      <c r="N225" s="438"/>
      <c r="O225" s="438">
        <v>5301372.55</v>
      </c>
      <c r="P225" s="791"/>
      <c r="Q225" s="1209"/>
    </row>
    <row r="226" spans="2:17" s="782" customFormat="1" ht="15.75">
      <c r="B226" s="788">
        <v>55008</v>
      </c>
      <c r="C226" s="795"/>
      <c r="D226" s="794" t="s">
        <v>1290</v>
      </c>
      <c r="E226" s="796"/>
      <c r="F226" s="796"/>
      <c r="G226" s="438">
        <v>3332213.75</v>
      </c>
      <c r="H226" s="438"/>
      <c r="I226" s="438">
        <v>18452698.140000001</v>
      </c>
      <c r="J226" s="438"/>
      <c r="K226" s="438">
        <v>10913090.779999999</v>
      </c>
      <c r="L226" s="438"/>
      <c r="M226" s="438">
        <f t="shared" si="12"/>
        <v>3380044.9500000011</v>
      </c>
      <c r="N226" s="438"/>
      <c r="O226" s="438">
        <v>14293135.73</v>
      </c>
      <c r="P226" s="800"/>
      <c r="Q226" s="1209"/>
    </row>
    <row r="227" spans="2:17" s="782" customFormat="1" ht="15.75">
      <c r="B227" s="788">
        <v>55009</v>
      </c>
      <c r="C227" s="795"/>
      <c r="D227" s="794" t="s">
        <v>1291</v>
      </c>
      <c r="E227" s="796"/>
      <c r="F227" s="796"/>
      <c r="G227" s="438">
        <v>0</v>
      </c>
      <c r="H227" s="438"/>
      <c r="I227" s="438">
        <v>0</v>
      </c>
      <c r="J227" s="438"/>
      <c r="K227" s="438">
        <v>0</v>
      </c>
      <c r="L227" s="438"/>
      <c r="M227" s="438">
        <f t="shared" si="12"/>
        <v>0</v>
      </c>
      <c r="N227" s="438"/>
      <c r="O227" s="438">
        <v>0</v>
      </c>
      <c r="P227" s="800"/>
      <c r="Q227" s="1209"/>
    </row>
    <row r="228" spans="2:17" s="782" customFormat="1" ht="15.75">
      <c r="B228" s="770">
        <v>55010</v>
      </c>
      <c r="C228" s="795"/>
      <c r="D228" s="789" t="s">
        <v>1292</v>
      </c>
      <c r="E228" s="796"/>
      <c r="F228" s="796"/>
      <c r="G228" s="438">
        <v>0</v>
      </c>
      <c r="H228" s="438"/>
      <c r="I228" s="438">
        <v>0</v>
      </c>
      <c r="J228" s="438"/>
      <c r="K228" s="438">
        <v>0</v>
      </c>
      <c r="L228" s="438"/>
      <c r="M228" s="438">
        <f t="shared" si="12"/>
        <v>0</v>
      </c>
      <c r="N228" s="438"/>
      <c r="O228" s="438">
        <v>0</v>
      </c>
      <c r="P228" s="787"/>
      <c r="Q228" s="1209"/>
    </row>
    <row r="229" spans="2:17" s="782" customFormat="1" ht="15.75">
      <c r="B229" s="788">
        <v>55011</v>
      </c>
      <c r="C229" s="803"/>
      <c r="D229" s="789" t="s">
        <v>1293</v>
      </c>
      <c r="E229" s="804"/>
      <c r="F229" s="804"/>
      <c r="G229" s="438">
        <v>1112270.1499999999</v>
      </c>
      <c r="H229" s="438"/>
      <c r="I229" s="438">
        <v>0</v>
      </c>
      <c r="J229" s="438"/>
      <c r="K229" s="438">
        <v>0</v>
      </c>
      <c r="L229" s="438"/>
      <c r="M229" s="438">
        <f t="shared" si="12"/>
        <v>0</v>
      </c>
      <c r="N229" s="438"/>
      <c r="O229" s="438">
        <v>0</v>
      </c>
      <c r="P229" s="791"/>
      <c r="Q229" s="1209"/>
    </row>
    <row r="230" spans="2:17" s="782" customFormat="1" ht="15.75">
      <c r="B230" s="788">
        <v>55012</v>
      </c>
      <c r="C230" s="795"/>
      <c r="D230" s="794" t="s">
        <v>1294</v>
      </c>
      <c r="E230" s="796"/>
      <c r="F230" s="796"/>
      <c r="G230" s="438">
        <v>351250.8</v>
      </c>
      <c r="H230" s="438"/>
      <c r="I230" s="438">
        <v>325562.8</v>
      </c>
      <c r="J230" s="438"/>
      <c r="K230" s="438">
        <v>315072.8</v>
      </c>
      <c r="L230" s="438"/>
      <c r="M230" s="438">
        <f t="shared" si="12"/>
        <v>36799.5</v>
      </c>
      <c r="N230" s="438"/>
      <c r="O230" s="438">
        <v>351872.3</v>
      </c>
      <c r="P230" s="791"/>
      <c r="Q230" s="1209"/>
    </row>
    <row r="231" spans="2:17" s="782" customFormat="1" ht="15.75">
      <c r="B231" s="788">
        <v>55013</v>
      </c>
      <c r="C231" s="795"/>
      <c r="D231" s="794" t="s">
        <v>1295</v>
      </c>
      <c r="E231" s="796"/>
      <c r="F231" s="796"/>
      <c r="G231" s="438">
        <v>0</v>
      </c>
      <c r="H231" s="438"/>
      <c r="I231" s="438">
        <v>0</v>
      </c>
      <c r="J231" s="438"/>
      <c r="K231" s="438">
        <v>0</v>
      </c>
      <c r="L231" s="438"/>
      <c r="M231" s="438">
        <f t="shared" si="12"/>
        <v>0</v>
      </c>
      <c r="N231" s="438"/>
      <c r="O231" s="438">
        <v>0</v>
      </c>
      <c r="P231" s="791"/>
      <c r="Q231" s="1209"/>
    </row>
    <row r="232" spans="2:17" s="782" customFormat="1" ht="15.75">
      <c r="B232" s="788">
        <v>55014</v>
      </c>
      <c r="C232" s="795"/>
      <c r="D232" s="794" t="s">
        <v>1296</v>
      </c>
      <c r="E232" s="796"/>
      <c r="F232" s="796"/>
      <c r="G232" s="438">
        <v>0</v>
      </c>
      <c r="H232" s="438"/>
      <c r="I232" s="438">
        <v>0</v>
      </c>
      <c r="J232" s="438"/>
      <c r="K232" s="438">
        <v>0</v>
      </c>
      <c r="L232" s="438"/>
      <c r="M232" s="438">
        <f t="shared" si="12"/>
        <v>0</v>
      </c>
      <c r="N232" s="438"/>
      <c r="O232" s="438">
        <v>0</v>
      </c>
      <c r="P232" s="791"/>
      <c r="Q232" s="1209"/>
    </row>
    <row r="233" spans="2:17" s="782" customFormat="1" ht="15.75">
      <c r="B233" s="788">
        <v>55015</v>
      </c>
      <c r="C233" s="795"/>
      <c r="D233" s="794" t="s">
        <v>1297</v>
      </c>
      <c r="E233" s="796"/>
      <c r="F233" s="796"/>
      <c r="G233" s="438">
        <v>0</v>
      </c>
      <c r="H233" s="438"/>
      <c r="I233" s="438">
        <v>0</v>
      </c>
      <c r="J233" s="438"/>
      <c r="K233" s="438">
        <v>0</v>
      </c>
      <c r="L233" s="438"/>
      <c r="M233" s="438">
        <f t="shared" si="12"/>
        <v>0</v>
      </c>
      <c r="N233" s="438"/>
      <c r="O233" s="438">
        <v>0</v>
      </c>
      <c r="P233" s="791"/>
      <c r="Q233" s="1209"/>
    </row>
    <row r="234" spans="2:17" s="782" customFormat="1" ht="15.75">
      <c r="B234" s="788">
        <v>55016</v>
      </c>
      <c r="C234" s="795"/>
      <c r="D234" s="789" t="s">
        <v>1298</v>
      </c>
      <c r="E234" s="796"/>
      <c r="F234" s="796"/>
      <c r="G234" s="438">
        <v>0</v>
      </c>
      <c r="H234" s="438"/>
      <c r="I234" s="438">
        <v>0</v>
      </c>
      <c r="J234" s="438"/>
      <c r="K234" s="438">
        <v>0</v>
      </c>
      <c r="L234" s="438"/>
      <c r="M234" s="438">
        <f t="shared" si="12"/>
        <v>0</v>
      </c>
      <c r="N234" s="438"/>
      <c r="O234" s="438">
        <v>0</v>
      </c>
      <c r="P234" s="791"/>
      <c r="Q234" s="1209"/>
    </row>
    <row r="235" spans="2:17" s="782" customFormat="1" ht="15.75">
      <c r="B235" s="788">
        <v>55017</v>
      </c>
      <c r="C235" s="795"/>
      <c r="D235" s="789" t="s">
        <v>1299</v>
      </c>
      <c r="E235" s="796"/>
      <c r="F235" s="796"/>
      <c r="G235" s="438">
        <v>837184.81</v>
      </c>
      <c r="H235" s="438"/>
      <c r="I235" s="438">
        <v>1133415.5900000001</v>
      </c>
      <c r="J235" s="438"/>
      <c r="K235" s="438">
        <v>1099551.21</v>
      </c>
      <c r="L235" s="438"/>
      <c r="M235" s="438">
        <f t="shared" si="12"/>
        <v>24862.790000000037</v>
      </c>
      <c r="N235" s="438"/>
      <c r="O235" s="438">
        <v>1124414</v>
      </c>
      <c r="P235" s="791"/>
      <c r="Q235" s="1209"/>
    </row>
    <row r="236" spans="2:17" s="782" customFormat="1" ht="15.75">
      <c r="B236" s="788">
        <v>55018</v>
      </c>
      <c r="C236" s="795"/>
      <c r="D236" s="789" t="s">
        <v>1300</v>
      </c>
      <c r="E236" s="796"/>
      <c r="F236" s="796"/>
      <c r="G236" s="438">
        <v>0</v>
      </c>
      <c r="H236" s="438"/>
      <c r="I236" s="438">
        <v>0</v>
      </c>
      <c r="J236" s="438"/>
      <c r="K236" s="438">
        <v>0</v>
      </c>
      <c r="L236" s="438"/>
      <c r="M236" s="438">
        <f t="shared" si="12"/>
        <v>0</v>
      </c>
      <c r="N236" s="438"/>
      <c r="O236" s="438">
        <v>0</v>
      </c>
      <c r="P236" s="791"/>
      <c r="Q236" s="1209"/>
    </row>
    <row r="237" spans="2:17" s="782" customFormat="1" ht="15.75">
      <c r="B237" s="788">
        <v>55019</v>
      </c>
      <c r="C237" s="795"/>
      <c r="D237" s="789" t="s">
        <v>1301</v>
      </c>
      <c r="E237" s="796"/>
      <c r="F237" s="796"/>
      <c r="G237" s="438">
        <v>0</v>
      </c>
      <c r="H237" s="438"/>
      <c r="I237" s="438">
        <v>0</v>
      </c>
      <c r="J237" s="438"/>
      <c r="K237" s="438">
        <v>0</v>
      </c>
      <c r="L237" s="438"/>
      <c r="M237" s="438">
        <f t="shared" si="12"/>
        <v>0</v>
      </c>
      <c r="N237" s="438"/>
      <c r="O237" s="438">
        <v>0</v>
      </c>
      <c r="P237" s="791"/>
      <c r="Q237" s="1209"/>
    </row>
    <row r="238" spans="2:17" s="782" customFormat="1" ht="15.75">
      <c r="B238" s="788">
        <v>55020</v>
      </c>
      <c r="C238" s="795"/>
      <c r="D238" s="789" t="s">
        <v>1302</v>
      </c>
      <c r="E238" s="796"/>
      <c r="F238" s="796"/>
      <c r="G238" s="438">
        <v>24338984.43</v>
      </c>
      <c r="H238" s="438"/>
      <c r="I238" s="438">
        <v>21620217.649999999</v>
      </c>
      <c r="J238" s="438"/>
      <c r="K238" s="438">
        <v>18984926.920000002</v>
      </c>
      <c r="L238" s="438"/>
      <c r="M238" s="438">
        <f t="shared" si="12"/>
        <v>-29006.770000003278</v>
      </c>
      <c r="N238" s="438"/>
      <c r="O238" s="438">
        <v>18955920.149999999</v>
      </c>
      <c r="P238" s="791"/>
      <c r="Q238" s="1209"/>
    </row>
    <row r="239" spans="2:17" s="782" customFormat="1" ht="15.75">
      <c r="B239" s="788">
        <v>55021</v>
      </c>
      <c r="C239" s="795"/>
      <c r="D239" s="789" t="s">
        <v>1303</v>
      </c>
      <c r="E239" s="796"/>
      <c r="F239" s="796"/>
      <c r="G239" s="438">
        <v>8940567.0199999996</v>
      </c>
      <c r="H239" s="438"/>
      <c r="I239" s="438">
        <v>9127699.0600000005</v>
      </c>
      <c r="J239" s="438"/>
      <c r="K239" s="438">
        <v>8624121.8699999992</v>
      </c>
      <c r="L239" s="438"/>
      <c r="M239" s="438">
        <f t="shared" si="12"/>
        <v>145365.62000000104</v>
      </c>
      <c r="N239" s="438"/>
      <c r="O239" s="438">
        <v>8769487.4900000002</v>
      </c>
      <c r="P239" s="791"/>
      <c r="Q239" s="1209"/>
    </row>
    <row r="240" spans="2:17" s="782" customFormat="1" ht="15.75">
      <c r="B240" s="788">
        <v>55022</v>
      </c>
      <c r="C240" s="795"/>
      <c r="D240" s="794" t="s">
        <v>1304</v>
      </c>
      <c r="E240" s="796"/>
      <c r="F240" s="796"/>
      <c r="G240" s="438">
        <v>0</v>
      </c>
      <c r="H240" s="438"/>
      <c r="I240" s="438">
        <v>0</v>
      </c>
      <c r="J240" s="438"/>
      <c r="K240" s="438">
        <v>0</v>
      </c>
      <c r="L240" s="438"/>
      <c r="M240" s="438">
        <f t="shared" si="12"/>
        <v>0</v>
      </c>
      <c r="N240" s="438"/>
      <c r="O240" s="438">
        <v>0</v>
      </c>
      <c r="P240" s="791"/>
      <c r="Q240" s="1209"/>
    </row>
    <row r="241" spans="2:17" s="782" customFormat="1" ht="15.75">
      <c r="B241" s="788">
        <v>55052</v>
      </c>
      <c r="C241" s="795"/>
      <c r="D241" s="794" t="s">
        <v>1305</v>
      </c>
      <c r="E241" s="796"/>
      <c r="F241" s="796"/>
      <c r="G241" s="438">
        <v>1306525.1299999999</v>
      </c>
      <c r="H241" s="438"/>
      <c r="I241" s="438">
        <v>1507987.56</v>
      </c>
      <c r="J241" s="438"/>
      <c r="K241" s="438">
        <v>1647411.72</v>
      </c>
      <c r="L241" s="438"/>
      <c r="M241" s="438">
        <f t="shared" si="12"/>
        <v>186504.41999999993</v>
      </c>
      <c r="N241" s="438"/>
      <c r="O241" s="438">
        <v>1833916.14</v>
      </c>
      <c r="P241" s="791"/>
      <c r="Q241" s="1209"/>
    </row>
    <row r="242" spans="2:17" s="782" customFormat="1" ht="15.75">
      <c r="B242" s="788">
        <v>55053</v>
      </c>
      <c r="C242" s="795"/>
      <c r="D242" s="789" t="s">
        <v>1306</v>
      </c>
      <c r="E242" s="796"/>
      <c r="F242" s="796"/>
      <c r="G242" s="438">
        <v>0</v>
      </c>
      <c r="H242" s="438"/>
      <c r="I242" s="438">
        <v>0</v>
      </c>
      <c r="J242" s="438"/>
      <c r="K242" s="438">
        <v>0</v>
      </c>
      <c r="L242" s="438"/>
      <c r="M242" s="438">
        <f t="shared" si="12"/>
        <v>0</v>
      </c>
      <c r="N242" s="438"/>
      <c r="O242" s="438">
        <v>0</v>
      </c>
      <c r="P242" s="791"/>
      <c r="Q242" s="1209"/>
    </row>
    <row r="243" spans="2:17" s="782" customFormat="1" ht="15.75">
      <c r="B243" s="788">
        <v>55055</v>
      </c>
      <c r="C243" s="795"/>
      <c r="D243" s="789" t="s">
        <v>1307</v>
      </c>
      <c r="E243" s="796"/>
      <c r="F243" s="796"/>
      <c r="G243" s="438">
        <v>0</v>
      </c>
      <c r="H243" s="438"/>
      <c r="I243" s="438">
        <v>0</v>
      </c>
      <c r="J243" s="438"/>
      <c r="K243" s="438">
        <v>0</v>
      </c>
      <c r="L243" s="438"/>
      <c r="M243" s="438">
        <f t="shared" si="12"/>
        <v>0</v>
      </c>
      <c r="N243" s="438"/>
      <c r="O243" s="438">
        <v>0</v>
      </c>
      <c r="P243" s="791"/>
      <c r="Q243" s="1209"/>
    </row>
    <row r="244" spans="2:17" s="782" customFormat="1" ht="15.75">
      <c r="B244" s="788">
        <v>55056</v>
      </c>
      <c r="C244" s="795"/>
      <c r="D244" s="789" t="s">
        <v>1308</v>
      </c>
      <c r="E244" s="796"/>
      <c r="F244" s="796"/>
      <c r="G244" s="438">
        <v>0</v>
      </c>
      <c r="H244" s="438"/>
      <c r="I244" s="438">
        <v>0</v>
      </c>
      <c r="J244" s="438"/>
      <c r="K244" s="438">
        <v>0</v>
      </c>
      <c r="L244" s="438"/>
      <c r="M244" s="438">
        <f t="shared" si="12"/>
        <v>0</v>
      </c>
      <c r="N244" s="438"/>
      <c r="O244" s="438">
        <v>0</v>
      </c>
      <c r="P244" s="791"/>
      <c r="Q244" s="1209"/>
    </row>
    <row r="245" spans="2:17" s="782" customFormat="1" ht="15.75">
      <c r="B245" s="788">
        <v>55057</v>
      </c>
      <c r="C245" s="795"/>
      <c r="D245" s="789" t="s">
        <v>1309</v>
      </c>
      <c r="E245" s="796"/>
      <c r="F245" s="796"/>
      <c r="G245" s="438">
        <v>9246.81</v>
      </c>
      <c r="H245" s="438"/>
      <c r="I245" s="438">
        <v>160666.82999999999</v>
      </c>
      <c r="J245" s="438"/>
      <c r="K245" s="438">
        <v>3940.3</v>
      </c>
      <c r="L245" s="438"/>
      <c r="M245" s="438">
        <f t="shared" si="12"/>
        <v>37642.149999999994</v>
      </c>
      <c r="N245" s="438"/>
      <c r="O245" s="438">
        <v>41582.449999999997</v>
      </c>
      <c r="P245" s="791"/>
      <c r="Q245" s="1209"/>
    </row>
    <row r="246" spans="2:17" s="782" customFormat="1" ht="15.75">
      <c r="B246" s="788">
        <v>55058</v>
      </c>
      <c r="C246" s="795"/>
      <c r="D246" s="789" t="s">
        <v>1310</v>
      </c>
      <c r="E246" s="796"/>
      <c r="F246" s="796"/>
      <c r="G246" s="438">
        <v>6157073.3700000001</v>
      </c>
      <c r="H246" s="438"/>
      <c r="I246" s="438">
        <v>6451145.0300000003</v>
      </c>
      <c r="J246" s="438"/>
      <c r="K246" s="438">
        <v>6854682.5899999999</v>
      </c>
      <c r="L246" s="438"/>
      <c r="M246" s="438">
        <f t="shared" si="12"/>
        <v>391342.20999999996</v>
      </c>
      <c r="N246" s="438"/>
      <c r="O246" s="438">
        <v>7246024.7999999998</v>
      </c>
      <c r="P246" s="791"/>
      <c r="Q246" s="1209"/>
    </row>
    <row r="247" spans="2:17" s="782" customFormat="1" ht="15.75">
      <c r="B247" s="788">
        <v>55059</v>
      </c>
      <c r="C247" s="795"/>
      <c r="D247" s="789" t="s">
        <v>1311</v>
      </c>
      <c r="E247" s="796"/>
      <c r="F247" s="796"/>
      <c r="G247" s="438">
        <v>7459586.7599999998</v>
      </c>
      <c r="H247" s="438"/>
      <c r="I247" s="438">
        <v>7340975.5700000003</v>
      </c>
      <c r="J247" s="438"/>
      <c r="K247" s="438">
        <v>7078053.6699999999</v>
      </c>
      <c r="L247" s="438"/>
      <c r="M247" s="438">
        <f t="shared" si="12"/>
        <v>758863.6799999997</v>
      </c>
      <c r="N247" s="438"/>
      <c r="O247" s="438">
        <v>7836917.3499999996</v>
      </c>
      <c r="P247" s="791"/>
      <c r="Q247" s="1209"/>
    </row>
    <row r="248" spans="2:17" s="782" customFormat="1" ht="15.75">
      <c r="B248" s="788">
        <v>55060</v>
      </c>
      <c r="C248" s="795"/>
      <c r="D248" s="794" t="s">
        <v>1312</v>
      </c>
      <c r="E248" s="796"/>
      <c r="F248" s="796"/>
      <c r="G248" s="438">
        <v>8265825.4199999999</v>
      </c>
      <c r="H248" s="438"/>
      <c r="I248" s="438">
        <v>9949087.9900000002</v>
      </c>
      <c r="J248" s="438"/>
      <c r="K248" s="438">
        <v>11419343.75</v>
      </c>
      <c r="L248" s="438"/>
      <c r="M248" s="438">
        <f t="shared" si="12"/>
        <v>2074930.1799999997</v>
      </c>
      <c r="N248" s="438"/>
      <c r="O248" s="438">
        <v>13494273.93</v>
      </c>
      <c r="P248" s="791"/>
      <c r="Q248" s="1209"/>
    </row>
    <row r="249" spans="2:17" s="782" customFormat="1" ht="15.75">
      <c r="B249" s="788">
        <v>55061</v>
      </c>
      <c r="C249" s="795"/>
      <c r="D249" s="794" t="s">
        <v>1313</v>
      </c>
      <c r="E249" s="796"/>
      <c r="F249" s="796"/>
      <c r="G249" s="438">
        <v>0</v>
      </c>
      <c r="H249" s="438"/>
      <c r="I249" s="438">
        <v>0</v>
      </c>
      <c r="J249" s="438"/>
      <c r="K249" s="438">
        <v>0</v>
      </c>
      <c r="L249" s="438"/>
      <c r="M249" s="438">
        <f t="shared" si="12"/>
        <v>0</v>
      </c>
      <c r="N249" s="438"/>
      <c r="O249" s="438">
        <v>0</v>
      </c>
      <c r="P249" s="791"/>
      <c r="Q249" s="1209"/>
    </row>
    <row r="250" spans="2:17" s="782" customFormat="1" ht="15.75">
      <c r="B250" s="788">
        <v>55062</v>
      </c>
      <c r="C250" s="795"/>
      <c r="D250" s="789" t="s">
        <v>1314</v>
      </c>
      <c r="E250" s="796"/>
      <c r="F250" s="796"/>
      <c r="G250" s="438">
        <v>0</v>
      </c>
      <c r="H250" s="438"/>
      <c r="I250" s="438">
        <v>0</v>
      </c>
      <c r="J250" s="438"/>
      <c r="K250" s="438">
        <v>0</v>
      </c>
      <c r="L250" s="438"/>
      <c r="M250" s="438">
        <f t="shared" si="12"/>
        <v>0</v>
      </c>
      <c r="N250" s="438"/>
      <c r="O250" s="438">
        <v>0</v>
      </c>
      <c r="P250" s="791"/>
      <c r="Q250" s="1209"/>
    </row>
    <row r="251" spans="2:17" s="782" customFormat="1" ht="15.75">
      <c r="B251" s="788">
        <v>55066</v>
      </c>
      <c r="C251" s="795"/>
      <c r="D251" s="789" t="s">
        <v>1315</v>
      </c>
      <c r="E251" s="796"/>
      <c r="F251" s="796"/>
      <c r="G251" s="438">
        <v>1261584.27</v>
      </c>
      <c r="H251" s="438"/>
      <c r="I251" s="438">
        <v>1261584.27</v>
      </c>
      <c r="J251" s="438"/>
      <c r="K251" s="438">
        <v>1261584.27</v>
      </c>
      <c r="L251" s="438"/>
      <c r="M251" s="438">
        <f t="shared" si="12"/>
        <v>0</v>
      </c>
      <c r="N251" s="438"/>
      <c r="O251" s="438">
        <v>1261584.27</v>
      </c>
      <c r="P251" s="791"/>
      <c r="Q251" s="1209"/>
    </row>
    <row r="252" spans="2:17" s="782" customFormat="1" ht="15.75">
      <c r="B252" s="788">
        <v>55067</v>
      </c>
      <c r="C252" s="795"/>
      <c r="D252" s="789" t="s">
        <v>1316</v>
      </c>
      <c r="E252" s="796"/>
      <c r="F252" s="796"/>
      <c r="G252" s="438">
        <v>563131.81000000006</v>
      </c>
      <c r="H252" s="438"/>
      <c r="I252" s="438">
        <v>490397.26</v>
      </c>
      <c r="J252" s="438"/>
      <c r="K252" s="438">
        <v>541071.18000000005</v>
      </c>
      <c r="L252" s="438"/>
      <c r="M252" s="438">
        <f t="shared" si="12"/>
        <v>60108.889999999898</v>
      </c>
      <c r="N252" s="438"/>
      <c r="O252" s="438">
        <v>601180.06999999995</v>
      </c>
      <c r="P252" s="791"/>
      <c r="Q252" s="1209"/>
    </row>
    <row r="253" spans="2:17" s="782" customFormat="1" ht="15.75">
      <c r="B253" s="788">
        <v>55069</v>
      </c>
      <c r="C253" s="795"/>
      <c r="D253" s="789" t="s">
        <v>1317</v>
      </c>
      <c r="E253" s="796"/>
      <c r="F253" s="796"/>
      <c r="G253" s="438">
        <v>0</v>
      </c>
      <c r="H253" s="438"/>
      <c r="I253" s="438">
        <v>0</v>
      </c>
      <c r="J253" s="438"/>
      <c r="K253" s="438">
        <v>0</v>
      </c>
      <c r="L253" s="438"/>
      <c r="M253" s="438">
        <f t="shared" si="12"/>
        <v>0</v>
      </c>
      <c r="N253" s="438"/>
      <c r="O253" s="438">
        <v>0</v>
      </c>
      <c r="P253" s="791"/>
      <c r="Q253" s="1209"/>
    </row>
    <row r="254" spans="2:17" s="782" customFormat="1" ht="15.75">
      <c r="B254" s="805">
        <v>55071</v>
      </c>
      <c r="C254" s="795"/>
      <c r="D254" s="789" t="s">
        <v>1318</v>
      </c>
      <c r="E254" s="796"/>
      <c r="F254" s="796"/>
      <c r="G254" s="438">
        <v>624571.51</v>
      </c>
      <c r="H254" s="438"/>
      <c r="I254" s="438">
        <v>819208.9</v>
      </c>
      <c r="J254" s="438"/>
      <c r="K254" s="438">
        <v>1034165.37</v>
      </c>
      <c r="L254" s="438"/>
      <c r="M254" s="438">
        <f t="shared" si="12"/>
        <v>239029.65000000002</v>
      </c>
      <c r="N254" s="438"/>
      <c r="O254" s="438">
        <v>1273195.02</v>
      </c>
      <c r="P254" s="791"/>
      <c r="Q254" s="1209"/>
    </row>
    <row r="255" spans="2:17" s="782" customFormat="1" ht="15.75">
      <c r="B255" s="788">
        <v>55072</v>
      </c>
      <c r="C255" s="795"/>
      <c r="D255" s="789" t="s">
        <v>1319</v>
      </c>
      <c r="E255" s="796"/>
      <c r="F255" s="796"/>
      <c r="G255" s="438">
        <v>5866930.9800000004</v>
      </c>
      <c r="H255" s="438"/>
      <c r="I255" s="438">
        <v>7405798.5800000001</v>
      </c>
      <c r="J255" s="438"/>
      <c r="K255" s="438">
        <v>9886967.9199999999</v>
      </c>
      <c r="L255" s="438"/>
      <c r="M255" s="438">
        <f t="shared" si="12"/>
        <v>1455351.2699999996</v>
      </c>
      <c r="N255" s="438"/>
      <c r="O255" s="438">
        <v>11342319.189999999</v>
      </c>
      <c r="P255" s="791"/>
      <c r="Q255" s="1209"/>
    </row>
    <row r="256" spans="2:17" s="782" customFormat="1" ht="15.75">
      <c r="B256" s="805">
        <v>55073</v>
      </c>
      <c r="C256" s="795"/>
      <c r="D256" s="789" t="s">
        <v>1320</v>
      </c>
      <c r="E256" s="796"/>
      <c r="F256" s="796"/>
      <c r="G256" s="438">
        <v>0</v>
      </c>
      <c r="H256" s="438"/>
      <c r="I256" s="438">
        <v>0</v>
      </c>
      <c r="J256" s="438"/>
      <c r="K256" s="438">
        <v>0</v>
      </c>
      <c r="L256" s="438"/>
      <c r="M256" s="438">
        <f t="shared" si="12"/>
        <v>0</v>
      </c>
      <c r="N256" s="438"/>
      <c r="O256" s="438">
        <v>0</v>
      </c>
      <c r="P256" s="791"/>
      <c r="Q256" s="1209"/>
    </row>
    <row r="257" spans="2:17" s="782" customFormat="1" ht="15.75">
      <c r="B257" s="805">
        <v>55074</v>
      </c>
      <c r="C257" s="795"/>
      <c r="D257" s="789" t="s">
        <v>1321</v>
      </c>
      <c r="E257" s="796"/>
      <c r="F257" s="796"/>
      <c r="G257" s="438">
        <v>0</v>
      </c>
      <c r="H257" s="438"/>
      <c r="I257" s="438">
        <v>0</v>
      </c>
      <c r="J257" s="438"/>
      <c r="K257" s="438">
        <v>0</v>
      </c>
      <c r="L257" s="438"/>
      <c r="M257" s="438">
        <f t="shared" si="12"/>
        <v>0</v>
      </c>
      <c r="N257" s="438"/>
      <c r="O257" s="438">
        <v>0</v>
      </c>
      <c r="P257" s="791"/>
      <c r="Q257" s="1209"/>
    </row>
    <row r="258" spans="2:17" s="782" customFormat="1" ht="15.75">
      <c r="B258" s="788">
        <v>55251</v>
      </c>
      <c r="C258" s="795"/>
      <c r="D258" s="794" t="s">
        <v>1322</v>
      </c>
      <c r="E258" s="796"/>
      <c r="F258" s="796"/>
      <c r="G258" s="438">
        <v>11793768.52</v>
      </c>
      <c r="H258" s="438"/>
      <c r="I258" s="438">
        <v>12343718.77</v>
      </c>
      <c r="J258" s="438"/>
      <c r="K258" s="438">
        <v>13011003.970000001</v>
      </c>
      <c r="L258" s="438"/>
      <c r="M258" s="438">
        <f t="shared" si="12"/>
        <v>543437.86999999918</v>
      </c>
      <c r="N258" s="438"/>
      <c r="O258" s="438">
        <v>13554441.84</v>
      </c>
      <c r="P258" s="791"/>
      <c r="Q258" s="1209"/>
    </row>
    <row r="259" spans="2:17" s="782" customFormat="1" ht="15.75">
      <c r="B259" s="788">
        <v>55252</v>
      </c>
      <c r="C259" s="795"/>
      <c r="D259" s="789" t="s">
        <v>1323</v>
      </c>
      <c r="E259" s="796"/>
      <c r="F259" s="796"/>
      <c r="G259" s="438">
        <v>42108461.079999998</v>
      </c>
      <c r="H259" s="438"/>
      <c r="I259" s="438">
        <v>46781325</v>
      </c>
      <c r="J259" s="438"/>
      <c r="K259" s="438">
        <v>51346734.119999997</v>
      </c>
      <c r="L259" s="438"/>
      <c r="M259" s="438">
        <f t="shared" si="12"/>
        <v>3788443.0500000045</v>
      </c>
      <c r="N259" s="438"/>
      <c r="O259" s="438">
        <v>55135177.170000002</v>
      </c>
      <c r="P259" s="791"/>
      <c r="Q259" s="1209"/>
    </row>
    <row r="260" spans="2:17" s="782" customFormat="1" ht="15.75">
      <c r="B260" s="788">
        <v>55300</v>
      </c>
      <c r="C260" s="795"/>
      <c r="D260" s="794" t="s">
        <v>1324</v>
      </c>
      <c r="E260" s="796"/>
      <c r="F260" s="796"/>
      <c r="G260" s="438">
        <v>4531944.37</v>
      </c>
      <c r="H260" s="438"/>
      <c r="I260" s="438">
        <v>6374431.4800000004</v>
      </c>
      <c r="J260" s="438"/>
      <c r="K260" s="438">
        <v>8450920.5099999998</v>
      </c>
      <c r="L260" s="438"/>
      <c r="M260" s="438">
        <f t="shared" si="12"/>
        <v>-8450920.5099999998</v>
      </c>
      <c r="N260" s="438"/>
      <c r="O260" s="438">
        <v>0</v>
      </c>
      <c r="P260" s="791"/>
      <c r="Q260" s="1209"/>
    </row>
    <row r="261" spans="2:17" s="782" customFormat="1" ht="15.75">
      <c r="B261" s="788">
        <v>55301</v>
      </c>
      <c r="C261" s="795"/>
      <c r="D261" s="794" t="s">
        <v>1325</v>
      </c>
      <c r="E261" s="796"/>
      <c r="F261" s="796"/>
      <c r="G261" s="438">
        <v>2008835.32</v>
      </c>
      <c r="H261" s="438"/>
      <c r="I261" s="438">
        <v>2152328.2599999998</v>
      </c>
      <c r="J261" s="438"/>
      <c r="K261" s="438">
        <v>2329296.63</v>
      </c>
      <c r="L261" s="438"/>
      <c r="M261" s="438">
        <f t="shared" si="12"/>
        <v>146712.78000000026</v>
      </c>
      <c r="N261" s="438"/>
      <c r="O261" s="438">
        <v>2476009.41</v>
      </c>
      <c r="P261" s="791"/>
      <c r="Q261" s="1209"/>
    </row>
    <row r="262" spans="2:17" s="782" customFormat="1" ht="15.75">
      <c r="B262" s="788">
        <v>55350</v>
      </c>
      <c r="C262" s="787"/>
      <c r="D262" s="794" t="s">
        <v>1326</v>
      </c>
      <c r="E262" s="787"/>
      <c r="F262" s="787"/>
      <c r="G262" s="438">
        <v>0</v>
      </c>
      <c r="H262" s="438"/>
      <c r="I262" s="438">
        <v>0</v>
      </c>
      <c r="J262" s="438"/>
      <c r="K262" s="438">
        <v>0</v>
      </c>
      <c r="L262" s="438"/>
      <c r="M262" s="438">
        <f t="shared" si="12"/>
        <v>0</v>
      </c>
      <c r="N262" s="438"/>
      <c r="O262" s="438">
        <v>0</v>
      </c>
      <c r="P262" s="791"/>
      <c r="Q262" s="1209"/>
    </row>
    <row r="263" spans="2:17" s="782" customFormat="1" ht="16.5" thickBot="1">
      <c r="B263" s="813"/>
      <c r="C263" s="784"/>
      <c r="D263" s="785" t="s">
        <v>1327</v>
      </c>
      <c r="E263" s="786"/>
      <c r="F263" s="786"/>
      <c r="G263" s="1700">
        <f>SUM(G219:G262)</f>
        <v>134562888.33000001</v>
      </c>
      <c r="H263" s="1701"/>
      <c r="I263" s="1700">
        <f>SUM(I219:I262)</f>
        <v>158470311.28999999</v>
      </c>
      <c r="J263" s="1701"/>
      <c r="K263" s="1700">
        <f>SUM(K219:K262)</f>
        <v>159804698.05999997</v>
      </c>
      <c r="L263" s="1701"/>
      <c r="M263" s="1700">
        <f>SUM(M219:M262)</f>
        <v>5327860.950000002</v>
      </c>
      <c r="N263" s="1701"/>
      <c r="O263" s="1700">
        <f>SUM(O219:O262)</f>
        <v>165132559.00999996</v>
      </c>
      <c r="P263" s="791"/>
      <c r="Q263" s="1209"/>
    </row>
    <row r="264" spans="2:17" s="782" customFormat="1" ht="16.5" thickTop="1">
      <c r="B264" s="799"/>
      <c r="C264" s="787"/>
      <c r="D264" s="814"/>
      <c r="E264" s="787"/>
      <c r="F264" s="787"/>
      <c r="G264" s="438"/>
      <c r="H264" s="1703"/>
      <c r="I264" s="438"/>
      <c r="J264" s="1703"/>
      <c r="K264" s="438"/>
      <c r="L264" s="1703"/>
      <c r="M264" s="438"/>
      <c r="N264" s="1703"/>
      <c r="O264" s="438"/>
      <c r="P264" s="791"/>
      <c r="Q264" s="1209"/>
    </row>
    <row r="265" spans="2:17" s="782" customFormat="1" ht="16.5" thickBot="1">
      <c r="B265" s="799"/>
      <c r="C265" s="787"/>
      <c r="D265" s="814"/>
      <c r="E265" s="787"/>
      <c r="F265" s="787"/>
      <c r="G265" s="438"/>
      <c r="H265" s="1703"/>
      <c r="I265" s="438"/>
      <c r="J265" s="1703"/>
      <c r="K265" s="438"/>
      <c r="L265" s="1703"/>
      <c r="M265" s="438"/>
      <c r="N265" s="1703"/>
      <c r="O265" s="438"/>
      <c r="P265" s="791"/>
      <c r="Q265" s="1209"/>
    </row>
    <row r="266" spans="2:17" s="782" customFormat="1" ht="16.5" thickBot="1">
      <c r="B266" s="813"/>
      <c r="C266" s="815"/>
      <c r="D266" s="816" t="s">
        <v>1328</v>
      </c>
      <c r="E266" s="786"/>
      <c r="F266" s="790"/>
      <c r="G266" s="1709">
        <f>G263+G216+G210+G205+G193+G102+G11</f>
        <v>5847670849.8699989</v>
      </c>
      <c r="H266" s="790"/>
      <c r="I266" s="1709">
        <f>I263+I216+I210+I205+I193+I102+I11</f>
        <v>9132639279.0700016</v>
      </c>
      <c r="J266" s="790"/>
      <c r="K266" s="1709">
        <f>K263+K216+K210+K205+K193+K102+K11</f>
        <v>7024277966.2700005</v>
      </c>
      <c r="L266" s="790"/>
      <c r="M266" s="1709">
        <f>M263+M216+M210+M205+M193+M102+M11</f>
        <v>281361999.90000015</v>
      </c>
      <c r="N266" s="790"/>
      <c r="O266" s="1709">
        <f>O263+O216+O210+O205+O193+O102+O11</f>
        <v>7305639966.170001</v>
      </c>
      <c r="P266" s="791"/>
      <c r="Q266" s="1209"/>
    </row>
    <row r="267" spans="2:17" s="782" customFormat="1" ht="15.75">
      <c r="B267" s="799"/>
      <c r="C267" s="787"/>
      <c r="D267" s="814"/>
      <c r="E267" s="787"/>
      <c r="F267" s="787"/>
      <c r="G267"/>
      <c r="H267" s="1701"/>
      <c r="I267" s="1704"/>
      <c r="J267" s="1701"/>
      <c r="K267" s="1704"/>
      <c r="L267" s="1701"/>
      <c r="M267" s="439"/>
      <c r="N267" s="787"/>
      <c r="O267" s="439"/>
      <c r="P267" s="791"/>
    </row>
    <row r="268" spans="2:17" s="782" customFormat="1" ht="15.75">
      <c r="B268" s="933" t="s">
        <v>1329</v>
      </c>
      <c r="C268" s="690" t="s">
        <v>1497</v>
      </c>
      <c r="D268" s="817"/>
      <c r="E268" s="349"/>
      <c r="F268" s="349"/>
      <c r="G268" s="1704"/>
      <c r="H268" s="818"/>
      <c r="I268" s="1194"/>
      <c r="J268" s="271"/>
      <c r="K268" s="1194"/>
      <c r="L268" s="271"/>
      <c r="M268" s="1194"/>
      <c r="N268" s="271"/>
      <c r="O268" s="1194"/>
      <c r="P268" s="791"/>
    </row>
    <row r="269" spans="2:17" s="782" customFormat="1" ht="15.75">
      <c r="B269" s="819"/>
      <c r="C269" s="349" t="s">
        <v>1330</v>
      </c>
      <c r="D269" s="820"/>
      <c r="E269" s="349"/>
      <c r="F269" s="349"/>
      <c r="G269" s="1194"/>
      <c r="H269" s="818"/>
      <c r="I269" s="1194"/>
      <c r="J269" s="271"/>
      <c r="K269" s="1194"/>
      <c r="L269" s="271"/>
      <c r="M269" s="1194"/>
      <c r="N269" s="271"/>
      <c r="O269" s="1194"/>
      <c r="P269" s="791"/>
    </row>
    <row r="270" spans="2:17" s="782" customFormat="1" ht="15.75">
      <c r="B270" s="819"/>
      <c r="C270" s="349" t="s">
        <v>1331</v>
      </c>
      <c r="D270" s="817"/>
      <c r="E270" s="349"/>
      <c r="F270" s="349"/>
      <c r="G270" s="1194"/>
      <c r="H270" s="818"/>
      <c r="I270" s="1195"/>
      <c r="J270" s="351"/>
      <c r="K270" s="1195"/>
      <c r="L270" s="351"/>
      <c r="M270" s="1195"/>
      <c r="N270" s="351"/>
      <c r="O270" s="1195"/>
      <c r="P270" s="791"/>
    </row>
    <row r="271" spans="2:17" s="782" customFormat="1" ht="15.75">
      <c r="B271" s="819"/>
      <c r="C271" s="349" t="s">
        <v>1332</v>
      </c>
      <c r="D271" s="817"/>
      <c r="E271" s="349"/>
      <c r="F271" s="349"/>
      <c r="G271" s="1195"/>
      <c r="H271" s="818"/>
      <c r="I271" s="1195"/>
      <c r="J271" s="351"/>
      <c r="K271" s="1195"/>
      <c r="L271" s="351"/>
      <c r="M271" s="1195"/>
      <c r="N271" s="351"/>
      <c r="O271" s="1195"/>
      <c r="P271" s="791"/>
    </row>
    <row r="272" spans="2:17" s="782" customFormat="1" ht="15.75">
      <c r="B272" s="819"/>
      <c r="C272" s="349" t="s">
        <v>1333</v>
      </c>
      <c r="D272" s="817"/>
      <c r="E272" s="349"/>
      <c r="F272" s="349"/>
      <c r="G272" s="1195"/>
      <c r="H272" s="818"/>
      <c r="I272" s="1196"/>
      <c r="J272" s="821"/>
      <c r="K272" s="1196"/>
      <c r="L272" s="821"/>
      <c r="M272" s="1196"/>
      <c r="N272" s="821"/>
      <c r="O272" s="1196"/>
      <c r="P272" s="791"/>
    </row>
    <row r="273" spans="2:31" s="782" customFormat="1" ht="15.75">
      <c r="B273" s="690"/>
      <c r="C273" s="349" t="s">
        <v>1334</v>
      </c>
      <c r="D273" s="817"/>
      <c r="E273" s="349"/>
      <c r="F273" s="349"/>
      <c r="G273" s="1196"/>
      <c r="H273" s="818"/>
      <c r="I273" s="1196"/>
      <c r="J273" s="821"/>
      <c r="K273" s="1196"/>
      <c r="L273" s="821"/>
      <c r="M273" s="1196"/>
      <c r="N273" s="821"/>
      <c r="O273" s="1196"/>
      <c r="P273" s="791"/>
    </row>
    <row r="274" spans="2:31" s="782" customFormat="1" ht="15.75">
      <c r="B274" s="690"/>
      <c r="C274" s="818" t="s">
        <v>1335</v>
      </c>
      <c r="D274" s="820"/>
      <c r="E274" s="818"/>
      <c r="F274" s="818"/>
      <c r="G274" s="1196"/>
      <c r="H274" s="818"/>
      <c r="I274" s="1196"/>
      <c r="J274" s="821"/>
      <c r="K274" s="1196"/>
      <c r="L274" s="821"/>
      <c r="M274" s="1196"/>
      <c r="N274" s="821"/>
      <c r="O274" s="1196"/>
      <c r="P274" s="791"/>
    </row>
    <row r="275" spans="2:31" s="782" customFormat="1" ht="15.75">
      <c r="B275" s="822" t="s">
        <v>269</v>
      </c>
      <c r="C275" s="349" t="s">
        <v>1455</v>
      </c>
      <c r="D275" s="817"/>
      <c r="E275" s="818"/>
      <c r="F275" s="818"/>
      <c r="G275" s="1196"/>
      <c r="H275" s="818"/>
      <c r="I275" s="823"/>
      <c r="J275" s="824"/>
      <c r="K275" s="823"/>
      <c r="L275" s="823"/>
      <c r="M275" s="351"/>
      <c r="N275" s="351"/>
      <c r="O275" s="823"/>
      <c r="P275" s="787"/>
    </row>
    <row r="276" spans="2:31" s="782" customFormat="1" ht="15.75">
      <c r="B276" s="825"/>
      <c r="C276" s="823" t="s">
        <v>1336</v>
      </c>
      <c r="D276" s="271"/>
      <c r="E276" s="818"/>
      <c r="F276" s="818"/>
      <c r="G276" s="823"/>
      <c r="H276" s="818"/>
      <c r="I276" s="823"/>
      <c r="J276" s="824"/>
      <c r="K276" s="823"/>
      <c r="L276" s="823"/>
      <c r="M276" s="351"/>
      <c r="N276" s="351"/>
      <c r="O276" s="823"/>
      <c r="P276" s="351"/>
    </row>
    <row r="277" spans="2:31" s="782" customFormat="1" ht="15.75">
      <c r="B277" s="826" t="s">
        <v>257</v>
      </c>
      <c r="C277" s="690" t="s">
        <v>1337</v>
      </c>
      <c r="D277" s="271"/>
      <c r="E277" s="271"/>
      <c r="F277" s="271"/>
      <c r="G277" s="823"/>
      <c r="H277" s="1197"/>
      <c r="I277" s="349"/>
      <c r="J277" s="350"/>
      <c r="K277" s="349"/>
      <c r="L277" s="1197"/>
      <c r="M277" s="1693"/>
      <c r="N277" s="351"/>
      <c r="O277" s="349"/>
      <c r="P277" s="1208"/>
    </row>
    <row r="278" spans="2:31" s="782" customFormat="1" ht="15.75">
      <c r="B278" s="933" t="s">
        <v>103</v>
      </c>
      <c r="C278" s="690" t="s">
        <v>103</v>
      </c>
      <c r="D278" s="351"/>
      <c r="E278" s="349"/>
      <c r="F278" s="349"/>
      <c r="G278" s="828"/>
      <c r="H278" s="828"/>
      <c r="I278" s="828"/>
      <c r="J278" s="828"/>
      <c r="K278" s="828"/>
      <c r="L278" s="828"/>
      <c r="M278" s="351"/>
      <c r="N278" s="351"/>
      <c r="O278" s="351"/>
      <c r="P278" s="818"/>
    </row>
    <row r="279" spans="2:31" s="782" customFormat="1" ht="15.75">
      <c r="B279" s="349"/>
      <c r="C279" s="349"/>
      <c r="D279" s="351"/>
      <c r="E279" s="349"/>
      <c r="F279" s="349"/>
      <c r="G279" s="828"/>
      <c r="H279" s="828"/>
      <c r="I279" s="828"/>
      <c r="J279" s="828"/>
      <c r="K279" s="828"/>
      <c r="L279" s="828"/>
      <c r="M279" s="351"/>
      <c r="N279" s="351"/>
      <c r="O279" s="351"/>
      <c r="P279" s="818"/>
    </row>
    <row r="280" spans="2:31" s="782" customFormat="1" ht="15.75">
      <c r="B280" s="822"/>
      <c r="C280" s="818"/>
      <c r="D280" s="351"/>
      <c r="E280" s="349"/>
      <c r="F280" s="349"/>
      <c r="G280" s="828"/>
      <c r="H280" s="818"/>
      <c r="I280" s="818"/>
      <c r="J280" s="818"/>
      <c r="K280" s="818"/>
      <c r="L280" s="351"/>
      <c r="M280" s="351"/>
      <c r="N280" s="351"/>
      <c r="O280" s="351"/>
      <c r="P280" s="827"/>
    </row>
    <row r="281" spans="2:31" s="782" customFormat="1" ht="15.75">
      <c r="B281" s="829"/>
      <c r="C281" s="818"/>
      <c r="D281" s="351"/>
      <c r="E281" s="349"/>
      <c r="F281" s="349"/>
      <c r="G281" s="818"/>
      <c r="H281" s="818"/>
      <c r="I281" s="818"/>
      <c r="J281" s="818"/>
      <c r="K281" s="818"/>
      <c r="L281" s="351"/>
      <c r="M281" s="351"/>
      <c r="N281" s="351"/>
      <c r="O281" s="351"/>
      <c r="P281" s="827"/>
    </row>
    <row r="282" spans="2:31" s="782" customFormat="1" ht="15.75">
      <c r="B282" s="829"/>
      <c r="C282" s="818"/>
      <c r="D282" s="351"/>
      <c r="E282" s="349"/>
      <c r="F282" s="349"/>
      <c r="G282" s="818"/>
      <c r="H282" s="818"/>
      <c r="I282" s="818"/>
      <c r="J282" s="818"/>
      <c r="K282" s="818"/>
      <c r="L282" s="351"/>
      <c r="M282" s="271"/>
      <c r="N282" s="271"/>
      <c r="O282" s="271"/>
      <c r="P282" s="827"/>
    </row>
    <row r="283" spans="2:31" s="782" customFormat="1" ht="15.75">
      <c r="B283" s="827"/>
      <c r="C283" s="818"/>
      <c r="D283" s="351"/>
      <c r="E283"/>
      <c r="F283" s="818"/>
      <c r="G283" s="818"/>
      <c r="H283" s="818"/>
      <c r="I283" s="818"/>
      <c r="J283" s="818"/>
      <c r="K283" s="818"/>
      <c r="L283" s="271"/>
      <c r="M283" s="271"/>
      <c r="N283" s="271"/>
      <c r="O283" s="271"/>
      <c r="P283" s="827"/>
    </row>
    <row r="284" spans="2:31" s="782" customFormat="1" ht="15.75">
      <c r="B284" s="827"/>
      <c r="C284" s="818"/>
      <c r="D284" s="351"/>
      <c r="E284"/>
      <c r="F284" s="818"/>
      <c r="G284" s="818"/>
      <c r="H284" s="818"/>
      <c r="I284" s="818"/>
      <c r="J284" s="818"/>
      <c r="K284" s="818"/>
      <c r="L284" s="818"/>
      <c r="M284" s="818"/>
      <c r="N284" s="818"/>
      <c r="O284" s="818"/>
      <c r="P284" s="827"/>
    </row>
    <row r="285" spans="2:31" ht="15.75">
      <c r="B285" s="827"/>
      <c r="C285" s="818"/>
      <c r="D285" s="351"/>
      <c r="E285"/>
      <c r="F285" s="818"/>
      <c r="G285" s="818"/>
      <c r="H285" s="818"/>
      <c r="I285" s="818"/>
      <c r="J285" s="818"/>
      <c r="K285" s="818"/>
      <c r="L285" s="271"/>
      <c r="M285" s="271"/>
      <c r="N285" s="271"/>
      <c r="O285" s="271"/>
      <c r="P285" s="827"/>
      <c r="Q285" s="1109"/>
      <c r="R285" s="1109"/>
      <c r="S285" s="1109"/>
      <c r="T285" s="1109"/>
      <c r="U285" s="1109"/>
      <c r="V285" s="1109"/>
      <c r="W285" s="1109"/>
      <c r="X285" s="1109"/>
      <c r="Y285" s="1109"/>
      <c r="Z285" s="1109"/>
      <c r="AA285" s="1109"/>
      <c r="AB285" s="1109"/>
      <c r="AC285" s="1109"/>
      <c r="AD285" s="1109"/>
      <c r="AE285" s="1109"/>
    </row>
    <row r="286" spans="2:31" ht="15.75">
      <c r="B286" s="1109"/>
      <c r="C286" s="1109"/>
      <c r="D286" s="1109"/>
      <c r="E286" s="1109"/>
      <c r="G286" s="818"/>
      <c r="H286" s="1109"/>
      <c r="I286" s="1109"/>
      <c r="J286" s="1109"/>
      <c r="K286" s="1109"/>
      <c r="L286" s="1109"/>
      <c r="M286" s="1109"/>
      <c r="N286" s="1109"/>
      <c r="O286" s="1109"/>
      <c r="P286" s="1109"/>
      <c r="Q286" s="1109"/>
      <c r="R286" s="1109"/>
      <c r="S286" s="1109"/>
      <c r="T286" s="1109"/>
      <c r="U286" s="1109"/>
      <c r="V286" s="1109"/>
      <c r="W286" s="1109"/>
      <c r="X286" s="1109"/>
      <c r="Y286" s="1109"/>
      <c r="Z286" s="1109"/>
      <c r="AA286" s="1109"/>
      <c r="AB286" s="1109"/>
      <c r="AC286" s="1109"/>
      <c r="AD286" s="1109"/>
      <c r="AE286" s="1109"/>
    </row>
    <row r="291" spans="2:31" ht="15.75">
      <c r="B291" s="1109"/>
      <c r="C291" s="439"/>
      <c r="D291" s="439"/>
      <c r="E291" s="439"/>
      <c r="F291" s="771"/>
      <c r="G291" s="1109"/>
      <c r="H291" s="831"/>
      <c r="I291" s="831"/>
      <c r="J291" s="831"/>
      <c r="K291" s="831"/>
      <c r="L291" s="831"/>
      <c r="M291" s="1109"/>
      <c r="N291" s="1109"/>
      <c r="O291" s="1109"/>
      <c r="P291" s="1109"/>
      <c r="Q291" s="1109"/>
      <c r="R291" s="1109"/>
      <c r="S291" s="1109"/>
      <c r="T291" s="1109"/>
      <c r="U291" s="1109"/>
      <c r="V291" s="1109"/>
      <c r="W291" s="1109"/>
      <c r="X291" s="1109"/>
      <c r="Y291" s="1109"/>
      <c r="Z291" s="1109"/>
      <c r="AA291" s="1109"/>
      <c r="AB291" s="1109"/>
      <c r="AC291" s="1109"/>
      <c r="AD291" s="1109"/>
      <c r="AE291" s="1109"/>
    </row>
    <row r="292" spans="2:31" ht="15.75">
      <c r="B292" s="1109"/>
      <c r="C292" s="439"/>
      <c r="D292" s="439"/>
      <c r="E292" s="439"/>
      <c r="F292" s="771"/>
      <c r="G292" s="831"/>
      <c r="H292" s="831"/>
      <c r="I292" s="831"/>
      <c r="J292" s="831"/>
      <c r="K292" s="831"/>
      <c r="L292" s="831"/>
      <c r="M292" s="1109"/>
      <c r="N292" s="1109"/>
      <c r="O292" s="1109"/>
      <c r="P292" s="1109"/>
      <c r="Q292" s="1109"/>
      <c r="R292" s="1109"/>
      <c r="S292" s="1109"/>
      <c r="T292" s="1109"/>
      <c r="U292" s="1109"/>
      <c r="V292" s="1109"/>
      <c r="W292" s="1109"/>
      <c r="X292" s="1109"/>
      <c r="Y292" s="1109"/>
      <c r="Z292" s="1109"/>
      <c r="AA292" s="1109"/>
      <c r="AB292" s="1109"/>
      <c r="AC292" s="1109"/>
      <c r="AD292" s="1109"/>
      <c r="AE292" s="1109"/>
    </row>
    <row r="293" spans="2:31" ht="15.75">
      <c r="B293" s="1109"/>
      <c r="C293" s="439"/>
      <c r="D293" s="439"/>
      <c r="E293" s="439"/>
      <c r="F293" s="771"/>
      <c r="G293" s="831"/>
      <c r="H293" s="831"/>
      <c r="I293" s="831"/>
      <c r="J293" s="831"/>
      <c r="K293" s="831"/>
      <c r="L293" s="831"/>
      <c r="M293" s="1109"/>
      <c r="N293" s="1109"/>
      <c r="O293" s="1109"/>
      <c r="P293" s="1109"/>
      <c r="Q293" s="1109"/>
      <c r="R293" s="1109"/>
      <c r="S293" s="1109"/>
      <c r="T293" s="1109"/>
      <c r="U293" s="1109"/>
      <c r="V293" s="1109"/>
      <c r="W293" s="1109"/>
      <c r="X293" s="1109"/>
      <c r="Y293" s="1109"/>
      <c r="Z293" s="1109"/>
      <c r="AA293" s="1109"/>
      <c r="AB293" s="1109"/>
      <c r="AC293" s="1109"/>
      <c r="AD293" s="1109"/>
      <c r="AE293" s="1109"/>
    </row>
    <row r="294" spans="2:31" ht="15.75">
      <c r="B294" s="1109"/>
      <c r="C294" s="439"/>
      <c r="D294" s="439"/>
      <c r="E294" s="439"/>
      <c r="F294" s="771"/>
      <c r="G294" s="831"/>
      <c r="H294" s="831"/>
      <c r="I294" s="831"/>
      <c r="J294" s="831"/>
      <c r="K294" s="831"/>
      <c r="L294" s="831"/>
      <c r="M294" s="1109"/>
      <c r="N294" s="1109"/>
      <c r="O294" s="1109"/>
      <c r="P294" s="1109"/>
      <c r="Q294" s="1109"/>
      <c r="R294" s="1109"/>
      <c r="S294" s="1109"/>
      <c r="T294" s="1109"/>
      <c r="U294" s="1109"/>
      <c r="V294" s="1109"/>
      <c r="W294" s="1109"/>
      <c r="X294" s="1109"/>
      <c r="Y294" s="1109"/>
      <c r="Z294" s="1109"/>
      <c r="AA294" s="1109"/>
      <c r="AB294" s="1109"/>
      <c r="AC294" s="1109"/>
      <c r="AD294" s="1109"/>
      <c r="AE294" s="1109"/>
    </row>
    <row r="295" spans="2:31" ht="15.75">
      <c r="B295" s="1109"/>
      <c r="C295" s="439"/>
      <c r="D295" s="439"/>
      <c r="E295" s="439"/>
      <c r="F295" s="771"/>
      <c r="G295" s="831"/>
      <c r="H295" s="831"/>
      <c r="I295" s="831"/>
      <c r="J295" s="831"/>
      <c r="K295" s="831"/>
      <c r="L295" s="831"/>
      <c r="M295" s="1109"/>
      <c r="N295" s="1109"/>
      <c r="O295" s="1109"/>
      <c r="P295" s="1109"/>
      <c r="Q295" s="1109"/>
      <c r="R295" s="1109"/>
      <c r="S295" s="1109"/>
      <c r="T295" s="1109"/>
      <c r="U295" s="1109"/>
      <c r="V295" s="1109"/>
      <c r="W295" s="1109"/>
      <c r="X295" s="1109"/>
      <c r="Y295" s="1109"/>
      <c r="Z295" s="1109"/>
      <c r="AA295" s="1109"/>
      <c r="AB295" s="1109"/>
      <c r="AC295" s="1109"/>
      <c r="AD295" s="1109"/>
      <c r="AE295" s="1109"/>
    </row>
    <row r="296" spans="2:31">
      <c r="B296" s="1109"/>
      <c r="C296" s="1109"/>
      <c r="D296" s="1109"/>
      <c r="E296" s="1109"/>
      <c r="G296" s="831"/>
      <c r="H296" s="1109"/>
      <c r="I296" s="1109"/>
      <c r="J296" s="1109"/>
      <c r="K296" s="1109"/>
      <c r="L296" s="1109"/>
      <c r="M296" s="1109"/>
      <c r="N296" s="1109"/>
      <c r="O296" s="1109"/>
      <c r="P296" s="1109"/>
      <c r="Q296" s="1109"/>
      <c r="R296" s="1109"/>
      <c r="S296" s="1109"/>
      <c r="T296" s="1109"/>
      <c r="U296" s="1109"/>
      <c r="V296" s="1109"/>
      <c r="W296" s="1109"/>
      <c r="X296" s="1109"/>
      <c r="Y296" s="1109"/>
      <c r="Z296" s="1109"/>
      <c r="AA296" s="1109"/>
      <c r="AB296" s="1109"/>
      <c r="AC296" s="1109"/>
      <c r="AD296" s="1109"/>
      <c r="AE296" s="1109"/>
    </row>
  </sheetData>
  <printOptions horizontalCentered="1"/>
  <pageMargins left="0.45" right="0.45" top="0.5" bottom="0.5" header="0.3" footer="0.25"/>
  <pageSetup scale="45"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88671875" defaultRowHeight="12.75"/>
  <cols>
    <col min="1" max="1" width="54.88671875" style="171" customWidth="1"/>
    <col min="2" max="2" width="15" style="569" bestFit="1" customWidth="1"/>
    <col min="3" max="3" width="1.88671875" style="569" customWidth="1"/>
    <col min="4" max="4" width="15" style="569" bestFit="1" customWidth="1"/>
    <col min="5" max="5" width="1.88671875" style="568" customWidth="1"/>
    <col min="6" max="6" width="13.88671875" style="569" customWidth="1"/>
    <col min="7" max="7" width="1.88671875" style="568" customWidth="1"/>
    <col min="8" max="8" width="13.88671875" style="569" customWidth="1"/>
    <col min="9" max="9" width="1.88671875" style="568" customWidth="1"/>
    <col min="10" max="10" width="13.88671875" style="569" customWidth="1"/>
    <col min="11" max="11" width="1.88671875" style="569" customWidth="1"/>
    <col min="12" max="12" width="13.88671875" style="569" customWidth="1"/>
    <col min="13" max="13" width="1.88671875" style="568" customWidth="1"/>
    <col min="14" max="14" width="13.88671875" style="569" customWidth="1"/>
    <col min="15" max="15" width="1.88671875" style="568" customWidth="1"/>
    <col min="16" max="16" width="13.88671875" style="569" customWidth="1"/>
    <col min="17" max="17" width="1.88671875" style="568" customWidth="1"/>
    <col min="18" max="18" width="13.88671875" style="569" customWidth="1"/>
    <col min="19" max="19" width="1.88671875" style="568" customWidth="1"/>
    <col min="20" max="20" width="13.88671875" style="569" customWidth="1"/>
    <col min="21" max="21" width="1.88671875" style="568" customWidth="1"/>
    <col min="22" max="22" width="13.88671875" style="569" customWidth="1"/>
    <col min="23" max="23" width="1.88671875" style="568" customWidth="1"/>
    <col min="24" max="24" width="13.88671875" style="569" customWidth="1"/>
    <col min="25" max="25" width="1.88671875" style="568" customWidth="1"/>
    <col min="26" max="26" width="18.88671875" style="118" customWidth="1"/>
    <col min="27" max="27" width="1.5546875" style="171" customWidth="1"/>
    <col min="28" max="28" width="18.88671875" style="171" bestFit="1" customWidth="1"/>
    <col min="29" max="29" width="12.88671875" style="171" bestFit="1" customWidth="1"/>
    <col min="30" max="16384" width="8.88671875" style="171"/>
  </cols>
  <sheetData>
    <row r="1" spans="1:33" ht="1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1338</v>
      </c>
      <c r="AA3" s="168"/>
      <c r="AC3" s="168"/>
      <c r="AE3" s="168"/>
    </row>
    <row r="4" spans="1:33" ht="16.5">
      <c r="A4" s="352" t="s">
        <v>1339</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1340</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8 MONTHS ENDED</v>
      </c>
      <c r="AA9" s="181"/>
      <c r="AB9" s="1694"/>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NOVEMBER 30, 2025</v>
      </c>
      <c r="AA10" s="184"/>
      <c r="AB10" s="1694"/>
    </row>
    <row r="11" spans="1:33" ht="15" customHeight="1">
      <c r="A11" s="488"/>
      <c r="B11" s="619" t="s">
        <v>103</v>
      </c>
      <c r="C11" s="489"/>
      <c r="D11" s="619" t="s">
        <v>103</v>
      </c>
      <c r="E11" s="490"/>
      <c r="F11" s="619" t="s">
        <v>103</v>
      </c>
      <c r="G11" s="490"/>
      <c r="H11" s="619" t="s">
        <v>103</v>
      </c>
      <c r="I11" s="490"/>
      <c r="J11" s="619" t="s">
        <v>103</v>
      </c>
      <c r="K11" s="183"/>
      <c r="L11" s="619" t="s">
        <v>103</v>
      </c>
      <c r="M11" s="490"/>
      <c r="N11" s="619" t="s">
        <v>103</v>
      </c>
      <c r="O11" s="490"/>
      <c r="P11" s="619" t="s">
        <v>103</v>
      </c>
      <c r="Q11" s="490"/>
      <c r="R11" s="619" t="s">
        <v>103</v>
      </c>
      <c r="S11" s="490"/>
      <c r="T11" s="619" t="s">
        <v>103</v>
      </c>
      <c r="U11" s="490"/>
      <c r="V11" s="619" t="s">
        <v>103</v>
      </c>
      <c r="W11" s="490"/>
      <c r="X11" s="619" t="s">
        <v>103</v>
      </c>
      <c r="Y11" s="490"/>
      <c r="Z11" s="1298" t="s">
        <v>103</v>
      </c>
    </row>
    <row r="12" spans="1:33" s="186" customFormat="1" ht="15" customHeight="1">
      <c r="A12" s="189" t="s">
        <v>929</v>
      </c>
      <c r="B12" s="185">
        <v>129795478</v>
      </c>
      <c r="C12" s="185"/>
      <c r="D12" s="185">
        <f>B44</f>
        <v>122788556</v>
      </c>
      <c r="E12" s="491"/>
      <c r="F12" s="185">
        <f>D44</f>
        <v>115702914</v>
      </c>
      <c r="G12" s="491"/>
      <c r="H12" s="185">
        <f>F44</f>
        <v>63207499</v>
      </c>
      <c r="I12" s="491"/>
      <c r="J12" s="185">
        <f>H44</f>
        <v>120013870</v>
      </c>
      <c r="K12" s="185"/>
      <c r="L12" s="185">
        <f>J44</f>
        <v>115078813</v>
      </c>
      <c r="M12" s="183"/>
      <c r="N12" s="185">
        <f>L44</f>
        <v>84439852</v>
      </c>
      <c r="O12" s="185"/>
      <c r="P12" s="185">
        <f>N44</f>
        <v>73906166</v>
      </c>
      <c r="Q12" s="185"/>
      <c r="R12" s="185"/>
      <c r="S12" s="185"/>
      <c r="T12" s="185"/>
      <c r="U12" s="185"/>
      <c r="V12" s="185"/>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20"/>
    </row>
    <row r="15" spans="1:33" ht="15" customHeight="1">
      <c r="A15" s="354" t="s">
        <v>1341</v>
      </c>
      <c r="B15" s="495">
        <v>0</v>
      </c>
      <c r="C15" s="495"/>
      <c r="D15" s="495">
        <v>0</v>
      </c>
      <c r="E15" s="495"/>
      <c r="F15" s="495">
        <v>0</v>
      </c>
      <c r="G15" s="495"/>
      <c r="H15" s="495">
        <v>60000000</v>
      </c>
      <c r="I15" s="495"/>
      <c r="J15" s="620">
        <v>0</v>
      </c>
      <c r="K15" s="495"/>
      <c r="L15" s="495">
        <v>0</v>
      </c>
      <c r="M15" s="493"/>
      <c r="N15" s="495">
        <v>0</v>
      </c>
      <c r="O15" s="495"/>
      <c r="P15" s="495">
        <v>0</v>
      </c>
      <c r="Q15" s="495"/>
      <c r="R15" s="495"/>
      <c r="S15" s="495"/>
      <c r="T15" s="495"/>
      <c r="U15" s="495"/>
      <c r="V15" s="495"/>
      <c r="W15" s="495"/>
      <c r="X15" s="495"/>
      <c r="Y15" s="495"/>
      <c r="Z15" s="496">
        <f>SUM(B15:X15)</f>
        <v>60000000</v>
      </c>
    </row>
    <row r="16" spans="1:33" ht="15" customHeight="1">
      <c r="A16" s="354" t="s">
        <v>1342</v>
      </c>
      <c r="B16" s="495">
        <v>0</v>
      </c>
      <c r="C16" s="495"/>
      <c r="D16" s="495">
        <v>0</v>
      </c>
      <c r="E16" s="495"/>
      <c r="F16" s="495">
        <v>0</v>
      </c>
      <c r="G16" s="495"/>
      <c r="H16" s="1274">
        <v>0</v>
      </c>
      <c r="I16" s="495"/>
      <c r="J16" s="620">
        <v>0</v>
      </c>
      <c r="K16" s="495"/>
      <c r="L16" s="495">
        <v>0</v>
      </c>
      <c r="M16" s="493"/>
      <c r="N16" s="495">
        <v>0</v>
      </c>
      <c r="O16" s="495"/>
      <c r="P16" s="495">
        <v>0</v>
      </c>
      <c r="Q16" s="495"/>
      <c r="R16" s="495"/>
      <c r="S16" s="495"/>
      <c r="T16" s="495"/>
      <c r="U16" s="495"/>
      <c r="V16" s="495"/>
      <c r="W16" s="495"/>
      <c r="X16" s="495"/>
      <c r="Y16" s="495"/>
      <c r="Z16" s="496">
        <f>SUM(B16:X16)</f>
        <v>0</v>
      </c>
    </row>
    <row r="17" spans="1:28" s="186" customFormat="1" ht="22.5" customHeight="1">
      <c r="A17" s="187" t="s">
        <v>430</v>
      </c>
      <c r="B17" s="600">
        <f>ROUND(SUM(B15:B16),0)</f>
        <v>0</v>
      </c>
      <c r="C17" s="188"/>
      <c r="D17" s="600">
        <f>ROUND(SUM(D15:D16),0)</f>
        <v>0</v>
      </c>
      <c r="E17" s="188"/>
      <c r="F17" s="600">
        <f>ROUND(SUM(F15:F16),0)</f>
        <v>0</v>
      </c>
      <c r="G17" s="188"/>
      <c r="H17" s="1275">
        <f>SUM(H15:H16)</f>
        <v>60000000</v>
      </c>
      <c r="I17" s="188"/>
      <c r="J17" s="600">
        <f>ROUND(SUM(J15:J16),0)</f>
        <v>0</v>
      </c>
      <c r="K17" s="188"/>
      <c r="L17" s="600">
        <f>ROUND(SUM(L15:L16),0)</f>
        <v>0</v>
      </c>
      <c r="M17" s="183"/>
      <c r="N17" s="600">
        <f>ROUND(SUM(N15:N16),0)</f>
        <v>0</v>
      </c>
      <c r="O17" s="188"/>
      <c r="P17" s="600">
        <f>ROUND(SUM(P15:P16),0)</f>
        <v>0</v>
      </c>
      <c r="Q17" s="188"/>
      <c r="R17" s="600">
        <f>ROUND(SUM(R15:R16),0)</f>
        <v>0</v>
      </c>
      <c r="S17" s="188"/>
      <c r="T17" s="600">
        <f>ROUND(SUM(T15:T16),0)</f>
        <v>0</v>
      </c>
      <c r="U17" s="188"/>
      <c r="V17" s="600">
        <f>ROUND(SUM(V15:V16),0)</f>
        <v>0</v>
      </c>
      <c r="W17" s="188"/>
      <c r="X17" s="600">
        <f>ROUND(SUM(X15:X16),0)</f>
        <v>0</v>
      </c>
      <c r="Y17" s="188"/>
      <c r="Z17" s="600">
        <f>ROUND(SUM(Z15:Z16),0)</f>
        <v>60000000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1343</v>
      </c>
      <c r="B20" s="495">
        <v>0</v>
      </c>
      <c r="C20" s="495"/>
      <c r="D20" s="495">
        <v>0</v>
      </c>
      <c r="E20" s="495"/>
      <c r="F20" s="495">
        <v>0</v>
      </c>
      <c r="G20" s="495"/>
      <c r="H20" s="495">
        <v>0</v>
      </c>
      <c r="I20" s="495"/>
      <c r="J20" s="495">
        <v>0</v>
      </c>
      <c r="K20" s="495"/>
      <c r="L20" s="495">
        <v>0</v>
      </c>
      <c r="M20" s="493"/>
      <c r="N20" s="495">
        <v>0</v>
      </c>
      <c r="O20" s="495"/>
      <c r="P20" s="495">
        <v>0</v>
      </c>
      <c r="Q20" s="495"/>
      <c r="R20" s="495"/>
      <c r="S20" s="495"/>
      <c r="T20" s="495"/>
      <c r="U20" s="495"/>
      <c r="V20" s="495"/>
      <c r="W20" s="495"/>
      <c r="X20" s="495"/>
      <c r="Y20" s="495"/>
      <c r="Z20" s="496">
        <f>ROUND(SUM(B20:X20),0)</f>
        <v>0</v>
      </c>
    </row>
    <row r="21" spans="1:28" ht="15" customHeight="1">
      <c r="A21" s="354" t="s">
        <v>1344</v>
      </c>
      <c r="B21" s="495">
        <v>30876</v>
      </c>
      <c r="C21" s="495"/>
      <c r="D21" s="495">
        <v>0</v>
      </c>
      <c r="E21" s="495"/>
      <c r="F21" s="495">
        <v>0</v>
      </c>
      <c r="G21" s="495"/>
      <c r="H21" s="495">
        <v>0</v>
      </c>
      <c r="I21" s="495"/>
      <c r="J21" s="495">
        <v>0</v>
      </c>
      <c r="K21" s="495"/>
      <c r="L21" s="495">
        <v>0</v>
      </c>
      <c r="M21" s="493"/>
      <c r="N21" s="495">
        <v>0</v>
      </c>
      <c r="O21" s="495"/>
      <c r="P21" s="495">
        <v>0</v>
      </c>
      <c r="Q21" s="495"/>
      <c r="R21" s="495"/>
      <c r="S21" s="495"/>
      <c r="T21" s="495"/>
      <c r="U21" s="495"/>
      <c r="V21" s="495"/>
      <c r="W21" s="495"/>
      <c r="X21" s="495"/>
      <c r="Y21" s="495"/>
      <c r="Z21" s="962">
        <f>ROUND(SUM(B21:X21),0)</f>
        <v>30876</v>
      </c>
    </row>
    <row r="22" spans="1:28" ht="15" customHeight="1">
      <c r="A22" s="354" t="s">
        <v>1345</v>
      </c>
      <c r="B22" s="495">
        <v>970635</v>
      </c>
      <c r="C22" s="495"/>
      <c r="D22" s="495">
        <v>148312</v>
      </c>
      <c r="E22" s="495"/>
      <c r="F22" s="495">
        <v>41991</v>
      </c>
      <c r="G22" s="495"/>
      <c r="H22" s="495">
        <v>2500000</v>
      </c>
      <c r="I22" s="495"/>
      <c r="J22" s="495">
        <v>355000</v>
      </c>
      <c r="K22" s="495"/>
      <c r="L22" s="495">
        <v>2111169</v>
      </c>
      <c r="M22" s="493"/>
      <c r="N22" s="495">
        <v>1054739</v>
      </c>
      <c r="O22" s="495"/>
      <c r="P22" s="495">
        <v>3545022</v>
      </c>
      <c r="Q22" s="495"/>
      <c r="R22" s="495"/>
      <c r="S22" s="495"/>
      <c r="T22" s="495"/>
      <c r="U22" s="495"/>
      <c r="V22" s="495"/>
      <c r="W22" s="495"/>
      <c r="X22" s="495"/>
      <c r="Y22" s="495"/>
      <c r="Z22" s="962">
        <f t="shared" ref="Z22:Z25" si="0">ROUND(SUM(B22:X22),0)</f>
        <v>10726868</v>
      </c>
      <c r="AB22" s="886"/>
    </row>
    <row r="23" spans="1:28" ht="15" customHeight="1">
      <c r="A23" s="354" t="s">
        <v>1479</v>
      </c>
      <c r="B23" s="495">
        <v>0</v>
      </c>
      <c r="C23" s="495"/>
      <c r="D23" s="495">
        <v>0</v>
      </c>
      <c r="E23" s="495"/>
      <c r="F23" s="495">
        <v>0</v>
      </c>
      <c r="G23" s="495"/>
      <c r="H23" s="495">
        <v>0</v>
      </c>
      <c r="I23" s="495"/>
      <c r="J23" s="495">
        <v>0</v>
      </c>
      <c r="K23" s="495"/>
      <c r="L23" s="495">
        <v>0</v>
      </c>
      <c r="M23" s="493"/>
      <c r="N23" s="495">
        <v>0</v>
      </c>
      <c r="O23" s="495"/>
      <c r="P23" s="495">
        <v>0</v>
      </c>
      <c r="Q23" s="495"/>
      <c r="R23" s="495"/>
      <c r="S23" s="495"/>
      <c r="T23" s="495"/>
      <c r="U23" s="495"/>
      <c r="V23" s="495"/>
      <c r="W23" s="495"/>
      <c r="X23" s="495"/>
      <c r="Y23" s="495"/>
      <c r="Z23" s="962">
        <f t="shared" si="0"/>
        <v>0</v>
      </c>
      <c r="AB23" s="886"/>
    </row>
    <row r="24" spans="1:28" ht="15" customHeight="1">
      <c r="A24" s="354" t="s">
        <v>1346</v>
      </c>
      <c r="B24" s="495">
        <v>0</v>
      </c>
      <c r="C24" s="495"/>
      <c r="D24" s="495">
        <v>0</v>
      </c>
      <c r="E24" s="495"/>
      <c r="F24" s="495">
        <v>0</v>
      </c>
      <c r="G24" s="495"/>
      <c r="H24" s="495">
        <v>0</v>
      </c>
      <c r="I24" s="495"/>
      <c r="J24" s="495">
        <v>0</v>
      </c>
      <c r="K24" s="495"/>
      <c r="L24" s="495">
        <v>0</v>
      </c>
      <c r="M24" s="493"/>
      <c r="N24" s="495">
        <v>0</v>
      </c>
      <c r="O24" s="495"/>
      <c r="P24" s="495">
        <v>0</v>
      </c>
      <c r="Q24" s="495"/>
      <c r="R24" s="495"/>
      <c r="S24" s="495"/>
      <c r="T24" s="495"/>
      <c r="U24" s="495"/>
      <c r="V24" s="495"/>
      <c r="W24" s="495"/>
      <c r="X24" s="495"/>
      <c r="Y24" s="495"/>
      <c r="Z24" s="962">
        <f t="shared" si="0"/>
        <v>0</v>
      </c>
    </row>
    <row r="25" spans="1:28" ht="15" customHeight="1">
      <c r="A25" s="354" t="s">
        <v>1347</v>
      </c>
      <c r="B25" s="495">
        <v>0</v>
      </c>
      <c r="C25" s="495"/>
      <c r="D25" s="495">
        <v>0</v>
      </c>
      <c r="E25" s="495"/>
      <c r="F25" s="495">
        <v>0</v>
      </c>
      <c r="G25" s="495"/>
      <c r="H25" s="495">
        <v>0</v>
      </c>
      <c r="I25" s="495"/>
      <c r="J25" s="495">
        <v>0</v>
      </c>
      <c r="K25" s="495"/>
      <c r="L25" s="495">
        <v>0</v>
      </c>
      <c r="M25" s="493"/>
      <c r="N25" s="495">
        <v>0</v>
      </c>
      <c r="O25" s="495"/>
      <c r="P25" s="495">
        <v>0</v>
      </c>
      <c r="Q25" s="495"/>
      <c r="R25" s="495"/>
      <c r="S25" s="495"/>
      <c r="T25" s="495"/>
      <c r="U25" s="495"/>
      <c r="V25" s="495"/>
      <c r="W25" s="495"/>
      <c r="X25" s="495"/>
      <c r="Y25" s="495"/>
      <c r="Z25" s="962">
        <f t="shared" si="0"/>
        <v>0</v>
      </c>
    </row>
    <row r="26" spans="1:28" ht="15" customHeight="1">
      <c r="A26" s="354" t="s">
        <v>1348</v>
      </c>
      <c r="B26" s="495">
        <v>0</v>
      </c>
      <c r="C26" s="495"/>
      <c r="D26" s="495">
        <v>18401</v>
      </c>
      <c r="E26" s="495"/>
      <c r="F26" s="495">
        <v>0</v>
      </c>
      <c r="G26" s="495"/>
      <c r="H26" s="495">
        <v>0</v>
      </c>
      <c r="I26" s="495"/>
      <c r="J26" s="495">
        <v>0</v>
      </c>
      <c r="K26" s="495"/>
      <c r="L26" s="495">
        <v>1349</v>
      </c>
      <c r="M26" s="493"/>
      <c r="N26" s="495">
        <v>6845</v>
      </c>
      <c r="O26" s="495"/>
      <c r="P26" s="495">
        <v>3377</v>
      </c>
      <c r="Q26" s="495"/>
      <c r="R26" s="495"/>
      <c r="S26" s="495"/>
      <c r="T26" s="495"/>
      <c r="U26" s="495"/>
      <c r="V26" s="495"/>
      <c r="W26" s="495"/>
      <c r="X26" s="495"/>
      <c r="Y26" s="495"/>
      <c r="Z26" s="962">
        <f>ROUND(SUM(B26:X26),0)</f>
        <v>29972</v>
      </c>
    </row>
    <row r="27" spans="1:28" ht="14.85" customHeight="1">
      <c r="A27" s="354" t="s">
        <v>1349</v>
      </c>
      <c r="B27" s="495">
        <v>1254000</v>
      </c>
      <c r="C27" s="495"/>
      <c r="D27" s="495">
        <v>1996600</v>
      </c>
      <c r="E27" s="495"/>
      <c r="F27" s="495">
        <v>735936</v>
      </c>
      <c r="G27" s="495"/>
      <c r="H27" s="495">
        <v>96438</v>
      </c>
      <c r="I27" s="495"/>
      <c r="J27" s="495">
        <v>145327</v>
      </c>
      <c r="K27" s="495"/>
      <c r="L27" s="495">
        <v>778540</v>
      </c>
      <c r="M27" s="493"/>
      <c r="N27" s="495">
        <v>846848</v>
      </c>
      <c r="O27" s="495"/>
      <c r="P27" s="495">
        <v>0</v>
      </c>
      <c r="Q27" s="495"/>
      <c r="R27" s="495"/>
      <c r="S27" s="495"/>
      <c r="T27" s="495"/>
      <c r="U27" s="495"/>
      <c r="V27" s="495"/>
      <c r="W27" s="495"/>
      <c r="X27" s="495"/>
      <c r="Y27" s="495"/>
      <c r="Z27" s="962">
        <f t="shared" ref="Z27:Z31" si="1">ROUND(SUM(B27:X27),0)</f>
        <v>5853689</v>
      </c>
    </row>
    <row r="28" spans="1:28" ht="14.85" customHeight="1">
      <c r="A28" s="354" t="s">
        <v>1350</v>
      </c>
      <c r="B28" s="495">
        <v>816211</v>
      </c>
      <c r="C28" s="495"/>
      <c r="D28" s="495">
        <v>40905</v>
      </c>
      <c r="E28" s="495"/>
      <c r="F28" s="495">
        <v>486831</v>
      </c>
      <c r="G28" s="495"/>
      <c r="H28" s="495">
        <v>0</v>
      </c>
      <c r="I28" s="495"/>
      <c r="J28" s="495">
        <v>0</v>
      </c>
      <c r="K28" s="495"/>
      <c r="L28" s="495">
        <v>1060372</v>
      </c>
      <c r="M28" s="493"/>
      <c r="N28" s="495">
        <v>0</v>
      </c>
      <c r="O28" s="495"/>
      <c r="P28" s="495">
        <v>1386843</v>
      </c>
      <c r="Q28" s="495"/>
      <c r="R28" s="495"/>
      <c r="S28" s="495"/>
      <c r="T28" s="495"/>
      <c r="U28" s="495"/>
      <c r="V28" s="495"/>
      <c r="W28" s="495"/>
      <c r="X28" s="495"/>
      <c r="Y28" s="495"/>
      <c r="Z28" s="962">
        <f t="shared" si="1"/>
        <v>3791162</v>
      </c>
    </row>
    <row r="29" spans="1:28" ht="14.85" customHeight="1">
      <c r="A29" s="354" t="s">
        <v>1411</v>
      </c>
      <c r="B29" s="495">
        <v>0</v>
      </c>
      <c r="C29" s="495"/>
      <c r="D29" s="495">
        <v>0</v>
      </c>
      <c r="E29" s="495"/>
      <c r="F29" s="495">
        <v>48425000</v>
      </c>
      <c r="G29" s="495"/>
      <c r="H29" s="495">
        <v>0</v>
      </c>
      <c r="I29" s="495"/>
      <c r="J29" s="495">
        <v>0</v>
      </c>
      <c r="K29" s="495"/>
      <c r="L29" s="495">
        <v>14735000</v>
      </c>
      <c r="M29" s="493"/>
      <c r="N29" s="495">
        <v>0</v>
      </c>
      <c r="O29" s="495"/>
      <c r="P29" s="495">
        <v>0</v>
      </c>
      <c r="Q29" s="495"/>
      <c r="R29" s="495"/>
      <c r="S29" s="495"/>
      <c r="T29" s="495"/>
      <c r="U29" s="495"/>
      <c r="V29" s="495"/>
      <c r="W29" s="495"/>
      <c r="X29" s="495"/>
      <c r="Y29" s="495"/>
      <c r="Z29" s="962">
        <f t="shared" si="1"/>
        <v>63160000</v>
      </c>
    </row>
    <row r="30" spans="1:28" ht="14.85" customHeight="1">
      <c r="A30" s="354" t="s">
        <v>1412</v>
      </c>
      <c r="B30" s="495">
        <v>0</v>
      </c>
      <c r="C30" s="495"/>
      <c r="D30" s="495">
        <v>0</v>
      </c>
      <c r="E30" s="495"/>
      <c r="F30" s="495">
        <v>0</v>
      </c>
      <c r="G30" s="495"/>
      <c r="H30" s="495">
        <v>0</v>
      </c>
      <c r="I30" s="495"/>
      <c r="J30" s="495">
        <v>0</v>
      </c>
      <c r="K30" s="495"/>
      <c r="L30" s="495">
        <v>0</v>
      </c>
      <c r="M30" s="493"/>
      <c r="N30" s="495">
        <v>0</v>
      </c>
      <c r="O30" s="495"/>
      <c r="P30" s="495">
        <v>0</v>
      </c>
      <c r="Q30" s="495"/>
      <c r="R30" s="495"/>
      <c r="S30" s="495"/>
      <c r="T30" s="495"/>
      <c r="U30" s="495"/>
      <c r="V30" s="495"/>
      <c r="W30" s="495"/>
      <c r="X30" s="495"/>
      <c r="Y30" s="495"/>
      <c r="Z30" s="962">
        <f t="shared" si="1"/>
        <v>0</v>
      </c>
    </row>
    <row r="31" spans="1:28" ht="15" customHeight="1">
      <c r="A31" s="354" t="s">
        <v>1351</v>
      </c>
      <c r="B31" s="495">
        <v>0</v>
      </c>
      <c r="C31" s="495"/>
      <c r="D31" s="495">
        <v>0</v>
      </c>
      <c r="E31" s="495"/>
      <c r="F31" s="495">
        <v>0</v>
      </c>
      <c r="G31" s="495"/>
      <c r="H31" s="495">
        <v>-3021</v>
      </c>
      <c r="I31" s="495"/>
      <c r="J31" s="495">
        <v>0</v>
      </c>
      <c r="K31" s="495"/>
      <c r="L31" s="495">
        <v>0</v>
      </c>
      <c r="M31" s="493"/>
      <c r="N31" s="495">
        <v>0</v>
      </c>
      <c r="O31" s="495"/>
      <c r="P31" s="495">
        <v>0</v>
      </c>
      <c r="Q31" s="495"/>
      <c r="R31" s="495"/>
      <c r="S31" s="495"/>
      <c r="T31" s="495"/>
      <c r="U31" s="495"/>
      <c r="V31" s="495"/>
      <c r="W31" s="495"/>
      <c r="X31" s="495"/>
      <c r="Y31" s="495"/>
      <c r="Z31" s="496">
        <f t="shared" si="1"/>
        <v>-3021</v>
      </c>
    </row>
    <row r="32" spans="1:28" ht="15" customHeight="1">
      <c r="A32" s="354" t="s">
        <v>1352</v>
      </c>
      <c r="B32" s="495">
        <v>0</v>
      </c>
      <c r="C32" s="495"/>
      <c r="D32" s="495">
        <v>13152</v>
      </c>
      <c r="E32" s="495"/>
      <c r="F32" s="495">
        <v>0</v>
      </c>
      <c r="G32" s="495"/>
      <c r="H32" s="495">
        <v>653</v>
      </c>
      <c r="I32" s="495"/>
      <c r="J32" s="495">
        <v>30817</v>
      </c>
      <c r="K32" s="495"/>
      <c r="L32" s="495">
        <v>911199</v>
      </c>
      <c r="M32" s="493"/>
      <c r="N32" s="495">
        <v>437</v>
      </c>
      <c r="O32" s="495"/>
      <c r="P32" s="495">
        <v>0</v>
      </c>
      <c r="Q32" s="495"/>
      <c r="R32" s="495"/>
      <c r="S32" s="495"/>
      <c r="T32" s="495"/>
      <c r="U32" s="495"/>
      <c r="V32" s="495"/>
      <c r="W32" s="495"/>
      <c r="X32" s="495"/>
      <c r="Y32" s="495"/>
      <c r="Z32" s="496">
        <f t="shared" ref="Z32" si="2">ROUND(SUM(B32:X32),0)</f>
        <v>956258</v>
      </c>
    </row>
    <row r="33" spans="1:28" ht="15" customHeight="1">
      <c r="A33" s="354" t="s">
        <v>1353</v>
      </c>
      <c r="B33" s="495">
        <v>2590658</v>
      </c>
      <c r="C33" s="495"/>
      <c r="D33" s="495">
        <v>1773651</v>
      </c>
      <c r="E33" s="495"/>
      <c r="F33" s="495">
        <v>1736657</v>
      </c>
      <c r="G33" s="495"/>
      <c r="H33" s="495">
        <v>99559</v>
      </c>
      <c r="I33" s="495"/>
      <c r="J33" s="495">
        <v>2801795</v>
      </c>
      <c r="K33" s="495"/>
      <c r="L33" s="495">
        <v>343065</v>
      </c>
      <c r="M33" s="493"/>
      <c r="N33" s="495">
        <v>7293835</v>
      </c>
      <c r="O33" s="495"/>
      <c r="P33" s="495">
        <v>263546</v>
      </c>
      <c r="Q33" s="495"/>
      <c r="R33" s="495"/>
      <c r="S33" s="495"/>
      <c r="T33" s="495"/>
      <c r="U33" s="495"/>
      <c r="V33" s="495"/>
      <c r="W33" s="495"/>
      <c r="X33" s="495"/>
      <c r="Y33" s="495"/>
      <c r="Z33" s="496">
        <f>ROUND(SUM(B33:X33),0)</f>
        <v>16902766</v>
      </c>
    </row>
    <row r="34" spans="1:28" ht="15" customHeight="1">
      <c r="A34" s="354" t="s">
        <v>1460</v>
      </c>
      <c r="B34" s="495">
        <v>0</v>
      </c>
      <c r="C34" s="495"/>
      <c r="D34" s="495">
        <v>0</v>
      </c>
      <c r="E34" s="495"/>
      <c r="F34" s="495">
        <v>0</v>
      </c>
      <c r="G34" s="495"/>
      <c r="H34" s="495">
        <v>0</v>
      </c>
      <c r="I34" s="495"/>
      <c r="J34" s="495">
        <v>0</v>
      </c>
      <c r="K34" s="495"/>
      <c r="L34" s="495">
        <v>0</v>
      </c>
      <c r="M34" s="493"/>
      <c r="N34" s="495">
        <v>0</v>
      </c>
      <c r="O34" s="495"/>
      <c r="P34" s="495">
        <v>0</v>
      </c>
      <c r="Q34" s="495"/>
      <c r="R34" s="495"/>
      <c r="S34" s="495"/>
      <c r="T34" s="495"/>
      <c r="U34" s="495"/>
      <c r="V34" s="495"/>
      <c r="W34" s="495"/>
      <c r="X34" s="495"/>
      <c r="Y34" s="495"/>
      <c r="Z34" s="496">
        <f>ROUND(SUM(B34:X34),0)</f>
        <v>0</v>
      </c>
    </row>
    <row r="35" spans="1:28" ht="15" customHeight="1">
      <c r="A35" s="354" t="s">
        <v>1354</v>
      </c>
      <c r="B35" s="495">
        <v>1344542</v>
      </c>
      <c r="C35" s="495"/>
      <c r="D35" s="495">
        <v>3094621</v>
      </c>
      <c r="E35" s="495"/>
      <c r="F35" s="495">
        <v>1069000</v>
      </c>
      <c r="G35" s="495"/>
      <c r="H35" s="495">
        <v>500000</v>
      </c>
      <c r="I35" s="495"/>
      <c r="J35" s="495">
        <v>1602118</v>
      </c>
      <c r="K35" s="495"/>
      <c r="L35" s="495">
        <v>10698267</v>
      </c>
      <c r="M35" s="493"/>
      <c r="N35" s="495">
        <v>1330982</v>
      </c>
      <c r="O35" s="495"/>
      <c r="P35" s="495">
        <v>2163011</v>
      </c>
      <c r="Q35" s="495"/>
      <c r="R35" s="495"/>
      <c r="S35" s="495"/>
      <c r="T35" s="495"/>
      <c r="U35" s="495"/>
      <c r="V35" s="495"/>
      <c r="W35" s="495"/>
      <c r="X35" s="495"/>
      <c r="Y35" s="495"/>
      <c r="Z35" s="496">
        <f>ROUND(SUM(B35:X35),0)</f>
        <v>21802541</v>
      </c>
    </row>
    <row r="36" spans="1:28" ht="22.5" customHeight="1">
      <c r="A36" s="187" t="s">
        <v>460</v>
      </c>
      <c r="B36" s="600">
        <f>ROUND(SUM(B20:B35),0)</f>
        <v>7006922</v>
      </c>
      <c r="C36" s="495"/>
      <c r="D36" s="600">
        <f>ROUND(SUM(D20:D35),0)</f>
        <v>7085642</v>
      </c>
      <c r="E36" s="495"/>
      <c r="F36" s="600">
        <f>ROUND(SUM(F20:F35),0)</f>
        <v>52495415</v>
      </c>
      <c r="G36" s="495"/>
      <c r="H36" s="600">
        <f>ROUND(SUM(H20:H35),0)</f>
        <v>3193629</v>
      </c>
      <c r="I36" s="495"/>
      <c r="J36" s="600">
        <f>ROUND(SUM(J20:J35),0)</f>
        <v>4935057</v>
      </c>
      <c r="K36" s="495"/>
      <c r="L36" s="600">
        <f>ROUND(SUM(L20:L35),0)</f>
        <v>30638961</v>
      </c>
      <c r="M36" s="493"/>
      <c r="N36" s="600">
        <f>ROUND(SUM(N20:N35),0)</f>
        <v>10533686</v>
      </c>
      <c r="O36" s="495"/>
      <c r="P36" s="600">
        <f>ROUND(SUM(P20:P35),0)</f>
        <v>7361799</v>
      </c>
      <c r="Q36" s="495"/>
      <c r="R36" s="600">
        <f>ROUND(SUM(R20:R35),0)</f>
        <v>0</v>
      </c>
      <c r="S36" s="495"/>
      <c r="T36" s="600">
        <f>ROUND(SUM(T20:T35),0)</f>
        <v>0</v>
      </c>
      <c r="U36" s="495"/>
      <c r="V36" s="600">
        <f>ROUND(SUM(V20:V35),0)</f>
        <v>0</v>
      </c>
      <c r="W36" s="495"/>
      <c r="X36" s="600">
        <f>ROUND(SUM(X20:X35),0)</f>
        <v>0</v>
      </c>
      <c r="Y36" s="495"/>
      <c r="Z36" s="600">
        <f>ROUND(SUM(Z20:Z35),0)</f>
        <v>123251111</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945</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947</v>
      </c>
      <c r="B39" s="495">
        <v>0</v>
      </c>
      <c r="C39" s="497"/>
      <c r="D39" s="495">
        <v>0</v>
      </c>
      <c r="E39" s="495"/>
      <c r="F39" s="495">
        <v>0</v>
      </c>
      <c r="G39" s="495"/>
      <c r="H39" s="495">
        <v>0</v>
      </c>
      <c r="I39" s="495"/>
      <c r="J39" s="499">
        <v>0</v>
      </c>
      <c r="K39" s="495"/>
      <c r="L39" s="495">
        <v>0</v>
      </c>
      <c r="M39" s="493"/>
      <c r="N39" s="495">
        <v>0</v>
      </c>
      <c r="O39" s="495"/>
      <c r="P39" s="495">
        <v>0</v>
      </c>
      <c r="Q39" s="495"/>
      <c r="R39" s="495"/>
      <c r="S39" s="495"/>
      <c r="T39" s="495"/>
      <c r="U39" s="495"/>
      <c r="V39" s="495"/>
      <c r="W39" s="495"/>
      <c r="X39" s="495"/>
      <c r="Y39" s="495"/>
      <c r="Z39" s="496">
        <f>ROUND(SUM(B39:X39),0)</f>
        <v>0</v>
      </c>
    </row>
    <row r="40" spans="1:28" ht="22.5" customHeight="1">
      <c r="A40" s="187" t="s">
        <v>952</v>
      </c>
      <c r="B40" s="607">
        <f>ROUND(SUM(B39:B39),0)</f>
        <v>0</v>
      </c>
      <c r="C40" s="497"/>
      <c r="D40" s="607">
        <f>ROUND(SUM(D39:D39),0)</f>
        <v>0</v>
      </c>
      <c r="E40" s="495"/>
      <c r="F40" s="607">
        <f>ROUND(SUM(F39:F39),0)</f>
        <v>0</v>
      </c>
      <c r="G40" s="495"/>
      <c r="H40" s="607">
        <f>ROUND(SUM(H39:H39),0)</f>
        <v>0</v>
      </c>
      <c r="I40" s="495"/>
      <c r="J40" s="607">
        <f>ROUND(SUM(J39:J39),0)</f>
        <v>0</v>
      </c>
      <c r="K40" s="495"/>
      <c r="L40" s="607">
        <f>ROUND(SUM(L39:L39),0)</f>
        <v>0</v>
      </c>
      <c r="M40" s="493"/>
      <c r="N40" s="607">
        <f>ROUND(SUM(N39:N39),0)</f>
        <v>0</v>
      </c>
      <c r="O40" s="495"/>
      <c r="P40" s="607">
        <f>ROUND(SUM(P39:P39),0)</f>
        <v>0</v>
      </c>
      <c r="Q40" s="495"/>
      <c r="R40" s="607">
        <f>ROUND(SUM(R39:R39),0)</f>
        <v>0</v>
      </c>
      <c r="S40" s="495"/>
      <c r="T40" s="607">
        <f>ROUND(SUM(T39:T39),0)</f>
        <v>0</v>
      </c>
      <c r="U40" s="495"/>
      <c r="V40" s="607">
        <f>ROUND(SUM(V39:V39),0)</f>
        <v>0</v>
      </c>
      <c r="W40" s="495"/>
      <c r="X40" s="607">
        <f>ROUND(SUM(X39:X39),0)</f>
        <v>0</v>
      </c>
      <c r="Y40" s="495"/>
      <c r="Z40" s="607">
        <f>ROUND(SUM(Z39:Z39),0)</f>
        <v>0</v>
      </c>
    </row>
    <row r="41" spans="1:28" ht="15" customHeight="1">
      <c r="B41" s="621"/>
      <c r="C41" s="497"/>
      <c r="D41" s="621"/>
      <c r="E41" s="495"/>
      <c r="F41" s="621"/>
      <c r="G41" s="495"/>
      <c r="H41" s="621"/>
      <c r="I41" s="495"/>
      <c r="J41" s="621"/>
      <c r="K41" s="495"/>
      <c r="L41" s="621"/>
      <c r="M41" s="493"/>
      <c r="N41" s="621"/>
      <c r="O41" s="495"/>
      <c r="P41" s="621"/>
      <c r="Q41" s="495"/>
      <c r="R41" s="621"/>
      <c r="S41" s="495"/>
      <c r="T41" s="621"/>
      <c r="U41" s="495"/>
      <c r="V41" s="621"/>
      <c r="W41" s="495"/>
      <c r="X41" s="621"/>
      <c r="Y41" s="495"/>
      <c r="Z41" s="1110"/>
    </row>
    <row r="42" spans="1:28" s="186" customFormat="1" ht="20.25" customHeight="1">
      <c r="A42" s="187" t="s">
        <v>953</v>
      </c>
      <c r="B42" s="1103">
        <f>ROUND(B36+B40,0)</f>
        <v>7006922</v>
      </c>
      <c r="C42" s="188"/>
      <c r="D42" s="1103">
        <f>ROUND(D36+D40,0)</f>
        <v>7085642</v>
      </c>
      <c r="E42" s="188"/>
      <c r="F42" s="1103">
        <f>ROUND(F36+F40,0)</f>
        <v>52495415</v>
      </c>
      <c r="G42" s="188"/>
      <c r="H42" s="1103">
        <f>ROUND(H36+H40,0)</f>
        <v>3193629</v>
      </c>
      <c r="I42" s="188"/>
      <c r="J42" s="1858">
        <f>ROUND(J36+J40,0)</f>
        <v>4935057</v>
      </c>
      <c r="K42" s="188"/>
      <c r="L42" s="1103">
        <f>ROUND(L36+L40,0)</f>
        <v>30638961</v>
      </c>
      <c r="M42" s="183"/>
      <c r="N42" s="1103">
        <f>ROUND(N36+N40,0)</f>
        <v>10533686</v>
      </c>
      <c r="O42" s="188"/>
      <c r="P42" s="1103">
        <f>ROUND(P36+P40,0)</f>
        <v>7361799</v>
      </c>
      <c r="Q42" s="188"/>
      <c r="R42" s="1103">
        <f>ROUND(R36+R40,0)</f>
        <v>0</v>
      </c>
      <c r="S42" s="188"/>
      <c r="T42" s="1103">
        <f>ROUND(T36+T40,0)</f>
        <v>0</v>
      </c>
      <c r="U42" s="188"/>
      <c r="V42" s="1103">
        <f>ROUND(V36+V40,0)</f>
        <v>0</v>
      </c>
      <c r="W42" s="188"/>
      <c r="X42" s="1103">
        <f>ROUND(X36+X40,0)</f>
        <v>0</v>
      </c>
      <c r="Y42" s="188"/>
      <c r="Z42" s="1103">
        <f>ROUND(Z36+Z40,0)</f>
        <v>123251111</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row>
    <row r="44" spans="1:28" s="186" customFormat="1" ht="20.25" customHeight="1" thickBot="1">
      <c r="A44" s="189" t="s">
        <v>954</v>
      </c>
      <c r="B44" s="833">
        <f>ROUND(B12+B17-B42,0)</f>
        <v>122788556</v>
      </c>
      <c r="C44" s="185"/>
      <c r="D44" s="833">
        <f>ROUND(D12+D17-D42,0)</f>
        <v>115702914</v>
      </c>
      <c r="E44" s="491"/>
      <c r="F44" s="833">
        <f>ROUND(F12+F17-F42,0)</f>
        <v>63207499</v>
      </c>
      <c r="G44" s="491"/>
      <c r="H44" s="833">
        <f>ROUND(H12+H17-H42,0)</f>
        <v>120013870</v>
      </c>
      <c r="I44" s="959"/>
      <c r="J44" s="1859">
        <f>ROUND(J12+J17-J42,0)</f>
        <v>115078813</v>
      </c>
      <c r="K44" s="960"/>
      <c r="L44" s="833">
        <f>ROUND(L12+L17-L42,0)</f>
        <v>84439852</v>
      </c>
      <c r="M44" s="961"/>
      <c r="N44" s="833">
        <f>ROUND(N12+N17-N42,0)</f>
        <v>73906166</v>
      </c>
      <c r="O44" s="960"/>
      <c r="P44" s="833">
        <f>ROUND(P12+P17-P42,0)</f>
        <v>66544367</v>
      </c>
      <c r="Q44" s="960"/>
      <c r="R44" s="833">
        <f>ROUND(R12+R17-R42,0)</f>
        <v>0</v>
      </c>
      <c r="S44" s="960"/>
      <c r="T44" s="833">
        <f>ROUND(T12+T17-T42,0)</f>
        <v>0</v>
      </c>
      <c r="U44" s="960"/>
      <c r="V44" s="833">
        <f>ROUND(V12+V17-V42,0)</f>
        <v>0</v>
      </c>
      <c r="W44" s="960"/>
      <c r="X44" s="833">
        <f>ROUND(X12+X17-X42,0)</f>
        <v>0</v>
      </c>
      <c r="Y44" s="960"/>
      <c r="Z44" s="1111">
        <f>ROUND(Z12+Z17-Z42,0)</f>
        <v>66544367</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00000000000001"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1355</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00000000000001" customHeight="1">
      <c r="A49" s="570" t="s">
        <v>1356</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00000000000001"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00000000000001"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00000000000001"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00000000000001"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00000000000001"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00000000000001"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90" zoomScaleNormal="90" workbookViewId="0"/>
  </sheetViews>
  <sheetFormatPr defaultColWidth="8.88671875" defaultRowHeight="17.25" customHeight="1"/>
  <cols>
    <col min="1" max="1" width="56.109375" style="1300" customWidth="1"/>
    <col min="2" max="2" width="2.109375" style="1299" customWidth="1"/>
    <col min="3" max="4" width="24" style="1300" customWidth="1"/>
    <col min="5" max="5" width="24" style="2010" customWidth="1"/>
    <col min="6" max="6" width="2" style="1300" customWidth="1"/>
    <col min="7" max="7" width="24" style="1931" customWidth="1"/>
    <col min="8" max="9" width="24" style="1299" customWidth="1"/>
    <col min="10" max="10" width="20" style="1299" customWidth="1"/>
    <col min="11" max="11" width="20.109375" style="1299" customWidth="1"/>
    <col min="12" max="12" width="8.88671875" style="1299"/>
    <col min="13" max="13" width="18.5546875" style="1299" customWidth="1"/>
    <col min="14" max="14" width="16.44140625" style="1299" customWidth="1"/>
    <col min="15" max="16384" width="8.88671875" style="1299"/>
  </cols>
  <sheetData>
    <row r="1" spans="1:14" ht="17.25" customHeight="1">
      <c r="A1" s="270" t="s">
        <v>97</v>
      </c>
    </row>
    <row r="3" spans="1:14" ht="25.35" customHeight="1">
      <c r="A3" s="1302" t="s">
        <v>98</v>
      </c>
      <c r="C3" s="1932"/>
      <c r="D3" s="1932"/>
      <c r="E3" s="2011"/>
      <c r="F3" s="1932"/>
      <c r="H3" s="1933" t="s">
        <v>103</v>
      </c>
      <c r="I3" s="1934" t="s">
        <v>1357</v>
      </c>
    </row>
    <row r="4" spans="1:14" ht="25.35" customHeight="1">
      <c r="A4" s="1302" t="s">
        <v>1358</v>
      </c>
      <c r="C4" s="1932"/>
      <c r="D4" s="1932"/>
      <c r="E4" s="2011"/>
      <c r="F4" s="1932"/>
    </row>
    <row r="5" spans="1:14" ht="21" customHeight="1">
      <c r="A5" s="1303" t="str">
        <f>'Cashflow Governmental'!A6</f>
        <v>FISCAL YEAR 2025-2026</v>
      </c>
      <c r="C5" s="1932"/>
      <c r="D5" s="1932"/>
      <c r="E5" s="2011"/>
      <c r="F5" s="1932"/>
    </row>
    <row r="6" spans="1:14" ht="17.25" customHeight="1">
      <c r="A6" s="1304"/>
      <c r="C6" s="1932"/>
      <c r="D6" s="1932"/>
      <c r="E6" s="2011"/>
      <c r="F6" s="1932"/>
    </row>
    <row r="7" spans="1:14" ht="17.25" customHeight="1">
      <c r="A7" s="1305"/>
      <c r="B7" s="1306"/>
      <c r="C7" s="2120" t="str">
        <f>Footnotes!$O$3</f>
        <v>NOVEMBER 2025</v>
      </c>
      <c r="D7" s="2120"/>
      <c r="E7" s="2120"/>
      <c r="F7" s="1935"/>
      <c r="G7" s="2121" t="str">
        <f>UPPER('Cashflow Governmental'!$AB$12)</f>
        <v>8 MONTHS ENDED NOVEMBER 30</v>
      </c>
      <c r="H7" s="2121"/>
      <c r="I7" s="2121"/>
    </row>
    <row r="8" spans="1:14" ht="17.25" customHeight="1">
      <c r="A8" s="1305"/>
      <c r="B8" s="1306"/>
      <c r="C8" s="1305"/>
      <c r="D8" s="1305"/>
      <c r="E8" s="1305"/>
      <c r="F8" s="1305"/>
      <c r="G8" s="1936"/>
      <c r="H8" s="1306"/>
      <c r="I8" s="1306"/>
    </row>
    <row r="9" spans="1:14" ht="17.25" customHeight="1">
      <c r="A9" s="1307"/>
      <c r="B9" s="1306"/>
      <c r="C9" s="1307" t="s">
        <v>1359</v>
      </c>
      <c r="D9" s="1307" t="s">
        <v>1360</v>
      </c>
      <c r="E9" s="1307" t="str">
        <f>PROPER(_xlfn.TEXTBEFORE(C7," "))</f>
        <v>November</v>
      </c>
      <c r="F9" s="1307"/>
      <c r="G9" s="1307" t="s">
        <v>1359</v>
      </c>
      <c r="H9" s="1307" t="s">
        <v>1360</v>
      </c>
      <c r="I9" s="1937" t="s">
        <v>1361</v>
      </c>
    </row>
    <row r="10" spans="1:14" s="1310" customFormat="1" ht="17.25" customHeight="1">
      <c r="A10" s="946"/>
      <c r="B10" s="1309"/>
      <c r="C10" s="1938"/>
      <c r="D10" s="1938"/>
      <c r="E10" s="1938"/>
      <c r="F10" s="1938"/>
      <c r="G10" s="1939"/>
      <c r="H10" s="1939"/>
      <c r="I10" s="1939"/>
    </row>
    <row r="11" spans="1:14" s="1313" customFormat="1" ht="17.25" customHeight="1">
      <c r="A11" s="1311" t="s">
        <v>1362</v>
      </c>
      <c r="B11" s="1312"/>
      <c r="C11" s="1277">
        <v>0</v>
      </c>
      <c r="D11" s="1277">
        <v>0</v>
      </c>
      <c r="E11" s="947">
        <f>C11+D11</f>
        <v>0</v>
      </c>
      <c r="F11" s="947"/>
      <c r="G11" s="1277">
        <v>0</v>
      </c>
      <c r="H11" s="1277">
        <f>123627126+125856806</f>
        <v>249483932</v>
      </c>
      <c r="I11" s="947">
        <f>G11+H11</f>
        <v>249483932</v>
      </c>
      <c r="J11" s="1869"/>
      <c r="K11" s="1870"/>
      <c r="M11" s="1869"/>
      <c r="N11" s="1870"/>
    </row>
    <row r="12" spans="1:14" s="1313" customFormat="1" ht="17.25" customHeight="1">
      <c r="A12" s="1311" t="s">
        <v>1363</v>
      </c>
      <c r="B12" s="1312"/>
      <c r="C12" s="1278">
        <v>0</v>
      </c>
      <c r="D12" s="2066">
        <v>-529158.12</v>
      </c>
      <c r="E12" s="2067">
        <f>C12+D12</f>
        <v>-529158.12</v>
      </c>
      <c r="F12" s="2067"/>
      <c r="G12" s="1278">
        <v>71534125</v>
      </c>
      <c r="H12" s="2066">
        <v>1138197.870000001</v>
      </c>
      <c r="I12" s="926">
        <f>G12+H12</f>
        <v>72672322.870000005</v>
      </c>
      <c r="J12" s="1869"/>
      <c r="K12" s="1870"/>
      <c r="M12" s="1869"/>
      <c r="N12" s="1870"/>
    </row>
    <row r="13" spans="1:14" s="1313" customFormat="1" ht="17.25" customHeight="1">
      <c r="A13" s="1314" t="s">
        <v>1364</v>
      </c>
      <c r="B13" s="1315"/>
      <c r="C13" s="1278">
        <v>17384432.030000001</v>
      </c>
      <c r="D13" s="2066">
        <v>69974050</v>
      </c>
      <c r="E13" s="2067">
        <f t="shared" ref="E13:E51" si="0">C13+D13</f>
        <v>87358482.030000001</v>
      </c>
      <c r="F13" s="2067"/>
      <c r="G13" s="1278">
        <v>546715325.70000005</v>
      </c>
      <c r="H13" s="2066">
        <v>320869135</v>
      </c>
      <c r="I13" s="926">
        <f t="shared" ref="I13:I51" si="1">G13+H13</f>
        <v>867584460.70000005</v>
      </c>
      <c r="J13" s="1869"/>
      <c r="K13" s="1870"/>
      <c r="M13" s="1869"/>
      <c r="N13" s="1870"/>
    </row>
    <row r="14" spans="1:14" s="1313" customFormat="1" ht="17.25" customHeight="1">
      <c r="A14" s="1314" t="s">
        <v>1467</v>
      </c>
      <c r="B14" s="1315"/>
      <c r="C14" s="1278">
        <v>0</v>
      </c>
      <c r="D14" s="2066">
        <v>0</v>
      </c>
      <c r="E14" s="2067">
        <f t="shared" si="0"/>
        <v>0</v>
      </c>
      <c r="F14" s="2067"/>
      <c r="G14" s="1278">
        <v>0</v>
      </c>
      <c r="H14" s="2066">
        <v>1942890262</v>
      </c>
      <c r="I14" s="926">
        <f t="shared" si="1"/>
        <v>1942890262</v>
      </c>
      <c r="J14" s="1869"/>
      <c r="K14" s="1870"/>
      <c r="M14" s="1869"/>
      <c r="N14" s="1870"/>
    </row>
    <row r="15" spans="1:14" s="1313" customFormat="1" ht="17.25" customHeight="1">
      <c r="A15" s="1311" t="s">
        <v>1482</v>
      </c>
      <c r="B15" s="1312"/>
      <c r="C15" s="1278">
        <v>0</v>
      </c>
      <c r="D15" s="2066">
        <v>0</v>
      </c>
      <c r="E15" s="2067">
        <f t="shared" si="0"/>
        <v>0</v>
      </c>
      <c r="F15" s="2067"/>
      <c r="G15" s="1278">
        <v>0</v>
      </c>
      <c r="H15" s="2066">
        <v>0</v>
      </c>
      <c r="I15" s="926">
        <f t="shared" si="1"/>
        <v>0</v>
      </c>
      <c r="J15" s="1869"/>
      <c r="K15" s="1870"/>
      <c r="M15" s="1869"/>
      <c r="N15" s="1870"/>
    </row>
    <row r="16" spans="1:14" s="1313" customFormat="1" ht="17.25" customHeight="1">
      <c r="A16" s="1311" t="s">
        <v>1365</v>
      </c>
      <c r="B16" s="1312"/>
      <c r="C16" s="1278">
        <v>37362.03</v>
      </c>
      <c r="D16" s="2066">
        <v>0</v>
      </c>
      <c r="E16" s="2067">
        <f t="shared" si="0"/>
        <v>37362.03</v>
      </c>
      <c r="F16" s="2067"/>
      <c r="G16" s="1278">
        <v>7571454.9299999997</v>
      </c>
      <c r="H16" s="2066">
        <v>0</v>
      </c>
      <c r="I16" s="926">
        <f t="shared" si="1"/>
        <v>7571454.9299999997</v>
      </c>
      <c r="J16" s="1869"/>
      <c r="K16" s="1870"/>
      <c r="M16" s="1869"/>
      <c r="N16" s="1870"/>
    </row>
    <row r="17" spans="1:14" s="1313" customFormat="1" ht="17.25" customHeight="1">
      <c r="A17" s="1311" t="s">
        <v>1366</v>
      </c>
      <c r="B17" s="1312"/>
      <c r="C17" s="1278">
        <v>0</v>
      </c>
      <c r="D17" s="2066">
        <v>0</v>
      </c>
      <c r="E17" s="2067">
        <f t="shared" si="0"/>
        <v>0</v>
      </c>
      <c r="F17" s="2067"/>
      <c r="G17" s="1278">
        <v>30500.93</v>
      </c>
      <c r="H17" s="2066">
        <v>0</v>
      </c>
      <c r="I17" s="926">
        <f t="shared" si="1"/>
        <v>30500.93</v>
      </c>
      <c r="J17" s="1869"/>
      <c r="K17" s="1870"/>
      <c r="M17" s="1869"/>
      <c r="N17" s="1870"/>
    </row>
    <row r="18" spans="1:14" s="1313" customFormat="1" ht="17.25" customHeight="1">
      <c r="A18" s="1311" t="s">
        <v>1367</v>
      </c>
      <c r="B18" s="1312"/>
      <c r="C18" s="1278">
        <v>1251350.68</v>
      </c>
      <c r="D18" s="2066">
        <v>0</v>
      </c>
      <c r="E18" s="2067">
        <f t="shared" si="0"/>
        <v>1251350.68</v>
      </c>
      <c r="F18" s="2067"/>
      <c r="G18" s="1278">
        <v>2938334.49</v>
      </c>
      <c r="H18" s="2066">
        <v>0</v>
      </c>
      <c r="I18" s="926">
        <f t="shared" si="1"/>
        <v>2938334.49</v>
      </c>
      <c r="J18" s="1869"/>
      <c r="K18" s="1870"/>
      <c r="M18" s="1869"/>
      <c r="N18" s="1870"/>
    </row>
    <row r="19" spans="1:14" s="1313" customFormat="1" ht="17.25" customHeight="1">
      <c r="A19" s="1311" t="s">
        <v>1483</v>
      </c>
      <c r="B19" s="1312"/>
      <c r="C19" s="1278">
        <v>0</v>
      </c>
      <c r="D19" s="2066">
        <v>0</v>
      </c>
      <c r="E19" s="2067">
        <f t="shared" si="0"/>
        <v>0</v>
      </c>
      <c r="F19" s="2067"/>
      <c r="G19" s="1278">
        <v>0</v>
      </c>
      <c r="H19" s="2066">
        <v>0</v>
      </c>
      <c r="I19" s="926">
        <f t="shared" si="1"/>
        <v>0</v>
      </c>
      <c r="J19" s="1869"/>
      <c r="K19" s="1870"/>
      <c r="M19" s="1869"/>
      <c r="N19" s="1870"/>
    </row>
    <row r="20" spans="1:14" s="1313" customFormat="1" ht="17.25" customHeight="1">
      <c r="A20" s="1311" t="s">
        <v>1368</v>
      </c>
      <c r="B20" s="1312"/>
      <c r="C20" s="1278">
        <v>0</v>
      </c>
      <c r="D20" s="2066">
        <v>504071.17</v>
      </c>
      <c r="E20" s="2067">
        <f t="shared" si="0"/>
        <v>504071.17</v>
      </c>
      <c r="F20" s="2067"/>
      <c r="G20" s="1278">
        <v>0</v>
      </c>
      <c r="H20" s="2066">
        <v>3747596.59</v>
      </c>
      <c r="I20" s="926">
        <f t="shared" si="1"/>
        <v>3747596.59</v>
      </c>
      <c r="J20" s="1869"/>
      <c r="K20" s="1870"/>
      <c r="M20" s="1869"/>
      <c r="N20" s="1870"/>
    </row>
    <row r="21" spans="1:14" s="1313" customFormat="1" ht="17.25" customHeight="1">
      <c r="A21" s="1311" t="s">
        <v>1369</v>
      </c>
      <c r="B21" s="1312"/>
      <c r="C21" s="1278">
        <v>0</v>
      </c>
      <c r="D21" s="2066">
        <v>0</v>
      </c>
      <c r="E21" s="2067">
        <f t="shared" si="0"/>
        <v>0</v>
      </c>
      <c r="F21" s="2067"/>
      <c r="G21" s="1278">
        <v>0</v>
      </c>
      <c r="H21" s="2066">
        <v>0</v>
      </c>
      <c r="I21" s="926">
        <f t="shared" si="1"/>
        <v>0</v>
      </c>
      <c r="J21" s="1869"/>
      <c r="K21" s="1870"/>
      <c r="M21" s="1869"/>
      <c r="N21" s="1870"/>
    </row>
    <row r="22" spans="1:14" s="1313" customFormat="1" ht="17.25" customHeight="1">
      <c r="A22" s="1311" t="s">
        <v>1370</v>
      </c>
      <c r="B22" s="1312"/>
      <c r="C22" s="1278">
        <v>277501.67</v>
      </c>
      <c r="D22" s="2066">
        <v>0</v>
      </c>
      <c r="E22" s="2067">
        <f t="shared" si="0"/>
        <v>277501.67</v>
      </c>
      <c r="F22" s="2067"/>
      <c r="G22" s="1278">
        <v>2002176.07</v>
      </c>
      <c r="H22" s="2066">
        <v>0</v>
      </c>
      <c r="I22" s="926">
        <f t="shared" si="1"/>
        <v>2002176.07</v>
      </c>
      <c r="J22" s="1869"/>
      <c r="K22" s="1870"/>
      <c r="M22" s="1869"/>
      <c r="N22" s="1870"/>
    </row>
    <row r="23" spans="1:14" s="1313" customFormat="1" ht="17.25" customHeight="1">
      <c r="A23" s="1311" t="s">
        <v>1371</v>
      </c>
      <c r="B23" s="1312"/>
      <c r="C23" s="1278">
        <v>487539.64</v>
      </c>
      <c r="D23" s="2066">
        <v>0</v>
      </c>
      <c r="E23" s="2067">
        <f t="shared" si="0"/>
        <v>487539.64</v>
      </c>
      <c r="F23" s="2067"/>
      <c r="G23" s="1278">
        <v>2412147.35</v>
      </c>
      <c r="H23" s="2066">
        <v>0</v>
      </c>
      <c r="I23" s="926">
        <f t="shared" si="1"/>
        <v>2412147.35</v>
      </c>
      <c r="J23" s="1869"/>
      <c r="K23" s="1870"/>
      <c r="M23" s="1869"/>
      <c r="N23" s="1870"/>
    </row>
    <row r="24" spans="1:14" s="1313" customFormat="1" ht="17.25" customHeight="1">
      <c r="A24" s="1311" t="s">
        <v>1372</v>
      </c>
      <c r="B24" s="1312"/>
      <c r="C24" s="1278">
        <v>0</v>
      </c>
      <c r="D24" s="2066">
        <v>0</v>
      </c>
      <c r="E24" s="2067">
        <f t="shared" si="0"/>
        <v>0</v>
      </c>
      <c r="F24" s="2067"/>
      <c r="G24" s="1278">
        <v>432976573</v>
      </c>
      <c r="H24" s="2066">
        <v>0</v>
      </c>
      <c r="I24" s="926">
        <f>G24+H24</f>
        <v>432976573</v>
      </c>
      <c r="J24" s="1869"/>
      <c r="K24" s="1870"/>
      <c r="M24" s="1869"/>
      <c r="N24" s="1870"/>
    </row>
    <row r="25" spans="1:14" s="1313" customFormat="1" ht="17.25" customHeight="1">
      <c r="A25" s="1311" t="s">
        <v>1373</v>
      </c>
      <c r="B25" s="1312"/>
      <c r="C25" s="1278">
        <v>446662.67</v>
      </c>
      <c r="D25" s="2066">
        <v>0</v>
      </c>
      <c r="E25" s="2067">
        <f t="shared" si="0"/>
        <v>446662.67</v>
      </c>
      <c r="F25" s="2067"/>
      <c r="G25" s="1278">
        <v>5767558.1799999997</v>
      </c>
      <c r="H25" s="2066">
        <v>0</v>
      </c>
      <c r="I25" s="926">
        <f>G25+H25</f>
        <v>5767558.1799999997</v>
      </c>
      <c r="J25" s="1869"/>
      <c r="K25" s="1870"/>
      <c r="M25" s="1869"/>
      <c r="N25" s="1870"/>
    </row>
    <row r="26" spans="1:14" s="1313" customFormat="1" ht="17.25" customHeight="1">
      <c r="A26" s="1311" t="s">
        <v>1374</v>
      </c>
      <c r="B26" s="1312"/>
      <c r="C26" s="1278">
        <v>2936436.0300000003</v>
      </c>
      <c r="D26" s="2066">
        <v>0</v>
      </c>
      <c r="E26" s="2067">
        <f t="shared" si="0"/>
        <v>2936436.0300000003</v>
      </c>
      <c r="F26" s="2067"/>
      <c r="G26" s="1278">
        <v>16386858.77</v>
      </c>
      <c r="H26" s="2066">
        <v>0</v>
      </c>
      <c r="I26" s="926">
        <f>G26+H26</f>
        <v>16386858.77</v>
      </c>
      <c r="J26" s="1869"/>
      <c r="K26" s="1870"/>
      <c r="M26" s="1869"/>
      <c r="N26" s="1870"/>
    </row>
    <row r="27" spans="1:14" s="1313" customFormat="1" ht="17.25" customHeight="1">
      <c r="A27" s="1311" t="s">
        <v>1375</v>
      </c>
      <c r="B27" s="1312"/>
      <c r="C27" s="1278">
        <v>2182427.84</v>
      </c>
      <c r="D27" s="2066">
        <v>922477.45000000007</v>
      </c>
      <c r="E27" s="2067">
        <f t="shared" si="0"/>
        <v>3104905.29</v>
      </c>
      <c r="F27" s="2067"/>
      <c r="G27" s="1278">
        <v>29295107.780000001</v>
      </c>
      <c r="H27" s="2066">
        <v>8188447.4900000002</v>
      </c>
      <c r="I27" s="926">
        <f>G27+H27</f>
        <v>37483555.270000003</v>
      </c>
      <c r="J27" s="1869"/>
      <c r="K27" s="1870"/>
      <c r="M27" s="1869"/>
      <c r="N27" s="1870"/>
    </row>
    <row r="28" spans="1:14" s="1313" customFormat="1" ht="17.25" customHeight="1">
      <c r="A28" s="1311" t="s">
        <v>1376</v>
      </c>
      <c r="B28" s="1312"/>
      <c r="C28" s="1278">
        <v>3057506.5</v>
      </c>
      <c r="D28" s="2066">
        <v>0</v>
      </c>
      <c r="E28" s="2067">
        <f t="shared" si="0"/>
        <v>3057506.5</v>
      </c>
      <c r="F28" s="2067"/>
      <c r="G28" s="1278">
        <v>28572989.16</v>
      </c>
      <c r="H28" s="2066">
        <v>0</v>
      </c>
      <c r="I28" s="926">
        <f>G28+H28</f>
        <v>28572989.16</v>
      </c>
      <c r="J28" s="1869"/>
      <c r="K28" s="1870"/>
      <c r="M28" s="1869"/>
      <c r="N28" s="1870"/>
    </row>
    <row r="29" spans="1:14" s="1313" customFormat="1" ht="17.25" customHeight="1">
      <c r="A29" s="1311" t="s">
        <v>1377</v>
      </c>
      <c r="B29" s="1312"/>
      <c r="C29" s="1278">
        <v>81205049.859999999</v>
      </c>
      <c r="D29" s="2066">
        <v>0</v>
      </c>
      <c r="E29" s="2067">
        <f t="shared" si="0"/>
        <v>81205049.859999999</v>
      </c>
      <c r="F29" s="2067"/>
      <c r="G29" s="1278">
        <v>877107431.60000002</v>
      </c>
      <c r="H29" s="2066">
        <v>0</v>
      </c>
      <c r="I29" s="926">
        <f t="shared" si="1"/>
        <v>877107431.60000002</v>
      </c>
      <c r="J29" s="1869"/>
      <c r="K29" s="1870"/>
      <c r="M29" s="1869"/>
      <c r="N29" s="1870"/>
    </row>
    <row r="30" spans="1:14" s="1313" customFormat="1" ht="17.25" customHeight="1">
      <c r="A30" s="1311" t="s">
        <v>1378</v>
      </c>
      <c r="B30" s="1312"/>
      <c r="C30" s="1278">
        <v>67767745.370000005</v>
      </c>
      <c r="D30" s="2066">
        <v>0</v>
      </c>
      <c r="E30" s="2067">
        <f t="shared" si="0"/>
        <v>67767745.370000005</v>
      </c>
      <c r="F30" s="2067"/>
      <c r="G30" s="1278">
        <v>67767745.370000005</v>
      </c>
      <c r="H30" s="2066">
        <v>0</v>
      </c>
      <c r="I30" s="926">
        <f t="shared" si="1"/>
        <v>67767745.370000005</v>
      </c>
      <c r="J30" s="1869"/>
      <c r="K30" s="1870"/>
      <c r="M30" s="1869"/>
      <c r="N30" s="1870"/>
    </row>
    <row r="31" spans="1:14" s="1313" customFormat="1" ht="17.25" customHeight="1">
      <c r="A31" s="1311" t="s">
        <v>1379</v>
      </c>
      <c r="B31" s="1312"/>
      <c r="C31" s="1278">
        <v>17839252.469999999</v>
      </c>
      <c r="D31" s="2066">
        <v>0</v>
      </c>
      <c r="E31" s="2067">
        <f t="shared" si="0"/>
        <v>17839252.469999999</v>
      </c>
      <c r="F31" s="2067"/>
      <c r="G31" s="1278">
        <v>143528231.74000001</v>
      </c>
      <c r="H31" s="2066">
        <v>0</v>
      </c>
      <c r="I31" s="926">
        <f t="shared" si="1"/>
        <v>143528231.74000001</v>
      </c>
      <c r="J31" s="1869"/>
      <c r="K31" s="1870"/>
      <c r="M31" s="1869"/>
      <c r="N31" s="1870"/>
    </row>
    <row r="32" spans="1:14" s="1313" customFormat="1" ht="17.25" customHeight="1">
      <c r="A32" s="1311" t="s">
        <v>1380</v>
      </c>
      <c r="B32" s="1312"/>
      <c r="C32" s="1278">
        <v>29821175.039999999</v>
      </c>
      <c r="D32" s="2066">
        <v>0</v>
      </c>
      <c r="E32" s="2067">
        <f t="shared" si="0"/>
        <v>29821175.039999999</v>
      </c>
      <c r="F32" s="2067"/>
      <c r="G32" s="1278">
        <v>410454193.81</v>
      </c>
      <c r="H32" s="2066">
        <v>0</v>
      </c>
      <c r="I32" s="926">
        <f t="shared" si="1"/>
        <v>410454193.81</v>
      </c>
      <c r="J32" s="1869"/>
      <c r="K32" s="1870"/>
      <c r="M32" s="1869"/>
      <c r="N32" s="1870"/>
    </row>
    <row r="33" spans="1:14" s="1313" customFormat="1" ht="17.25" customHeight="1">
      <c r="A33" s="1311" t="s">
        <v>1381</v>
      </c>
      <c r="B33" s="1312"/>
      <c r="C33" s="1278">
        <v>118323964.45999999</v>
      </c>
      <c r="D33" s="2066">
        <v>0</v>
      </c>
      <c r="E33" s="2067">
        <f t="shared" si="0"/>
        <v>118323964.45999999</v>
      </c>
      <c r="F33" s="2067"/>
      <c r="G33" s="1278">
        <v>1041319838.5700001</v>
      </c>
      <c r="H33" s="2066">
        <v>0</v>
      </c>
      <c r="I33" s="926">
        <f t="shared" si="1"/>
        <v>1041319838.5700001</v>
      </c>
      <c r="J33" s="1869"/>
      <c r="K33" s="1870"/>
      <c r="M33" s="1869"/>
      <c r="N33" s="1870"/>
    </row>
    <row r="34" spans="1:14" s="1313" customFormat="1" ht="17.25" customHeight="1">
      <c r="A34" s="1311" t="s">
        <v>1382</v>
      </c>
      <c r="B34" s="1312"/>
      <c r="C34" s="1278">
        <v>745884499.34000003</v>
      </c>
      <c r="D34" s="2066">
        <v>0</v>
      </c>
      <c r="E34" s="2067">
        <f t="shared" si="0"/>
        <v>745884499.34000003</v>
      </c>
      <c r="F34" s="2067"/>
      <c r="G34" s="1278">
        <v>4061407373.9000001</v>
      </c>
      <c r="H34" s="2066">
        <v>0</v>
      </c>
      <c r="I34" s="926">
        <f t="shared" si="1"/>
        <v>4061407373.9000001</v>
      </c>
      <c r="J34" s="1869"/>
      <c r="K34" s="1870"/>
      <c r="M34" s="1869"/>
      <c r="N34" s="1870"/>
    </row>
    <row r="35" spans="1:14" s="1313" customFormat="1" ht="17.25" customHeight="1">
      <c r="A35" s="1311" t="s">
        <v>1383</v>
      </c>
      <c r="B35" s="1312"/>
      <c r="C35" s="1278">
        <v>518035747.30000001</v>
      </c>
      <c r="D35" s="2066">
        <v>0</v>
      </c>
      <c r="E35" s="2067">
        <f t="shared" si="0"/>
        <v>518035747.30000001</v>
      </c>
      <c r="F35" s="2067"/>
      <c r="G35" s="1278">
        <v>4494229702.1800003</v>
      </c>
      <c r="H35" s="2066">
        <v>0</v>
      </c>
      <c r="I35" s="926">
        <f t="shared" si="1"/>
        <v>4494229702.1800003</v>
      </c>
      <c r="J35" s="1869"/>
      <c r="K35" s="1870"/>
      <c r="M35" s="1869"/>
      <c r="N35" s="1870"/>
    </row>
    <row r="36" spans="1:14" s="1313" customFormat="1" ht="17.25" customHeight="1">
      <c r="A36" s="1311" t="s">
        <v>1384</v>
      </c>
      <c r="B36" s="1312"/>
      <c r="C36" s="1278">
        <v>169413670.38</v>
      </c>
      <c r="D36" s="2066">
        <v>0</v>
      </c>
      <c r="E36" s="2067">
        <f t="shared" si="0"/>
        <v>169413670.38</v>
      </c>
      <c r="F36" s="2067"/>
      <c r="G36" s="1278">
        <v>136922756.19</v>
      </c>
      <c r="H36" s="2066">
        <v>0</v>
      </c>
      <c r="I36" s="926">
        <f t="shared" si="1"/>
        <v>136922756.19</v>
      </c>
      <c r="J36" s="1869"/>
      <c r="K36" s="1870"/>
      <c r="M36" s="1869"/>
      <c r="N36" s="1870"/>
    </row>
    <row r="37" spans="1:14" s="1313" customFormat="1" ht="17.25" customHeight="1">
      <c r="A37" s="1311" t="s">
        <v>1385</v>
      </c>
      <c r="B37" s="1312"/>
      <c r="C37" s="1278">
        <v>24354753.449999999</v>
      </c>
      <c r="D37" s="2066">
        <v>0</v>
      </c>
      <c r="E37" s="2067">
        <f t="shared" si="0"/>
        <v>24354753.449999999</v>
      </c>
      <c r="F37" s="2067"/>
      <c r="G37" s="1278">
        <v>220619124.75999999</v>
      </c>
      <c r="H37" s="2066">
        <v>0</v>
      </c>
      <c r="I37" s="926">
        <f t="shared" si="1"/>
        <v>220619124.75999999</v>
      </c>
      <c r="J37" s="1869"/>
      <c r="K37" s="1870"/>
      <c r="M37" s="1869"/>
      <c r="N37" s="1870"/>
    </row>
    <row r="38" spans="1:14" s="1313" customFormat="1" ht="17.25" customHeight="1">
      <c r="A38" s="1311" t="s">
        <v>1386</v>
      </c>
      <c r="B38" s="1312"/>
      <c r="C38" s="1278">
        <v>208537.02000000002</v>
      </c>
      <c r="D38" s="2066">
        <v>0</v>
      </c>
      <c r="E38" s="2067">
        <f t="shared" si="0"/>
        <v>208537.02000000002</v>
      </c>
      <c r="F38" s="2067"/>
      <c r="G38" s="1278">
        <v>1795556.82</v>
      </c>
      <c r="H38" s="2066">
        <v>0</v>
      </c>
      <c r="I38" s="926">
        <f t="shared" si="1"/>
        <v>1795556.82</v>
      </c>
      <c r="J38" s="1869"/>
      <c r="K38" s="1870"/>
      <c r="M38" s="1869"/>
      <c r="N38" s="1870"/>
    </row>
    <row r="39" spans="1:14" s="1313" customFormat="1" ht="17.25" customHeight="1">
      <c r="A39" s="1314" t="s">
        <v>1387</v>
      </c>
      <c r="B39" s="1312"/>
      <c r="C39" s="1278">
        <v>1149412890.1199999</v>
      </c>
      <c r="D39" s="2066">
        <v>677843</v>
      </c>
      <c r="E39" s="2067">
        <f t="shared" si="0"/>
        <v>1150090733.1199999</v>
      </c>
      <c r="F39" s="2067"/>
      <c r="G39" s="1278">
        <v>8882647435.6399994</v>
      </c>
      <c r="H39" s="2066">
        <v>16833395</v>
      </c>
      <c r="I39" s="926">
        <f t="shared" si="1"/>
        <v>8899480830.6399994</v>
      </c>
      <c r="J39" s="1869"/>
      <c r="K39" s="1870"/>
      <c r="M39" s="1869"/>
      <c r="N39" s="1870"/>
    </row>
    <row r="40" spans="1:14" s="1313" customFormat="1" ht="17.25" customHeight="1">
      <c r="A40" s="1311" t="s">
        <v>1388</v>
      </c>
      <c r="B40" s="1312"/>
      <c r="C40" s="1278">
        <v>19010166.039999999</v>
      </c>
      <c r="D40" s="2066">
        <v>0</v>
      </c>
      <c r="E40" s="2067">
        <f t="shared" si="0"/>
        <v>19010166.039999999</v>
      </c>
      <c r="F40" s="2067"/>
      <c r="G40" s="1278">
        <v>1047584427.2</v>
      </c>
      <c r="H40" s="2066">
        <v>0</v>
      </c>
      <c r="I40" s="926">
        <f t="shared" si="1"/>
        <v>1047584427.2</v>
      </c>
      <c r="J40" s="1869"/>
      <c r="K40" s="1870"/>
      <c r="M40" s="1869"/>
      <c r="N40" s="1870"/>
    </row>
    <row r="41" spans="1:14" s="1313" customFormat="1" ht="17.25" customHeight="1">
      <c r="A41" s="1311" t="s">
        <v>1389</v>
      </c>
      <c r="B41" s="1312"/>
      <c r="C41" s="1278">
        <v>205137.25</v>
      </c>
      <c r="D41" s="2066">
        <v>0</v>
      </c>
      <c r="E41" s="2067">
        <f t="shared" si="0"/>
        <v>205137.25</v>
      </c>
      <c r="F41" s="2067"/>
      <c r="G41" s="1278">
        <v>2051797.39</v>
      </c>
      <c r="H41" s="2066">
        <v>0</v>
      </c>
      <c r="I41" s="926">
        <f t="shared" si="1"/>
        <v>2051797.39</v>
      </c>
      <c r="J41" s="1869"/>
      <c r="K41" s="1870"/>
      <c r="M41" s="1869"/>
      <c r="N41" s="1870"/>
    </row>
    <row r="42" spans="1:14" s="1313" customFormat="1" ht="17.25" customHeight="1">
      <c r="A42" s="1311" t="s">
        <v>1390</v>
      </c>
      <c r="B42" s="1312"/>
      <c r="C42" s="1278">
        <v>400000000</v>
      </c>
      <c r="D42" s="2066">
        <v>0</v>
      </c>
      <c r="E42" s="2067">
        <f t="shared" si="0"/>
        <v>400000000</v>
      </c>
      <c r="F42" s="2067"/>
      <c r="G42" s="1278">
        <v>2914497000</v>
      </c>
      <c r="H42" s="2066">
        <v>0</v>
      </c>
      <c r="I42" s="926">
        <f t="shared" si="1"/>
        <v>2914497000</v>
      </c>
      <c r="J42" s="1869"/>
      <c r="K42" s="1870"/>
      <c r="M42" s="1869"/>
      <c r="N42" s="1870"/>
    </row>
    <row r="43" spans="1:14" s="1313" customFormat="1" ht="17.25" customHeight="1">
      <c r="A43" s="1311" t="s">
        <v>1485</v>
      </c>
      <c r="B43" s="1312"/>
      <c r="C43" s="1278">
        <v>0</v>
      </c>
      <c r="D43" s="2066">
        <v>0</v>
      </c>
      <c r="E43" s="2067">
        <f t="shared" si="0"/>
        <v>0</v>
      </c>
      <c r="F43" s="2067"/>
      <c r="G43" s="1278">
        <v>41900000</v>
      </c>
      <c r="H43" s="2066">
        <v>0</v>
      </c>
      <c r="I43" s="926">
        <f t="shared" si="1"/>
        <v>41900000</v>
      </c>
      <c r="J43" s="1869"/>
      <c r="K43" s="1870"/>
      <c r="M43" s="1869"/>
      <c r="N43" s="1870"/>
    </row>
    <row r="44" spans="1:14" s="1313" customFormat="1" ht="17.25" customHeight="1">
      <c r="A44" s="1311" t="s">
        <v>1512</v>
      </c>
      <c r="B44" s="1312"/>
      <c r="C44" s="1278">
        <v>0</v>
      </c>
      <c r="D44" s="2066">
        <v>0</v>
      </c>
      <c r="E44" s="2067">
        <f t="shared" si="0"/>
        <v>0</v>
      </c>
      <c r="F44" s="2067"/>
      <c r="G44" s="1278">
        <v>8510270.75</v>
      </c>
      <c r="H44" s="2066">
        <v>0</v>
      </c>
      <c r="I44" s="926">
        <f t="shared" si="1"/>
        <v>8510270.75</v>
      </c>
      <c r="J44" s="1869"/>
      <c r="K44" s="1870"/>
      <c r="M44" s="1869"/>
      <c r="N44" s="1870"/>
    </row>
    <row r="45" spans="1:14" s="1313" customFormat="1" ht="17.25" customHeight="1">
      <c r="A45" s="1311" t="s">
        <v>1391</v>
      </c>
      <c r="B45" s="1312"/>
      <c r="C45" s="1278">
        <v>33222558.949999999</v>
      </c>
      <c r="D45" s="2066">
        <v>0</v>
      </c>
      <c r="E45" s="2067">
        <f t="shared" si="0"/>
        <v>33222558.949999999</v>
      </c>
      <c r="F45" s="2067"/>
      <c r="G45" s="1278">
        <v>266549103.41</v>
      </c>
      <c r="H45" s="2066">
        <v>0</v>
      </c>
      <c r="I45" s="926">
        <f t="shared" si="1"/>
        <v>266549103.41</v>
      </c>
      <c r="J45" s="1869"/>
      <c r="K45" s="1870"/>
      <c r="M45" s="1869"/>
      <c r="N45" s="1870"/>
    </row>
    <row r="46" spans="1:14" s="1313" customFormat="1" ht="17.25" customHeight="1">
      <c r="A46" s="1311" t="s">
        <v>1486</v>
      </c>
      <c r="B46" s="1312"/>
      <c r="C46" s="1278">
        <v>0</v>
      </c>
      <c r="D46" s="2066">
        <v>0</v>
      </c>
      <c r="E46" s="2067">
        <f t="shared" si="0"/>
        <v>0</v>
      </c>
      <c r="F46" s="2067"/>
      <c r="G46" s="1278">
        <v>0</v>
      </c>
      <c r="H46" s="2066">
        <v>0</v>
      </c>
      <c r="I46" s="926">
        <f t="shared" si="1"/>
        <v>0</v>
      </c>
      <c r="J46" s="1869"/>
      <c r="K46" s="1870"/>
      <c r="M46" s="1869"/>
      <c r="N46" s="1870"/>
    </row>
    <row r="47" spans="1:14" s="1313" customFormat="1" ht="17.25" customHeight="1">
      <c r="A47" s="1311" t="s">
        <v>1487</v>
      </c>
      <c r="B47" s="1312"/>
      <c r="C47" s="1278">
        <v>0</v>
      </c>
      <c r="D47" s="2066">
        <v>0</v>
      </c>
      <c r="E47" s="2067">
        <f t="shared" si="0"/>
        <v>0</v>
      </c>
      <c r="F47" s="2067"/>
      <c r="G47" s="1278">
        <v>0</v>
      </c>
      <c r="H47" s="2066">
        <v>0</v>
      </c>
      <c r="I47" s="926">
        <f t="shared" si="1"/>
        <v>0</v>
      </c>
      <c r="J47" s="1869"/>
      <c r="K47" s="1870"/>
      <c r="M47" s="1869"/>
      <c r="N47" s="1870"/>
    </row>
    <row r="48" spans="1:14" s="1313" customFormat="1" ht="17.25" customHeight="1">
      <c r="A48" s="1311" t="s">
        <v>1392</v>
      </c>
      <c r="B48" s="1312"/>
      <c r="C48" s="1278">
        <v>90000000</v>
      </c>
      <c r="D48" s="2066">
        <v>0</v>
      </c>
      <c r="E48" s="2067">
        <f t="shared" si="0"/>
        <v>90000000</v>
      </c>
      <c r="F48" s="2067"/>
      <c r="G48" s="1278">
        <v>623347000</v>
      </c>
      <c r="H48" s="2066">
        <v>0</v>
      </c>
      <c r="I48" s="926">
        <f t="shared" si="1"/>
        <v>623347000</v>
      </c>
      <c r="J48" s="1869"/>
      <c r="K48" s="1870"/>
      <c r="M48" s="1869"/>
      <c r="N48" s="1870"/>
    </row>
    <row r="49" spans="1:15" s="1313" customFormat="1" ht="17.25" customHeight="1">
      <c r="A49" s="1311" t="s">
        <v>1484</v>
      </c>
      <c r="B49" s="1312"/>
      <c r="C49" s="1278">
        <v>0</v>
      </c>
      <c r="D49" s="2066">
        <v>0</v>
      </c>
      <c r="E49" s="2067">
        <f t="shared" si="0"/>
        <v>0</v>
      </c>
      <c r="F49" s="2067"/>
      <c r="G49" s="1278">
        <v>21875</v>
      </c>
      <c r="H49" s="2066">
        <v>0</v>
      </c>
      <c r="I49" s="926">
        <f t="shared" si="1"/>
        <v>21875</v>
      </c>
      <c r="J49" s="1869"/>
      <c r="K49" s="1870"/>
      <c r="M49" s="1869"/>
      <c r="N49" s="1870"/>
    </row>
    <row r="50" spans="1:15" s="1313" customFormat="1" ht="17.25" customHeight="1">
      <c r="A50" s="1311" t="s">
        <v>1465</v>
      </c>
      <c r="B50" s="1312"/>
      <c r="C50" s="1278">
        <v>1463936</v>
      </c>
      <c r="D50" s="2066">
        <v>0</v>
      </c>
      <c r="E50" s="2067">
        <f t="shared" si="0"/>
        <v>1463936</v>
      </c>
      <c r="F50" s="2067"/>
      <c r="G50" s="1278">
        <v>10838318</v>
      </c>
      <c r="H50" s="2066">
        <v>0</v>
      </c>
      <c r="I50" s="926">
        <f t="shared" si="1"/>
        <v>10838318</v>
      </c>
      <c r="J50" s="1869"/>
      <c r="K50" s="1870"/>
      <c r="M50" s="1869"/>
      <c r="N50" s="1870"/>
    </row>
    <row r="51" spans="1:15" s="1313" customFormat="1" ht="17.25" customHeight="1">
      <c r="A51" s="1311" t="s">
        <v>1393</v>
      </c>
      <c r="B51" s="1312"/>
      <c r="C51" s="1278">
        <v>0</v>
      </c>
      <c r="D51" s="2066">
        <v>0</v>
      </c>
      <c r="E51" s="2067">
        <f t="shared" si="0"/>
        <v>0</v>
      </c>
      <c r="F51" s="2067"/>
      <c r="G51" s="1278">
        <v>351240754.16000003</v>
      </c>
      <c r="H51" s="2066">
        <v>0</v>
      </c>
      <c r="I51" s="926">
        <f t="shared" si="1"/>
        <v>351240754.16000003</v>
      </c>
      <c r="J51" s="1869"/>
      <c r="K51" s="1870"/>
      <c r="M51" s="1869"/>
      <c r="N51" s="1870"/>
    </row>
    <row r="52" spans="1:15" s="1310" customFormat="1" ht="17.25" customHeight="1">
      <c r="A52" s="948" t="s">
        <v>1394</v>
      </c>
      <c r="B52" s="1309"/>
      <c r="C52" s="987">
        <f>SUM(C11:C51)</f>
        <v>3494230302.1399994</v>
      </c>
      <c r="D52" s="987">
        <f>SUM(D11:D51)</f>
        <v>71549283.5</v>
      </c>
      <c r="E52" s="987">
        <f>SUM(E11:E51)</f>
        <v>3565779585.6399994</v>
      </c>
      <c r="F52" s="949"/>
      <c r="G52" s="987">
        <f>SUM(G11:G51)</f>
        <v>26750543087.850002</v>
      </c>
      <c r="H52" s="987">
        <f>SUM(H11:H51)</f>
        <v>2543150965.9499998</v>
      </c>
      <c r="I52" s="987">
        <f>SUM(I11:I51)</f>
        <v>29293694053.799999</v>
      </c>
      <c r="J52" s="1868"/>
      <c r="K52" s="1870"/>
      <c r="L52" s="1313"/>
      <c r="M52" s="1868"/>
      <c r="N52" s="1870"/>
      <c r="O52" s="1313"/>
    </row>
    <row r="53" spans="1:15" ht="9.6" customHeight="1">
      <c r="A53" s="1305"/>
      <c r="B53" s="1306"/>
      <c r="C53" s="2060"/>
      <c r="D53" s="2060"/>
      <c r="E53" s="2060"/>
      <c r="F53" s="2060"/>
      <c r="G53" s="2061"/>
      <c r="H53" s="2061"/>
      <c r="I53" s="2061"/>
      <c r="J53" s="1301"/>
      <c r="K53" s="1870"/>
      <c r="L53" s="1313"/>
    </row>
    <row r="54" spans="1:15" ht="43.35" customHeight="1">
      <c r="A54" s="1316" t="s">
        <v>1538</v>
      </c>
      <c r="B54" s="1306"/>
      <c r="C54" s="1940">
        <v>-23369958.079999998</v>
      </c>
      <c r="D54" s="1941">
        <v>0</v>
      </c>
      <c r="E54" s="967">
        <f>C54+D54</f>
        <v>-23369958.079999998</v>
      </c>
      <c r="F54" s="968"/>
      <c r="G54" s="1941">
        <v>-1489966370.8199999</v>
      </c>
      <c r="H54" s="1941">
        <v>0</v>
      </c>
      <c r="I54" s="969">
        <f>G54+H54</f>
        <v>-1489966370.8199999</v>
      </c>
      <c r="J54" s="1301"/>
      <c r="K54" s="1870"/>
      <c r="L54" s="1313"/>
    </row>
    <row r="55" spans="1:15" ht="15.6" customHeight="1">
      <c r="A55" s="1317"/>
      <c r="B55" s="1306"/>
      <c r="C55" s="1942"/>
      <c r="D55" s="1942"/>
      <c r="E55" s="1942"/>
      <c r="F55" s="1942"/>
      <c r="G55" s="1943"/>
      <c r="H55" s="1943" t="s">
        <v>103</v>
      </c>
      <c r="I55" s="1943"/>
      <c r="J55" s="1301"/>
      <c r="K55" s="1870"/>
      <c r="L55" s="1313"/>
    </row>
    <row r="56" spans="1:15" ht="17.25" customHeight="1" thickBot="1">
      <c r="A56" s="1317" t="s">
        <v>1395</v>
      </c>
      <c r="B56" s="1306"/>
      <c r="C56" s="950">
        <f>+C52+C54</f>
        <v>3470860344.0599995</v>
      </c>
      <c r="D56" s="950">
        <f t="shared" ref="D56:H56" si="2">+D52+D54</f>
        <v>71549283.5</v>
      </c>
      <c r="E56" s="950">
        <f>+E52+E54</f>
        <v>3542409627.5599995</v>
      </c>
      <c r="F56" s="947">
        <f t="shared" si="2"/>
        <v>0</v>
      </c>
      <c r="G56" s="950">
        <f>+G52+G54</f>
        <v>25260576717.030003</v>
      </c>
      <c r="H56" s="950">
        <f t="shared" si="2"/>
        <v>2543150965.9499998</v>
      </c>
      <c r="I56" s="950">
        <f>+I52+I54</f>
        <v>27803727682.98</v>
      </c>
      <c r="J56" s="1301"/>
      <c r="K56" s="1870"/>
      <c r="L56" s="1313"/>
    </row>
    <row r="57" spans="1:15" ht="17.25" customHeight="1" thickTop="1">
      <c r="A57" s="1318"/>
      <c r="B57" s="1308"/>
      <c r="C57" s="1318"/>
      <c r="D57" s="1318"/>
      <c r="E57" s="1944"/>
      <c r="F57" s="1944"/>
      <c r="G57" s="1945"/>
      <c r="H57" s="1945"/>
      <c r="I57" s="1945" t="s">
        <v>233</v>
      </c>
    </row>
    <row r="58" spans="1:15" ht="16.350000000000001" customHeight="1">
      <c r="A58" s="1319" t="s">
        <v>1396</v>
      </c>
      <c r="B58" s="1308"/>
      <c r="C58" s="1946"/>
      <c r="D58" s="1947"/>
      <c r="E58" s="1948"/>
      <c r="F58" s="1949"/>
      <c r="G58" s="1947"/>
      <c r="H58" s="1947"/>
      <c r="I58" s="1947"/>
    </row>
    <row r="59" spans="1:15" ht="16.350000000000001" customHeight="1">
      <c r="A59" s="1320" t="s">
        <v>1397</v>
      </c>
      <c r="B59" s="1308"/>
      <c r="C59" s="1968"/>
      <c r="D59" s="2074"/>
      <c r="E59" s="2012" t="s">
        <v>103</v>
      </c>
      <c r="F59" s="968"/>
      <c r="G59" s="1941"/>
      <c r="H59" s="1943"/>
      <c r="I59" s="925" t="s">
        <v>103</v>
      </c>
    </row>
    <row r="60" spans="1:15" ht="16.350000000000001" customHeight="1">
      <c r="A60" s="1320" t="s">
        <v>1398</v>
      </c>
      <c r="B60" s="1308"/>
      <c r="C60" s="2075"/>
      <c r="D60" s="1946"/>
      <c r="E60" s="1947" t="s">
        <v>103</v>
      </c>
      <c r="F60" s="1948"/>
      <c r="G60" s="1950"/>
      <c r="H60" s="1947"/>
      <c r="I60" s="1947" t="s">
        <v>103</v>
      </c>
    </row>
    <row r="61" spans="1:15" s="1300" customFormat="1" ht="16.350000000000001" customHeight="1">
      <c r="A61" s="1320" t="s">
        <v>1399</v>
      </c>
      <c r="B61" s="1299"/>
      <c r="C61" s="1940"/>
      <c r="D61" s="1941"/>
      <c r="E61" s="967"/>
      <c r="F61" s="968"/>
      <c r="G61" s="1941"/>
      <c r="H61" s="1941"/>
      <c r="I61" s="969" t="s">
        <v>103</v>
      </c>
    </row>
    <row r="62" spans="1:15" s="1300" customFormat="1" ht="13.35" customHeight="1">
      <c r="A62" s="1320" t="s">
        <v>1400</v>
      </c>
      <c r="B62" s="1299"/>
      <c r="C62" s="1966"/>
      <c r="D62" s="1964"/>
      <c r="E62" s="2076"/>
      <c r="F62" s="1964"/>
      <c r="G62" s="1952"/>
      <c r="H62" s="1308"/>
      <c r="I62" s="1953" t="s">
        <v>103</v>
      </c>
    </row>
    <row r="63" spans="1:15" ht="17.25" customHeight="1">
      <c r="A63" s="1320" t="s">
        <v>1401</v>
      </c>
      <c r="C63" s="1964"/>
      <c r="D63" s="1964"/>
      <c r="E63" s="2076"/>
      <c r="F63" s="1964"/>
      <c r="G63" s="1947"/>
      <c r="H63" s="1308"/>
      <c r="I63" s="1308" t="s">
        <v>103</v>
      </c>
    </row>
    <row r="64" spans="1:15" ht="17.25" customHeight="1">
      <c r="C64" s="1940"/>
      <c r="D64" s="1941"/>
      <c r="E64" s="967"/>
      <c r="F64" s="968"/>
      <c r="G64" s="1941"/>
      <c r="H64" s="1941"/>
      <c r="I64" s="969"/>
    </row>
    <row r="65" spans="3:9" ht="17.25" customHeight="1">
      <c r="C65" s="1946"/>
      <c r="D65" s="1947"/>
      <c r="E65" s="1948"/>
      <c r="F65" s="1949"/>
      <c r="G65" s="1947"/>
      <c r="H65" s="1947"/>
      <c r="I65" s="1947"/>
    </row>
    <row r="66" spans="3:9" ht="17.25" customHeight="1">
      <c r="C66" s="1940"/>
      <c r="D66" s="1941"/>
      <c r="E66" s="967"/>
      <c r="F66" s="968"/>
      <c r="G66" s="1941"/>
      <c r="H66" s="1941"/>
      <c r="I66" s="969"/>
    </row>
    <row r="67" spans="3:9" ht="17.25" customHeight="1">
      <c r="G67" s="1301"/>
    </row>
    <row r="68" spans="3:9" ht="17.25" customHeight="1">
      <c r="C68" s="1951"/>
      <c r="G68" s="1301"/>
      <c r="I68" s="1864"/>
    </row>
    <row r="69" spans="3:9" ht="17.25" customHeight="1">
      <c r="G69" s="1301"/>
    </row>
    <row r="70" spans="3:9" ht="17.25" customHeight="1">
      <c r="I70" s="1864"/>
    </row>
  </sheetData>
  <mergeCells count="2">
    <mergeCell ref="C7:E7"/>
    <mergeCell ref="G7:I7"/>
  </mergeCells>
  <printOptions horizontalCentered="1"/>
  <pageMargins left="0.17" right="0.18" top="0.44" bottom="0.27" header="0.23" footer="0.18"/>
  <pageSetup scale="54"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88671875" defaultRowHeight="15"/>
  <cols>
    <col min="1" max="1" width="58.5546875" style="1325" customWidth="1"/>
    <col min="2" max="2" width="2" style="1299" customWidth="1"/>
    <col min="3" max="3" width="21.109375" style="1300" customWidth="1"/>
    <col min="4" max="4" width="21.88671875" style="1300" customWidth="1"/>
    <col min="5" max="5" width="19.88671875" style="1300" customWidth="1"/>
    <col min="6" max="6" width="1.109375" style="1300" customWidth="1"/>
    <col min="7" max="7" width="22.109375" style="1931" customWidth="1"/>
    <col min="8" max="8" width="20.88671875" style="1299" customWidth="1"/>
    <col min="9" max="9" width="21.88671875" style="1299" customWidth="1"/>
    <col min="10" max="10" width="17.88671875" style="1301" customWidth="1"/>
    <col min="11" max="11" width="18.109375" style="1299" customWidth="1"/>
    <col min="12" max="12" width="15.88671875" style="1299" customWidth="1"/>
    <col min="13" max="16384" width="8.88671875" style="1299"/>
  </cols>
  <sheetData>
    <row r="1" spans="1:12" ht="15.75">
      <c r="A1" s="270" t="s">
        <v>97</v>
      </c>
    </row>
    <row r="3" spans="1:12" ht="25.35" customHeight="1">
      <c r="A3" s="1302" t="s">
        <v>98</v>
      </c>
      <c r="C3" s="1932"/>
      <c r="D3" s="1932"/>
      <c r="E3" s="1932"/>
      <c r="F3" s="1932"/>
      <c r="I3" s="1934" t="s">
        <v>1402</v>
      </c>
    </row>
    <row r="4" spans="1:12" ht="25.35" customHeight="1">
      <c r="A4" s="1302" t="s">
        <v>1403</v>
      </c>
      <c r="C4" s="1932"/>
      <c r="D4" s="1932"/>
      <c r="E4" s="1932"/>
      <c r="F4" s="1932"/>
    </row>
    <row r="5" spans="1:12" ht="18.600000000000001" customHeight="1">
      <c r="A5" s="1303" t="str">
        <f>'Appendix H'!A5</f>
        <v>FISCAL YEAR 2025-2026</v>
      </c>
      <c r="C5" s="1932"/>
      <c r="D5" s="1932"/>
      <c r="E5" s="1932"/>
      <c r="F5" s="1932"/>
    </row>
    <row r="6" spans="1:12" ht="21">
      <c r="A6" s="1321"/>
      <c r="C6" s="1932"/>
      <c r="D6" s="1932"/>
      <c r="E6" s="1932"/>
      <c r="F6" s="1932"/>
    </row>
    <row r="7" spans="1:12" ht="15.75">
      <c r="A7" s="1322"/>
      <c r="B7" s="1306"/>
      <c r="C7" s="2122" t="str">
        <f>'Appendix H'!C7</f>
        <v>NOVEMBER 2025</v>
      </c>
      <c r="D7" s="2123"/>
      <c r="E7" s="2123"/>
      <c r="F7" s="1935"/>
      <c r="G7" s="2123" t="str">
        <f>'Appendix H'!G7</f>
        <v>8 MONTHS ENDED NOVEMBER 30</v>
      </c>
      <c r="H7" s="2123"/>
      <c r="I7" s="2123"/>
    </row>
    <row r="8" spans="1:12" ht="15.75">
      <c r="A8" s="1322"/>
      <c r="B8" s="1306"/>
      <c r="C8" s="1954"/>
      <c r="D8" s="1954"/>
      <c r="E8" s="1954"/>
      <c r="F8" s="1954"/>
      <c r="G8" s="1936"/>
      <c r="H8" s="1306"/>
      <c r="I8" s="1306"/>
    </row>
    <row r="9" spans="1:12" ht="15.75">
      <c r="A9" s="1323"/>
      <c r="B9" s="1306"/>
      <c r="C9" s="1307" t="s">
        <v>1359</v>
      </c>
      <c r="D9" s="1307" t="s">
        <v>1360</v>
      </c>
      <c r="E9" s="1307" t="str">
        <f>'Appendix H'!E9</f>
        <v>November</v>
      </c>
      <c r="F9" s="1307"/>
      <c r="G9" s="1307" t="s">
        <v>1359</v>
      </c>
      <c r="H9" s="1307" t="s">
        <v>1360</v>
      </c>
      <c r="I9" s="1937" t="s">
        <v>1361</v>
      </c>
    </row>
    <row r="10" spans="1:12" s="1310" customFormat="1" ht="15.75">
      <c r="A10" s="946"/>
      <c r="B10" s="1309"/>
      <c r="C10" s="1955"/>
      <c r="D10" s="1955"/>
      <c r="E10" s="1955"/>
      <c r="F10" s="1955"/>
      <c r="G10" s="1956"/>
      <c r="H10" s="1309"/>
      <c r="I10" s="1956"/>
      <c r="J10" s="1868"/>
    </row>
    <row r="11" spans="1:12" s="1313" customFormat="1" ht="15.75">
      <c r="A11" s="1311" t="s">
        <v>1404</v>
      </c>
      <c r="B11" s="1312"/>
      <c r="C11" s="940">
        <v>16107850.48</v>
      </c>
      <c r="D11" s="940">
        <v>0</v>
      </c>
      <c r="E11" s="941">
        <f>C11+D11</f>
        <v>16107850.48</v>
      </c>
      <c r="F11" s="941"/>
      <c r="G11" s="940">
        <v>191983405.37</v>
      </c>
      <c r="H11" s="940">
        <v>0</v>
      </c>
      <c r="I11" s="941">
        <f>G11+H11</f>
        <v>191983405.37</v>
      </c>
      <c r="J11" s="1869"/>
      <c r="K11" s="1870"/>
      <c r="L11" s="1981"/>
    </row>
    <row r="12" spans="1:12" s="1313" customFormat="1" ht="15.75">
      <c r="A12" s="1311" t="s">
        <v>1364</v>
      </c>
      <c r="B12" s="1312"/>
      <c r="C12" s="2066">
        <v>25209945.739999998</v>
      </c>
      <c r="D12" s="2066">
        <v>75969758</v>
      </c>
      <c r="E12" s="2067">
        <f>C12+D12</f>
        <v>101179703.73999999</v>
      </c>
      <c r="F12" s="2067"/>
      <c r="G12" s="2066">
        <v>633924679.78999996</v>
      </c>
      <c r="H12" s="2066">
        <v>273692950.99000001</v>
      </c>
      <c r="I12" s="2067">
        <f>G12+H12</f>
        <v>907617630.77999997</v>
      </c>
      <c r="J12" s="1869"/>
      <c r="K12" s="1870"/>
      <c r="L12" s="1981"/>
    </row>
    <row r="13" spans="1:12" s="1313" customFormat="1" ht="15.75">
      <c r="A13" s="1311" t="s">
        <v>1377</v>
      </c>
      <c r="B13" s="1312"/>
      <c r="C13" s="2066">
        <v>198192097.30000001</v>
      </c>
      <c r="D13" s="2066">
        <v>0</v>
      </c>
      <c r="E13" s="2067">
        <f t="shared" ref="E13:E23" si="0">C13+D13</f>
        <v>198192097.30000001</v>
      </c>
      <c r="F13" s="2067"/>
      <c r="G13" s="2066">
        <v>2487915591.0100002</v>
      </c>
      <c r="H13" s="2066">
        <v>0</v>
      </c>
      <c r="I13" s="2067">
        <f t="shared" ref="I13:I25" si="1">G13+H13</f>
        <v>2487915591.0100002</v>
      </c>
      <c r="J13" s="1869"/>
      <c r="K13" s="1870"/>
      <c r="L13" s="1981"/>
    </row>
    <row r="14" spans="1:12" s="1313" customFormat="1" ht="15.75">
      <c r="A14" s="1311" t="s">
        <v>1379</v>
      </c>
      <c r="B14" s="1312"/>
      <c r="C14" s="2066">
        <v>37124212.020000003</v>
      </c>
      <c r="D14" s="2066">
        <v>0</v>
      </c>
      <c r="E14" s="2067">
        <f t="shared" si="0"/>
        <v>37124212.020000003</v>
      </c>
      <c r="F14" s="2067"/>
      <c r="G14" s="2066">
        <v>328488311.47000003</v>
      </c>
      <c r="H14" s="2066">
        <v>0</v>
      </c>
      <c r="I14" s="2067">
        <f>G14+H14</f>
        <v>328488311.47000003</v>
      </c>
      <c r="J14" s="1869"/>
      <c r="K14" s="1870"/>
      <c r="L14" s="1981"/>
    </row>
    <row r="15" spans="1:12" s="1313" customFormat="1" ht="15.75">
      <c r="A15" s="1311" t="s">
        <v>1380</v>
      </c>
      <c r="B15" s="1312"/>
      <c r="C15" s="2066">
        <v>73017243.239999995</v>
      </c>
      <c r="D15" s="2066">
        <v>0</v>
      </c>
      <c r="E15" s="2067">
        <f t="shared" si="0"/>
        <v>73017243.239999995</v>
      </c>
      <c r="F15" s="2067"/>
      <c r="G15" s="2066">
        <v>764175892.98000002</v>
      </c>
      <c r="H15" s="2066">
        <v>0</v>
      </c>
      <c r="I15" s="2067">
        <f t="shared" si="1"/>
        <v>764175892.98000002</v>
      </c>
      <c r="J15" s="1869"/>
      <c r="K15" s="1870"/>
      <c r="L15" s="1981"/>
    </row>
    <row r="16" spans="1:12" s="1313" customFormat="1" ht="15.75">
      <c r="A16" s="1311" t="s">
        <v>1381</v>
      </c>
      <c r="B16" s="1312"/>
      <c r="C16" s="2066">
        <v>167162722.62</v>
      </c>
      <c r="D16" s="2066">
        <v>0</v>
      </c>
      <c r="E16" s="2067">
        <f t="shared" si="0"/>
        <v>167162722.62</v>
      </c>
      <c r="F16" s="2067"/>
      <c r="G16" s="2066">
        <v>1405510696.03</v>
      </c>
      <c r="H16" s="2066">
        <v>0</v>
      </c>
      <c r="I16" s="2067">
        <f t="shared" si="1"/>
        <v>1405510696.03</v>
      </c>
      <c r="J16" s="1869"/>
      <c r="K16" s="1870"/>
      <c r="L16" s="1981"/>
    </row>
    <row r="17" spans="1:12" s="1313" customFormat="1" ht="15.75">
      <c r="A17" s="1311" t="s">
        <v>1382</v>
      </c>
      <c r="B17" s="1312"/>
      <c r="C17" s="2066">
        <v>1790315780.5</v>
      </c>
      <c r="D17" s="2066">
        <v>0</v>
      </c>
      <c r="E17" s="2067">
        <f t="shared" si="0"/>
        <v>1790315780.5</v>
      </c>
      <c r="F17" s="2067"/>
      <c r="G17" s="2066">
        <v>14644529570.68</v>
      </c>
      <c r="H17" s="2066">
        <v>0</v>
      </c>
      <c r="I17" s="2067">
        <f t="shared" si="1"/>
        <v>14644529570.68</v>
      </c>
      <c r="J17" s="1869"/>
      <c r="K17" s="1870"/>
      <c r="L17" s="1981"/>
    </row>
    <row r="18" spans="1:12" s="1313" customFormat="1" ht="15.75">
      <c r="A18" s="1311" t="s">
        <v>1383</v>
      </c>
      <c r="B18" s="1312"/>
      <c r="C18" s="2066">
        <v>1911759845.0899999</v>
      </c>
      <c r="D18" s="2066">
        <v>0</v>
      </c>
      <c r="E18" s="2067">
        <f t="shared" si="0"/>
        <v>1911759845.0899999</v>
      </c>
      <c r="F18" s="2067"/>
      <c r="G18" s="2066">
        <v>12552053357.82</v>
      </c>
      <c r="H18" s="2066">
        <v>0</v>
      </c>
      <c r="I18" s="2067">
        <f t="shared" si="1"/>
        <v>12552053357.82</v>
      </c>
      <c r="J18" s="1869"/>
      <c r="K18" s="1870"/>
      <c r="L18" s="1981"/>
    </row>
    <row r="19" spans="1:12" s="1313" customFormat="1" ht="15.75">
      <c r="A19" s="1311" t="s">
        <v>1511</v>
      </c>
      <c r="B19" s="1312"/>
      <c r="C19" s="2066">
        <v>0</v>
      </c>
      <c r="D19" s="2066">
        <v>0</v>
      </c>
      <c r="E19" s="2067">
        <f t="shared" si="0"/>
        <v>0</v>
      </c>
      <c r="F19" s="2067"/>
      <c r="G19" s="2066">
        <v>251856008.55000001</v>
      </c>
      <c r="H19" s="2066">
        <v>0</v>
      </c>
      <c r="I19" s="2067">
        <f t="shared" si="1"/>
        <v>251856008.55000001</v>
      </c>
      <c r="J19" s="1869"/>
      <c r="K19" s="1870"/>
      <c r="L19" s="1981"/>
    </row>
    <row r="20" spans="1:12" s="1313" customFormat="1" ht="15.75">
      <c r="A20" s="1311" t="s">
        <v>1384</v>
      </c>
      <c r="B20" s="1312"/>
      <c r="C20" s="2066">
        <v>626803671.14999998</v>
      </c>
      <c r="D20" s="2066">
        <v>0</v>
      </c>
      <c r="E20" s="2067">
        <f t="shared" si="0"/>
        <v>626803671.14999998</v>
      </c>
      <c r="F20" s="2067"/>
      <c r="G20" s="2066">
        <v>2745051411.4200001</v>
      </c>
      <c r="H20" s="2066">
        <v>0</v>
      </c>
      <c r="I20" s="2067">
        <f t="shared" si="1"/>
        <v>2745051411.4200001</v>
      </c>
      <c r="J20" s="1869"/>
      <c r="K20" s="1870"/>
      <c r="L20" s="1981"/>
    </row>
    <row r="21" spans="1:12" s="1313" customFormat="1" ht="15.75">
      <c r="A21" s="1311" t="s">
        <v>1385</v>
      </c>
      <c r="B21" s="1312"/>
      <c r="C21" s="2066">
        <v>57253940.049999997</v>
      </c>
      <c r="D21" s="2066">
        <v>0</v>
      </c>
      <c r="E21" s="2067">
        <f t="shared" si="0"/>
        <v>57253940.049999997</v>
      </c>
      <c r="F21" s="2067"/>
      <c r="G21" s="2066">
        <v>509435257.44999999</v>
      </c>
      <c r="H21" s="2066">
        <v>0</v>
      </c>
      <c r="I21" s="2067">
        <f t="shared" si="1"/>
        <v>509435257.44999999</v>
      </c>
      <c r="J21" s="1869"/>
      <c r="K21" s="1870"/>
      <c r="L21" s="1981"/>
    </row>
    <row r="22" spans="1:12" s="1313" customFormat="1" ht="15.75">
      <c r="A22" s="1311" t="s">
        <v>1386</v>
      </c>
      <c r="B22" s="1312"/>
      <c r="C22" s="2066">
        <v>432847.8</v>
      </c>
      <c r="D22" s="2066">
        <v>0</v>
      </c>
      <c r="E22" s="2067">
        <f t="shared" si="0"/>
        <v>432847.8</v>
      </c>
      <c r="F22" s="2067"/>
      <c r="G22" s="2066">
        <v>3785897.56</v>
      </c>
      <c r="H22" s="2066">
        <v>0</v>
      </c>
      <c r="I22" s="2067">
        <f t="shared" si="1"/>
        <v>3785897.56</v>
      </c>
      <c r="J22" s="1869"/>
      <c r="K22" s="1870"/>
      <c r="L22" s="1981"/>
    </row>
    <row r="23" spans="1:12" s="1313" customFormat="1" ht="15.75">
      <c r="A23" s="1311" t="s">
        <v>1405</v>
      </c>
      <c r="B23" s="1312"/>
      <c r="C23" s="2066">
        <v>209296508.18000001</v>
      </c>
      <c r="D23" s="2066">
        <v>5243717</v>
      </c>
      <c r="E23" s="2067">
        <f t="shared" si="0"/>
        <v>214540225.18000001</v>
      </c>
      <c r="F23" s="2067"/>
      <c r="G23" s="2066">
        <v>2182970707.1999998</v>
      </c>
      <c r="H23" s="2066">
        <v>21593938</v>
      </c>
      <c r="I23" s="2067">
        <f t="shared" si="1"/>
        <v>2204564645.1999998</v>
      </c>
      <c r="J23" s="1869"/>
      <c r="K23" s="1870"/>
      <c r="L23" s="1981"/>
    </row>
    <row r="24" spans="1:12" s="1313" customFormat="1" ht="15.75">
      <c r="A24" s="1311" t="s">
        <v>1388</v>
      </c>
      <c r="B24" s="1312"/>
      <c r="C24" s="337">
        <v>22866472.23</v>
      </c>
      <c r="D24" s="2066">
        <v>0</v>
      </c>
      <c r="E24" s="2067">
        <f>C24+D24</f>
        <v>22866472.23</v>
      </c>
      <c r="F24" s="2067"/>
      <c r="G24" s="337">
        <v>1492308011.9300001</v>
      </c>
      <c r="H24" s="2066">
        <v>0</v>
      </c>
      <c r="I24" s="2067">
        <f t="shared" si="1"/>
        <v>1492308011.9300001</v>
      </c>
      <c r="J24" s="1869"/>
      <c r="K24" s="1870"/>
      <c r="L24" s="1981"/>
    </row>
    <row r="25" spans="1:12" s="1313" customFormat="1" ht="15.75">
      <c r="A25" s="1311" t="s">
        <v>1393</v>
      </c>
      <c r="B25" s="1312"/>
      <c r="C25" s="2066">
        <v>0</v>
      </c>
      <c r="D25" s="2066">
        <v>0</v>
      </c>
      <c r="E25" s="2067">
        <f>C25</f>
        <v>0</v>
      </c>
      <c r="F25" s="2067"/>
      <c r="G25" s="2066">
        <v>359949720.83999997</v>
      </c>
      <c r="H25" s="2066">
        <v>0</v>
      </c>
      <c r="I25" s="2067">
        <f t="shared" si="1"/>
        <v>359949720.83999997</v>
      </c>
      <c r="J25" s="1869"/>
      <c r="K25" s="1870"/>
      <c r="L25" s="1981"/>
    </row>
    <row r="26" spans="1:12" s="1310" customFormat="1" ht="26.1" customHeight="1">
      <c r="A26" s="948" t="s">
        <v>1394</v>
      </c>
      <c r="B26" s="1309"/>
      <c r="C26" s="985">
        <f>SUM(C11:C25)</f>
        <v>5135543136.3999996</v>
      </c>
      <c r="D26" s="985">
        <f>SUM(D11:D25)</f>
        <v>81213475</v>
      </c>
      <c r="E26" s="985">
        <f>SUM(E11:E25)</f>
        <v>5216756611.3999996</v>
      </c>
      <c r="F26" s="986"/>
      <c r="G26" s="985">
        <f>SUM(G11:G25)</f>
        <v>40553938520.099991</v>
      </c>
      <c r="H26" s="985">
        <f>SUM(H11:H25)</f>
        <v>295286888.99000001</v>
      </c>
      <c r="I26" s="985">
        <f>SUM(I11:I25)</f>
        <v>40849225409.089989</v>
      </c>
      <c r="J26" s="1868"/>
      <c r="K26" s="1870"/>
      <c r="L26" s="1981"/>
    </row>
    <row r="27" spans="1:12" ht="6.6" customHeight="1">
      <c r="A27" s="1324"/>
      <c r="B27" s="1306"/>
      <c r="C27" s="2083"/>
      <c r="D27" s="2083"/>
      <c r="E27" s="2083"/>
      <c r="F27" s="2083"/>
      <c r="G27" s="1947"/>
      <c r="H27" s="1947"/>
      <c r="I27" s="1947"/>
      <c r="K27" s="1870"/>
      <c r="L27" s="1981"/>
    </row>
    <row r="28" spans="1:12" ht="42" customHeight="1">
      <c r="A28" s="1316" t="s">
        <v>1539</v>
      </c>
      <c r="B28" s="1306"/>
      <c r="C28" s="1957">
        <v>94016790.560000002</v>
      </c>
      <c r="D28" s="1958">
        <v>0</v>
      </c>
      <c r="E28" s="2084">
        <f t="shared" ref="E28" si="2">C28+D28</f>
        <v>94016790.560000002</v>
      </c>
      <c r="F28" s="1959"/>
      <c r="G28" s="1960">
        <v>-1601765988.6400001</v>
      </c>
      <c r="H28" s="1960">
        <v>0</v>
      </c>
      <c r="I28" s="1961">
        <f>G28+H28</f>
        <v>-1601765988.6400001</v>
      </c>
      <c r="J28" s="1947"/>
      <c r="K28" s="1870"/>
      <c r="L28" s="1981"/>
    </row>
    <row r="29" spans="1:12" ht="15.6" customHeight="1">
      <c r="A29" s="1317"/>
      <c r="B29" s="1306"/>
      <c r="C29" s="1962"/>
      <c r="D29" s="1962"/>
      <c r="E29" s="1962"/>
      <c r="F29" s="1962"/>
      <c r="G29" s="1963"/>
      <c r="H29" s="1963"/>
      <c r="I29" s="1963"/>
      <c r="K29" s="1870"/>
      <c r="L29" s="1981"/>
    </row>
    <row r="30" spans="1:12" ht="19.5" thickBot="1">
      <c r="A30" s="1317" t="s">
        <v>1406</v>
      </c>
      <c r="B30" s="1306"/>
      <c r="C30" s="931">
        <f>+C26+C28</f>
        <v>5229559926.96</v>
      </c>
      <c r="D30" s="931">
        <f>+D26+D28</f>
        <v>81213475</v>
      </c>
      <c r="E30" s="931">
        <f>+E26+E28</f>
        <v>5310773401.96</v>
      </c>
      <c r="F30" s="941"/>
      <c r="G30" s="931">
        <f>+G26+G28</f>
        <v>38952172531.459991</v>
      </c>
      <c r="H30" s="931">
        <f>+H26+H28</f>
        <v>295286888.99000001</v>
      </c>
      <c r="I30" s="931">
        <f>+I26+I28</f>
        <v>39247459420.449989</v>
      </c>
      <c r="K30" s="1870"/>
      <c r="L30" s="1981"/>
    </row>
    <row r="31" spans="1:12" ht="15.75" thickTop="1">
      <c r="C31" s="1964"/>
      <c r="D31" s="1964"/>
      <c r="E31" s="1964"/>
      <c r="F31" s="1964"/>
      <c r="G31" s="1965"/>
      <c r="H31" s="1308"/>
      <c r="I31" s="1308"/>
    </row>
    <row r="32" spans="1:12" ht="16.350000000000001" customHeight="1">
      <c r="A32" s="1319" t="s">
        <v>1407</v>
      </c>
      <c r="C32" s="1966"/>
      <c r="D32" s="1967"/>
      <c r="E32" s="1966" t="s">
        <v>103</v>
      </c>
      <c r="F32" s="1964"/>
      <c r="G32" s="1941"/>
      <c r="H32" s="1952"/>
      <c r="I32" s="1952" t="s">
        <v>103</v>
      </c>
    </row>
    <row r="33" spans="1:9" ht="16.350000000000001" customHeight="1">
      <c r="A33" s="1320" t="s">
        <v>1397</v>
      </c>
      <c r="C33" s="1968" t="s">
        <v>103</v>
      </c>
      <c r="D33" s="1968"/>
      <c r="E33" s="1969" t="s">
        <v>103</v>
      </c>
      <c r="F33" s="1970"/>
      <c r="G33" s="1941"/>
      <c r="H33" s="1941"/>
      <c r="I33" s="1971" t="s">
        <v>103</v>
      </c>
    </row>
    <row r="34" spans="1:9" ht="14.85" customHeight="1">
      <c r="A34" s="1326" t="s">
        <v>1398</v>
      </c>
      <c r="C34" s="1946" t="s">
        <v>103</v>
      </c>
      <c r="D34" s="1948"/>
      <c r="E34" s="1972" t="s">
        <v>103</v>
      </c>
      <c r="F34" s="337"/>
      <c r="G34" s="1947" t="s">
        <v>103</v>
      </c>
      <c r="H34" s="1947"/>
      <c r="I34" s="1973"/>
    </row>
    <row r="35" spans="1:9" ht="16.350000000000001" customHeight="1">
      <c r="A35" s="1326" t="s">
        <v>1408</v>
      </c>
      <c r="C35" s="1966" t="s">
        <v>103</v>
      </c>
      <c r="D35" s="1964"/>
      <c r="E35" s="1966" t="s">
        <v>103</v>
      </c>
      <c r="F35" s="1964"/>
      <c r="G35" s="1947" t="s">
        <v>103</v>
      </c>
      <c r="H35" s="1308" t="s">
        <v>103</v>
      </c>
      <c r="I35" s="1952" t="s">
        <v>103</v>
      </c>
    </row>
    <row r="36" spans="1:9" ht="16.350000000000001" customHeight="1">
      <c r="A36" s="1326" t="s">
        <v>1409</v>
      </c>
      <c r="C36" s="1966"/>
      <c r="D36" s="1964"/>
      <c r="E36" s="1966" t="s">
        <v>103</v>
      </c>
      <c r="F36" s="1964"/>
      <c r="G36" s="1952" t="s">
        <v>103</v>
      </c>
      <c r="H36" s="1308"/>
      <c r="I36" s="1953" t="s">
        <v>103</v>
      </c>
    </row>
    <row r="37" spans="1:9">
      <c r="C37" s="1964"/>
      <c r="D37" s="1966"/>
      <c r="E37" s="1964"/>
      <c r="F37" s="1964"/>
      <c r="G37" s="1952"/>
      <c r="H37" s="1308"/>
      <c r="I37" s="1952" t="s">
        <v>103</v>
      </c>
    </row>
    <row r="38" spans="1:9">
      <c r="C38" s="1957"/>
      <c r="D38" s="1958"/>
      <c r="E38" s="1974"/>
      <c r="F38" s="1959"/>
      <c r="G38" s="1960"/>
      <c r="H38" s="1960"/>
      <c r="I38" s="1961"/>
    </row>
    <row r="39" spans="1:9">
      <c r="C39" s="1957"/>
      <c r="D39" s="1958"/>
      <c r="E39" s="1974"/>
      <c r="F39" s="1959"/>
      <c r="G39" s="1960"/>
      <c r="H39" s="1960"/>
      <c r="I39" s="1961"/>
    </row>
    <row r="40" spans="1:9">
      <c r="B40" s="1301"/>
      <c r="C40" s="1951"/>
      <c r="D40" s="1951"/>
      <c r="E40" s="1951"/>
      <c r="F40" s="1951"/>
      <c r="G40" s="1301"/>
      <c r="H40" s="1301"/>
      <c r="I40" s="1952" t="s">
        <v>103</v>
      </c>
    </row>
    <row r="41" spans="1:9">
      <c r="B41" s="1301"/>
      <c r="C41" s="1951"/>
      <c r="D41" s="1951"/>
      <c r="E41" s="1951"/>
      <c r="F41" s="1951"/>
      <c r="G41" s="1301"/>
      <c r="H41" s="1301"/>
      <c r="I41" s="1301"/>
    </row>
    <row r="42" spans="1:9">
      <c r="B42" s="1301"/>
      <c r="C42" s="1951"/>
      <c r="D42" s="1951"/>
      <c r="E42" s="1951"/>
      <c r="F42" s="1951"/>
      <c r="G42" s="1301"/>
      <c r="H42" s="1301"/>
      <c r="I42" s="1301"/>
    </row>
    <row r="43" spans="1:9">
      <c r="B43" s="1301"/>
      <c r="C43" s="1951"/>
      <c r="D43" s="1951"/>
      <c r="E43" s="1951"/>
      <c r="F43" s="1951"/>
      <c r="G43" s="1301"/>
      <c r="H43" s="1301"/>
      <c r="I43" s="1301"/>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88671875" defaultRowHeight="15"/>
  <cols>
    <col min="1" max="1" width="44.88671875" style="10" customWidth="1"/>
    <col min="2" max="2" width="13.88671875" style="10" customWidth="1"/>
    <col min="3" max="3" width="1.109375" style="10" customWidth="1"/>
    <col min="4" max="4" width="13.88671875" style="10" customWidth="1"/>
    <col min="5" max="5" width="1.88671875" style="10" customWidth="1"/>
    <col min="6" max="6" width="13.88671875" style="10" customWidth="1"/>
    <col min="7" max="7" width="1.109375" style="10" customWidth="1"/>
    <col min="8" max="8" width="13.88671875" style="10" customWidth="1"/>
    <col min="9" max="11" width="1.109375" style="10" customWidth="1"/>
    <col min="12" max="12" width="13.88671875" style="10" customWidth="1"/>
    <col min="13" max="13" width="1.5546875" style="10" customWidth="1"/>
    <col min="14" max="14" width="13.88671875" style="10" customWidth="1"/>
    <col min="15" max="17" width="1.109375" style="10" customWidth="1"/>
    <col min="18" max="18" width="13.88671875" style="10" customWidth="1"/>
    <col min="19" max="19" width="1.109375" style="10" customWidth="1"/>
    <col min="20" max="20" width="13.88671875" style="10" customWidth="1"/>
    <col min="21" max="22" width="1.109375" style="10" customWidth="1"/>
    <col min="23" max="23" width="13.88671875" style="10" customWidth="1"/>
    <col min="24" max="24" width="1.109375" style="10" customWidth="1"/>
    <col min="25" max="25" width="13.88671875" style="10" customWidth="1"/>
    <col min="26" max="26" width="3.109375" style="10" customWidth="1"/>
    <col min="27" max="16384" width="8.8867187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3"/>
      <c r="S3" s="2094"/>
      <c r="T3" s="2094"/>
      <c r="U3" s="508"/>
      <c r="V3" s="508"/>
      <c r="W3" s="296"/>
      <c r="X3" s="359"/>
      <c r="Y3" s="2095" t="s">
        <v>202</v>
      </c>
      <c r="Z3" s="2095"/>
    </row>
    <row r="4" spans="1:26" s="5" customFormat="1" ht="15.75">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5"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ht="15.75">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ht="15.75">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ht="15.75">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ht="15.75">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ht="15.75">
      <c r="A11" s="296"/>
      <c r="B11" s="3"/>
      <c r="C11" s="3"/>
      <c r="D11" s="3"/>
      <c r="E11" s="3"/>
      <c r="F11" s="3"/>
      <c r="G11" s="369"/>
      <c r="H11" s="3"/>
      <c r="I11" s="3"/>
      <c r="J11" s="3"/>
      <c r="K11" s="3"/>
      <c r="L11" s="296"/>
      <c r="M11" s="54"/>
      <c r="N11" s="509"/>
      <c r="O11" s="509"/>
      <c r="P11" s="509"/>
      <c r="Q11" s="1002"/>
      <c r="R11" s="54"/>
      <c r="S11" s="54"/>
      <c r="T11" s="54"/>
      <c r="U11" s="54"/>
      <c r="V11" s="54"/>
      <c r="W11" s="296"/>
      <c r="X11" s="359"/>
      <c r="Y11" s="359"/>
      <c r="Z11" s="359"/>
    </row>
    <row r="12" spans="1:26" ht="16.350000000000001"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51" t="s">
        <v>207</v>
      </c>
      <c r="X12" s="702"/>
      <c r="Y12" s="702"/>
      <c r="Z12" s="8"/>
    </row>
    <row r="13" spans="1:26" ht="13.35" customHeight="1">
      <c r="A13" s="296"/>
      <c r="B13" s="1003"/>
      <c r="C13" s="1003"/>
      <c r="D13" s="1003"/>
      <c r="E13" s="296"/>
      <c r="F13" s="1003"/>
      <c r="G13" s="1004"/>
      <c r="H13" s="1003"/>
      <c r="I13" s="296"/>
      <c r="J13" s="296"/>
      <c r="K13" s="296"/>
      <c r="L13" s="1003"/>
      <c r="M13" s="1003"/>
      <c r="N13" s="1003"/>
      <c r="O13" s="1003"/>
      <c r="P13" s="1003"/>
      <c r="Q13" s="1003"/>
      <c r="R13" s="1003"/>
      <c r="S13" s="1003"/>
      <c r="T13" s="1003"/>
      <c r="U13" s="296"/>
      <c r="V13" s="408"/>
      <c r="W13" s="7"/>
      <c r="X13" s="9"/>
      <c r="Y13" s="9"/>
      <c r="Z13" s="9"/>
    </row>
    <row r="14" spans="1:26" ht="16.350000000000001" customHeight="1">
      <c r="A14" s="296"/>
      <c r="B14" s="54" t="s">
        <v>109</v>
      </c>
      <c r="C14" s="3"/>
      <c r="D14" s="54" t="str">
        <f>'Exhibit A'!F11</f>
        <v>8 MOS. ENDED</v>
      </c>
      <c r="E14" s="3"/>
      <c r="F14" s="54" t="s">
        <v>109</v>
      </c>
      <c r="G14" s="60"/>
      <c r="H14" s="54" t="str">
        <f>D14</f>
        <v>8 MOS. ENDED</v>
      </c>
      <c r="I14" s="54"/>
      <c r="J14" s="54"/>
      <c r="K14" s="3"/>
      <c r="L14" s="54" t="s">
        <v>109</v>
      </c>
      <c r="M14" s="3"/>
      <c r="N14" s="54" t="str">
        <f>D14</f>
        <v>8 MOS. ENDED</v>
      </c>
      <c r="O14" s="54"/>
      <c r="P14" s="54"/>
      <c r="Q14" s="3"/>
      <c r="R14" s="54" t="s">
        <v>109</v>
      </c>
      <c r="S14" s="3"/>
      <c r="T14" s="54" t="str">
        <f>H14</f>
        <v>8 MOS. ENDED</v>
      </c>
      <c r="U14" s="54"/>
      <c r="V14" s="400"/>
      <c r="W14" s="324" t="s">
        <v>110</v>
      </c>
      <c r="X14" s="60"/>
      <c r="Y14" s="325" t="s">
        <v>111</v>
      </c>
      <c r="Z14" s="9"/>
    </row>
    <row r="15" spans="1:26" ht="16.350000000000001" customHeight="1">
      <c r="A15" s="296"/>
      <c r="B15" s="1844" t="str">
        <f>'Exhibit A'!D12</f>
        <v>NOV. 2025</v>
      </c>
      <c r="C15" s="3"/>
      <c r="D15" s="1847" t="str">
        <f>'Exhibit A'!F12</f>
        <v>NOV. 30, 2025</v>
      </c>
      <c r="E15" s="3"/>
      <c r="F15" s="54" t="str">
        <f>B15</f>
        <v>NOV. 2025</v>
      </c>
      <c r="G15" s="3"/>
      <c r="H15" s="54" t="str">
        <f>D15</f>
        <v>NOV. 30, 2025</v>
      </c>
      <c r="I15" s="54"/>
      <c r="J15" s="54"/>
      <c r="K15" s="3"/>
      <c r="L15" s="54" t="str">
        <f>B15</f>
        <v>NOV. 2025</v>
      </c>
      <c r="M15" s="3"/>
      <c r="N15" s="54" t="str">
        <f>'Exhibit A'!X12</f>
        <v>NOV. 30, 2025</v>
      </c>
      <c r="O15" s="54"/>
      <c r="P15" s="54"/>
      <c r="Q15" s="3"/>
      <c r="R15" s="1239" t="str">
        <f>'Exhibit A'!AB12</f>
        <v>NOV. 2024</v>
      </c>
      <c r="S15" s="3"/>
      <c r="T15" s="1239" t="str">
        <f>'Exhibit A'!AD12</f>
        <v>NOV. 30, 2024</v>
      </c>
      <c r="U15" s="319"/>
      <c r="V15" s="401"/>
      <c r="W15" s="1238" t="s">
        <v>112</v>
      </c>
      <c r="X15" s="60"/>
      <c r="Y15" s="1005" t="s">
        <v>113</v>
      </c>
      <c r="Z15" s="9"/>
    </row>
    <row r="16" spans="1:26" ht="13.35" customHeight="1">
      <c r="A16" s="296"/>
      <c r="B16" s="1003"/>
      <c r="C16" s="296"/>
      <c r="D16" s="1003" t="s">
        <v>103</v>
      </c>
      <c r="E16" s="296"/>
      <c r="F16" s="1003"/>
      <c r="G16" s="296"/>
      <c r="H16" s="1004" t="s">
        <v>103</v>
      </c>
      <c r="I16" s="369"/>
      <c r="J16" s="1532"/>
      <c r="K16" s="296"/>
      <c r="L16" s="1003"/>
      <c r="M16" s="296"/>
      <c r="N16" s="1003"/>
      <c r="O16" s="296"/>
      <c r="P16" s="1533"/>
      <c r="Q16" s="296"/>
      <c r="R16" s="296"/>
      <c r="S16" s="296"/>
      <c r="T16" s="296"/>
      <c r="U16" s="296"/>
      <c r="V16" s="408"/>
      <c r="W16" s="7"/>
      <c r="X16" s="296"/>
      <c r="Y16" s="9"/>
      <c r="Z16" s="296"/>
    </row>
    <row r="17" spans="1:27" ht="16.350000000000001" customHeight="1">
      <c r="A17" s="3" t="s">
        <v>114</v>
      </c>
      <c r="B17" s="296"/>
      <c r="C17" s="296"/>
      <c r="D17" s="296"/>
      <c r="E17" s="296"/>
      <c r="F17" s="296"/>
      <c r="G17" s="296"/>
      <c r="H17" s="296"/>
      <c r="I17" s="296"/>
      <c r="J17" s="1533"/>
      <c r="K17" s="296"/>
      <c r="L17" s="296"/>
      <c r="M17" s="296"/>
      <c r="N17" s="296"/>
      <c r="O17" s="296"/>
      <c r="P17" s="1533"/>
      <c r="Q17" s="296"/>
      <c r="R17" s="296"/>
      <c r="S17" s="296"/>
      <c r="T17" s="296"/>
      <c r="U17" s="296"/>
      <c r="V17" s="408"/>
      <c r="W17" s="7"/>
      <c r="X17" s="296"/>
      <c r="Y17" s="9"/>
      <c r="Z17" s="296"/>
    </row>
    <row r="18" spans="1:27" ht="16.350000000000001" customHeight="1">
      <c r="A18" s="296" t="s">
        <v>119</v>
      </c>
      <c r="B18" s="279">
        <f>'Exhibit J'!Q17</f>
        <v>333.99999999999989</v>
      </c>
      <c r="C18" s="279"/>
      <c r="D18" s="279">
        <f>+'Exhibit J'!AB17</f>
        <v>2704.3</v>
      </c>
      <c r="E18" s="279"/>
      <c r="F18" s="279">
        <f>'Exhibit K'!P17</f>
        <v>76.999999999999986</v>
      </c>
      <c r="G18" s="279"/>
      <c r="H18" s="279">
        <f>+'Exhibit K'!AA17</f>
        <v>485.3</v>
      </c>
      <c r="I18" s="279"/>
      <c r="J18" s="1534"/>
      <c r="K18" s="279"/>
      <c r="L18" s="279">
        <f>ROUND(SUM(B18)+SUM(F18),1)</f>
        <v>411</v>
      </c>
      <c r="M18" s="279"/>
      <c r="N18" s="279">
        <f>ROUND(SUM(D18)+SUM(H18),1)</f>
        <v>3189.6</v>
      </c>
      <c r="O18" s="279"/>
      <c r="P18" s="1534"/>
      <c r="Q18" s="279"/>
      <c r="R18" s="279">
        <v>351.9</v>
      </c>
      <c r="S18" s="279"/>
      <c r="T18" s="279">
        <f>'Exhibit J'!AE17+'Exhibit K'!AD17</f>
        <v>2655.9</v>
      </c>
      <c r="U18" s="279"/>
      <c r="V18" s="528"/>
      <c r="W18" s="279">
        <f>ROUND(SUM(N18-T18),1)</f>
        <v>533.70000000000005</v>
      </c>
      <c r="X18" s="385"/>
      <c r="Y18" s="288">
        <f>ROUND(+W18/T18,3)</f>
        <v>0.20100000000000001</v>
      </c>
      <c r="Z18" s="385"/>
      <c r="AA18" s="1523"/>
    </row>
    <row r="19" spans="1:27" ht="16.350000000000001" customHeight="1">
      <c r="A19" s="355" t="s">
        <v>208</v>
      </c>
      <c r="B19" s="269">
        <f>'Exhibit J'!Q18</f>
        <v>4.7</v>
      </c>
      <c r="C19" s="269"/>
      <c r="D19" s="269">
        <f>+'Exhibit J'!AB18</f>
        <v>13.6</v>
      </c>
      <c r="E19" s="269"/>
      <c r="F19" s="280">
        <v>0</v>
      </c>
      <c r="G19" s="269"/>
      <c r="H19" s="280">
        <v>0</v>
      </c>
      <c r="I19" s="280"/>
      <c r="J19" s="1535"/>
      <c r="K19" s="269"/>
      <c r="L19" s="269">
        <f>ROUND(SUM(B19)+SUM(F19),1)</f>
        <v>4.7</v>
      </c>
      <c r="M19" s="269"/>
      <c r="N19" s="269">
        <f>ROUND(SUM(D19)+SUM(H19),1)</f>
        <v>13.6</v>
      </c>
      <c r="O19" s="269"/>
      <c r="P19" s="1006"/>
      <c r="Q19" s="269"/>
      <c r="R19" s="269">
        <v>1</v>
      </c>
      <c r="S19" s="269"/>
      <c r="T19" s="269">
        <f>'Exhibit J'!AE18</f>
        <v>10.199999999999999</v>
      </c>
      <c r="U19" s="269"/>
      <c r="V19" s="531"/>
      <c r="W19" s="269">
        <f>ROUND(SUM(N19-T19),1)</f>
        <v>3.4</v>
      </c>
      <c r="X19" s="532"/>
      <c r="Y19" s="1088">
        <f>ROUND(+W19/T19,3)</f>
        <v>0.33300000000000002</v>
      </c>
      <c r="Z19" s="273"/>
      <c r="AA19" s="1523"/>
    </row>
    <row r="20" spans="1:27" ht="16.350000000000001" customHeight="1">
      <c r="A20" s="296" t="s">
        <v>209</v>
      </c>
      <c r="B20" s="269">
        <f>'Exhibit J'!Q19</f>
        <v>292.70000000000016</v>
      </c>
      <c r="C20" s="269"/>
      <c r="D20" s="269">
        <f>+'Exhibit J'!AB19</f>
        <v>1983.2</v>
      </c>
      <c r="E20" s="269"/>
      <c r="F20" s="280">
        <v>0</v>
      </c>
      <c r="G20" s="269"/>
      <c r="H20" s="280">
        <v>0</v>
      </c>
      <c r="I20" s="280"/>
      <c r="J20" s="1535"/>
      <c r="K20" s="269"/>
      <c r="L20" s="388">
        <f>ROUND(SUM(B20+F20),1)</f>
        <v>292.7</v>
      </c>
      <c r="M20" s="269"/>
      <c r="N20" s="269">
        <f>ROUND(SUM(D20)+SUM(H20),1)</f>
        <v>1983.2</v>
      </c>
      <c r="O20" s="269"/>
      <c r="P20" s="1006"/>
      <c r="Q20" s="269"/>
      <c r="R20" s="269">
        <v>205.6</v>
      </c>
      <c r="S20" s="372"/>
      <c r="T20" s="269">
        <f>'Exhibit J'!AE19</f>
        <v>1841.6</v>
      </c>
      <c r="U20" s="269"/>
      <c r="V20" s="531"/>
      <c r="W20" s="269">
        <f>ROUND(SUM(N20-T20),1)</f>
        <v>141.6</v>
      </c>
      <c r="X20" s="532"/>
      <c r="Y20" s="614">
        <f>ROUND(+W20/T20,3)</f>
        <v>7.6999999999999999E-2</v>
      </c>
      <c r="Z20" s="273"/>
      <c r="AA20" s="1523"/>
    </row>
    <row r="21" spans="1:27" ht="15.75">
      <c r="A21" s="3" t="s">
        <v>121</v>
      </c>
      <c r="B21" s="1845">
        <f>ROUND(SUM(B18:B20),1)</f>
        <v>631.4</v>
      </c>
      <c r="C21" s="13"/>
      <c r="D21" s="1845">
        <f>ROUND(SUM(D18:D20),1)</f>
        <v>4701.1000000000004</v>
      </c>
      <c r="E21" s="13"/>
      <c r="F21" s="1845">
        <f>ROUND(SUM(F18:F20),1)</f>
        <v>77</v>
      </c>
      <c r="G21" s="13"/>
      <c r="H21" s="1845">
        <f>ROUND(SUM(H18:H20),1)</f>
        <v>485.3</v>
      </c>
      <c r="I21" s="13"/>
      <c r="J21" s="1536"/>
      <c r="K21" s="13"/>
      <c r="L21" s="1845">
        <f>SUM(L18:L20)</f>
        <v>708.4</v>
      </c>
      <c r="M21" s="13"/>
      <c r="N21" s="1845">
        <f>SUM(N18:N20)</f>
        <v>5186.3999999999996</v>
      </c>
      <c r="O21" s="13"/>
      <c r="P21" s="1536"/>
      <c r="Q21" s="13"/>
      <c r="R21" s="1845">
        <f>ROUND(SUM(R18:R20),1)</f>
        <v>558.5</v>
      </c>
      <c r="S21" s="13"/>
      <c r="T21" s="1845">
        <f>ROUND(SUM(T18:T20),1)</f>
        <v>4507.7</v>
      </c>
      <c r="U21" s="13"/>
      <c r="V21" s="102"/>
      <c r="W21" s="1845">
        <f>ROUND(SUM(W18:W20),1)</f>
        <v>678.7</v>
      </c>
      <c r="X21" s="273"/>
      <c r="Y21" s="1853">
        <f>ROUND(+W21/T21,3)</f>
        <v>0.151</v>
      </c>
      <c r="Z21" s="273"/>
      <c r="AA21" s="1523"/>
    </row>
    <row r="22" spans="1:27" ht="15.75">
      <c r="A22" s="3"/>
      <c r="B22" s="269"/>
      <c r="C22" s="269"/>
      <c r="D22" s="269"/>
      <c r="E22" s="269"/>
      <c r="F22" s="269"/>
      <c r="G22" s="269"/>
      <c r="H22" s="269"/>
      <c r="I22" s="269"/>
      <c r="J22" s="1006"/>
      <c r="K22" s="269"/>
      <c r="L22" s="269"/>
      <c r="M22" s="269"/>
      <c r="N22" s="269"/>
      <c r="O22" s="269"/>
      <c r="P22" s="1006"/>
      <c r="Q22" s="269"/>
      <c r="R22" s="269"/>
      <c r="S22" s="269"/>
      <c r="T22" s="269"/>
      <c r="U22" s="269"/>
      <c r="V22" s="531"/>
      <c r="W22" s="369"/>
      <c r="X22" s="296"/>
      <c r="Y22" s="369"/>
      <c r="Z22" s="296"/>
      <c r="AA22" s="1523"/>
    </row>
    <row r="23" spans="1:27" ht="16.350000000000001" customHeight="1">
      <c r="A23" s="3" t="s">
        <v>122</v>
      </c>
      <c r="B23" s="269"/>
      <c r="C23" s="269"/>
      <c r="D23" s="269"/>
      <c r="E23" s="269"/>
      <c r="F23" s="269"/>
      <c r="G23" s="269"/>
      <c r="H23" s="269"/>
      <c r="I23" s="269"/>
      <c r="J23" s="1006"/>
      <c r="K23" s="269"/>
      <c r="L23" s="269"/>
      <c r="M23" s="269"/>
      <c r="N23" s="269"/>
      <c r="O23" s="269"/>
      <c r="P23" s="1006"/>
      <c r="Q23" s="269"/>
      <c r="R23" s="269"/>
      <c r="S23" s="269"/>
      <c r="T23" s="269"/>
      <c r="U23" s="269"/>
      <c r="V23" s="531"/>
      <c r="W23" s="369"/>
      <c r="X23" s="296"/>
      <c r="Y23" s="369"/>
      <c r="Z23" s="296"/>
      <c r="AA23" s="1523"/>
    </row>
    <row r="24" spans="1:27" ht="16.350000000000001" customHeight="1">
      <c r="A24" s="296" t="s">
        <v>135</v>
      </c>
      <c r="B24" s="269"/>
      <c r="C24" s="269"/>
      <c r="D24" s="269"/>
      <c r="E24" s="269"/>
      <c r="F24" s="269"/>
      <c r="G24" s="269"/>
      <c r="H24" s="269"/>
      <c r="I24" s="269"/>
      <c r="J24" s="1006"/>
      <c r="K24" s="269"/>
      <c r="L24" s="269"/>
      <c r="M24" s="269"/>
      <c r="N24" s="269"/>
      <c r="O24" s="269"/>
      <c r="P24" s="1006"/>
      <c r="Q24" s="269"/>
      <c r="R24" s="269"/>
      <c r="S24" s="269"/>
      <c r="T24" s="269"/>
      <c r="U24" s="269"/>
      <c r="V24" s="531"/>
      <c r="W24" s="369"/>
      <c r="X24" s="296"/>
      <c r="Y24" s="369"/>
      <c r="Z24" s="296"/>
      <c r="AA24" s="1523"/>
    </row>
    <row r="25" spans="1:27" ht="16.350000000000001" customHeight="1">
      <c r="A25" s="296" t="s">
        <v>210</v>
      </c>
      <c r="B25" s="269">
        <f>'Exhibit J'!Q26</f>
        <v>160.59999999999968</v>
      </c>
      <c r="C25" s="269"/>
      <c r="D25" s="269">
        <f>+'Exhibit J'!AB26</f>
        <v>1510.3</v>
      </c>
      <c r="E25" s="269"/>
      <c r="F25" s="269">
        <f>'Exhibit K'!P24</f>
        <v>10.000000000000005</v>
      </c>
      <c r="G25" s="269"/>
      <c r="H25" s="269">
        <f>+'Exhibit K'!AA24</f>
        <v>102.7</v>
      </c>
      <c r="I25" s="269"/>
      <c r="J25" s="1006"/>
      <c r="K25" s="269"/>
      <c r="L25" s="269">
        <f>ROUND(SUM(B25)+SUM(F25),1)</f>
        <v>170.6</v>
      </c>
      <c r="M25" s="269"/>
      <c r="N25" s="269">
        <f>ROUND(SUM(D25)+SUM(H25),1)</f>
        <v>1613</v>
      </c>
      <c r="O25" s="269"/>
      <c r="P25" s="1006"/>
      <c r="Q25" s="269"/>
      <c r="R25" s="269">
        <v>160.4</v>
      </c>
      <c r="S25" s="269"/>
      <c r="T25" s="269">
        <f>'Exhibit J'!AE26+'Exhibit K'!AD24</f>
        <v>1351.6000000000001</v>
      </c>
      <c r="U25" s="269"/>
      <c r="V25" s="531"/>
      <c r="W25" s="269">
        <f>ROUND(SUM(N25-T25),1)</f>
        <v>261.39999999999998</v>
      </c>
      <c r="X25" s="273"/>
      <c r="Y25" s="614">
        <f>ROUND(+W25/T25,3)</f>
        <v>0.193</v>
      </c>
      <c r="Z25" s="296"/>
      <c r="AA25" s="1523"/>
    </row>
    <row r="26" spans="1:27" ht="16.350000000000001" customHeight="1">
      <c r="A26" s="296" t="s">
        <v>211</v>
      </c>
      <c r="B26" s="269">
        <f>'Exhibit J'!Q27</f>
        <v>37.300000000000097</v>
      </c>
      <c r="C26" s="269"/>
      <c r="D26" s="269">
        <f>+'Exhibit J'!AB27</f>
        <v>567.70000000000005</v>
      </c>
      <c r="E26" s="269"/>
      <c r="F26" s="269">
        <f>'Exhibit K'!P25</f>
        <v>53.8</v>
      </c>
      <c r="G26" s="269"/>
      <c r="H26" s="269">
        <f>+'Exhibit K'!AA25</f>
        <v>507.1</v>
      </c>
      <c r="I26" s="269"/>
      <c r="J26" s="1006"/>
      <c r="K26" s="269"/>
      <c r="L26" s="269">
        <f>ROUND(SUM(B26)+SUM(F26),1)</f>
        <v>91.1</v>
      </c>
      <c r="M26" s="269"/>
      <c r="N26" s="269">
        <f>ROUND(SUM(D26)+SUM(H26),1)</f>
        <v>1074.8</v>
      </c>
      <c r="O26" s="269"/>
      <c r="P26" s="1006"/>
      <c r="Q26" s="269"/>
      <c r="R26" s="269">
        <v>87.2</v>
      </c>
      <c r="S26" s="269"/>
      <c r="T26" s="269">
        <f>'Exhibit J'!AE27+'Exhibit K'!AD25</f>
        <v>930</v>
      </c>
      <c r="U26" s="269"/>
      <c r="V26" s="531"/>
      <c r="W26" s="269">
        <f>ROUND(SUM(N26-T26),1)</f>
        <v>144.80000000000001</v>
      </c>
      <c r="X26" s="273"/>
      <c r="Y26" s="614">
        <f>ROUND(+W26/T26,3)</f>
        <v>0.156</v>
      </c>
      <c r="Z26" s="296"/>
      <c r="AA26" s="1523"/>
    </row>
    <row r="27" spans="1:27" ht="16.350000000000001" customHeight="1">
      <c r="A27" s="296" t="s">
        <v>212</v>
      </c>
      <c r="B27" s="269">
        <f>'Exhibit J'!Q28</f>
        <v>80.199999999999889</v>
      </c>
      <c r="C27" s="269"/>
      <c r="D27" s="269">
        <f>+'Exhibit J'!AB28</f>
        <v>594.9</v>
      </c>
      <c r="E27" s="269"/>
      <c r="F27" s="269">
        <f>'Exhibit K'!P26</f>
        <v>4.2999999999999989</v>
      </c>
      <c r="G27" s="269"/>
      <c r="H27" s="269">
        <f>+'Exhibit K'!AA26</f>
        <v>47.9</v>
      </c>
      <c r="I27" s="269"/>
      <c r="J27" s="1006"/>
      <c r="K27" s="269"/>
      <c r="L27" s="269">
        <f>ROUND(SUM(B27)+SUM(F27),1)</f>
        <v>84.5</v>
      </c>
      <c r="M27" s="269"/>
      <c r="N27" s="269">
        <f>ROUND(SUM(D27)+SUM(H27),1)</f>
        <v>642.79999999999995</v>
      </c>
      <c r="O27" s="269"/>
      <c r="P27" s="1006"/>
      <c r="Q27" s="269"/>
      <c r="R27" s="269">
        <v>69.2</v>
      </c>
      <c r="S27" s="372"/>
      <c r="T27" s="269">
        <f>'Exhibit J'!AE28+'Exhibit K'!AD26</f>
        <v>559.9</v>
      </c>
      <c r="U27" s="269"/>
      <c r="V27" s="531"/>
      <c r="W27" s="269">
        <f>ROUND(SUM(N27-T27),1)</f>
        <v>82.9</v>
      </c>
      <c r="X27" s="273"/>
      <c r="Y27" s="614">
        <f>ROUND(+W27/T27,3)</f>
        <v>0.14799999999999999</v>
      </c>
      <c r="Z27" s="296"/>
      <c r="AA27" s="1523"/>
    </row>
    <row r="28" spans="1:27" ht="15.75" customHeight="1">
      <c r="A28" s="355" t="s">
        <v>213</v>
      </c>
      <c r="B28" s="269">
        <f>'Exhibit J'!Q29</f>
        <v>297.4000000000002</v>
      </c>
      <c r="C28" s="269"/>
      <c r="D28" s="269">
        <f>+'Exhibit J'!AB29</f>
        <v>7952.8</v>
      </c>
      <c r="E28" s="269"/>
      <c r="F28" s="280">
        <v>0</v>
      </c>
      <c r="G28" s="269"/>
      <c r="H28" s="849">
        <v>0</v>
      </c>
      <c r="I28" s="280"/>
      <c r="J28" s="1535"/>
      <c r="K28" s="269"/>
      <c r="L28" s="269">
        <f>ROUND(SUM(B28)+SUM(F28),1)</f>
        <v>297.39999999999998</v>
      </c>
      <c r="M28" s="372"/>
      <c r="N28" s="269">
        <f>ROUND(SUM(D28)+SUM(H28),1)</f>
        <v>7952.8</v>
      </c>
      <c r="O28" s="269"/>
      <c r="P28" s="1006"/>
      <c r="Q28" s="269"/>
      <c r="R28" s="269">
        <v>206.6</v>
      </c>
      <c r="S28" s="292"/>
      <c r="T28" s="1994">
        <f>'Exhibit J'!AE29</f>
        <v>1851.8</v>
      </c>
      <c r="U28" s="293"/>
      <c r="V28" s="533"/>
      <c r="W28" s="269">
        <f>ROUND(SUM(N28-T28),1)</f>
        <v>6101</v>
      </c>
      <c r="X28" s="273"/>
      <c r="Y28" s="614">
        <f>ROUND(IF(T28=0,0,W28/ABS(T28)),3)</f>
        <v>3.2949999999999999</v>
      </c>
      <c r="Z28" s="273"/>
      <c r="AA28" s="1523"/>
    </row>
    <row r="29" spans="1:27" ht="15.75">
      <c r="A29" s="3" t="s">
        <v>162</v>
      </c>
      <c r="B29" s="1845">
        <f>ROUND(SUM(B25:B28),1)</f>
        <v>575.5</v>
      </c>
      <c r="C29" s="13"/>
      <c r="D29" s="1845">
        <f>ROUND(SUM(D25:D28),1)</f>
        <v>10625.7</v>
      </c>
      <c r="E29" s="13"/>
      <c r="F29" s="1845">
        <f>ROUND(SUM(F24:F28),1)</f>
        <v>68.099999999999994</v>
      </c>
      <c r="G29" s="13"/>
      <c r="H29" s="1845">
        <f>ROUND(SUM(H25:H28),1)</f>
        <v>657.7</v>
      </c>
      <c r="I29" s="13"/>
      <c r="J29" s="1536"/>
      <c r="K29" s="13"/>
      <c r="L29" s="1845">
        <f>ROUND(SUM(L25:L28),1)</f>
        <v>643.6</v>
      </c>
      <c r="M29" s="13"/>
      <c r="N29" s="1845">
        <f>ROUND(SUM(N25:N28),1)</f>
        <v>11283.4</v>
      </c>
      <c r="O29" s="13"/>
      <c r="P29" s="1536"/>
      <c r="Q29" s="13"/>
      <c r="R29" s="1845">
        <f>ROUND(SUM(R25:R28),1)</f>
        <v>523.4</v>
      </c>
      <c r="S29" s="13"/>
      <c r="T29" s="1845">
        <f>ROUND(SUM(T25:T28),1)</f>
        <v>4693.3</v>
      </c>
      <c r="U29" s="13"/>
      <c r="V29" s="102"/>
      <c r="W29" s="1845">
        <f>ROUND(SUM(W25:W28),1)</f>
        <v>6590.1</v>
      </c>
      <c r="X29" s="273"/>
      <c r="Y29" s="1853">
        <f>ROUND(+W29/T29,3)</f>
        <v>1.4039999999999999</v>
      </c>
      <c r="Z29" s="273"/>
      <c r="AA29" s="1523"/>
    </row>
    <row r="30" spans="1:27" ht="15.75">
      <c r="A30" s="3"/>
      <c r="B30" s="269"/>
      <c r="C30" s="269"/>
      <c r="D30" s="269"/>
      <c r="E30" s="269"/>
      <c r="F30" s="269"/>
      <c r="G30" s="269"/>
      <c r="H30" s="269"/>
      <c r="I30" s="269"/>
      <c r="J30" s="1006"/>
      <c r="K30" s="269"/>
      <c r="L30" s="269"/>
      <c r="M30" s="269"/>
      <c r="N30" s="269"/>
      <c r="O30" s="269"/>
      <c r="P30" s="1006"/>
      <c r="Q30" s="269"/>
      <c r="R30" s="269"/>
      <c r="S30" s="269"/>
      <c r="T30" s="269"/>
      <c r="U30" s="269"/>
      <c r="V30" s="531"/>
      <c r="W30" s="369"/>
      <c r="X30" s="296"/>
      <c r="Y30" s="369"/>
      <c r="Z30" s="296"/>
      <c r="AA30" s="1523"/>
    </row>
    <row r="31" spans="1:27" ht="16.350000000000001" customHeight="1">
      <c r="A31" s="3" t="s">
        <v>143</v>
      </c>
      <c r="B31" s="269"/>
      <c r="C31" s="269"/>
      <c r="D31" s="269"/>
      <c r="E31" s="269"/>
      <c r="F31" s="269"/>
      <c r="G31" s="269"/>
      <c r="H31" s="269"/>
      <c r="I31" s="269"/>
      <c r="J31" s="1006"/>
      <c r="K31" s="269"/>
      <c r="L31" s="269"/>
      <c r="M31" s="269"/>
      <c r="N31" s="269"/>
      <c r="O31" s="269"/>
      <c r="P31" s="1006"/>
      <c r="Q31" s="269"/>
      <c r="R31" s="269"/>
      <c r="S31" s="269"/>
      <c r="T31" s="269"/>
      <c r="U31" s="269"/>
      <c r="V31" s="531"/>
      <c r="W31" s="369"/>
      <c r="X31" s="296"/>
      <c r="Y31" s="369"/>
      <c r="Z31" s="296"/>
      <c r="AA31" s="1523"/>
    </row>
    <row r="32" spans="1:27" ht="15.75">
      <c r="A32" s="3" t="s">
        <v>214</v>
      </c>
      <c r="B32" s="1846">
        <f>ROUND(SUM(B21-B29),1)</f>
        <v>55.9</v>
      </c>
      <c r="C32" s="13"/>
      <c r="D32" s="362">
        <f>ROUND(SUM(D21-D29),1)</f>
        <v>-5924.6</v>
      </c>
      <c r="E32" s="13"/>
      <c r="F32" s="362">
        <f>ROUND(SUM(F21-F29),1)</f>
        <v>8.9</v>
      </c>
      <c r="G32" s="13"/>
      <c r="H32" s="362">
        <f>ROUND(SUM(H21-H29),1)</f>
        <v>-172.4</v>
      </c>
      <c r="I32" s="13"/>
      <c r="J32" s="1536"/>
      <c r="K32" s="13"/>
      <c r="L32" s="362">
        <f>ROUND(SUM(L21-L29),1)</f>
        <v>64.8</v>
      </c>
      <c r="M32" s="13"/>
      <c r="N32" s="362">
        <f>ROUND(SUM(N21-N29),1)</f>
        <v>-6097</v>
      </c>
      <c r="O32" s="13"/>
      <c r="P32" s="1536"/>
      <c r="Q32" s="13"/>
      <c r="R32" s="362">
        <f>ROUND(SUM(R21-R29),1)</f>
        <v>35.1</v>
      </c>
      <c r="S32" s="13"/>
      <c r="T32" s="362">
        <f>ROUND(SUM(T21-T29),1)</f>
        <v>-185.6</v>
      </c>
      <c r="U32" s="13"/>
      <c r="V32" s="102"/>
      <c r="W32" s="362">
        <f>ROUND(SUM(W21-W29),1)</f>
        <v>-5911.4</v>
      </c>
      <c r="X32" s="296"/>
      <c r="Y32" s="1854">
        <f>-ROUND(+W32/T32,3)</f>
        <v>-31.85</v>
      </c>
      <c r="Z32" s="296"/>
      <c r="AA32" s="1523"/>
    </row>
    <row r="33" spans="1:27">
      <c r="A33" s="296"/>
      <c r="B33" s="269"/>
      <c r="C33" s="269"/>
      <c r="D33" s="269"/>
      <c r="E33" s="269"/>
      <c r="F33" s="269"/>
      <c r="G33" s="269"/>
      <c r="H33" s="269"/>
      <c r="I33" s="269"/>
      <c r="J33" s="1006"/>
      <c r="K33" s="269"/>
      <c r="L33" s="269"/>
      <c r="M33" s="269"/>
      <c r="N33" s="269"/>
      <c r="O33" s="269"/>
      <c r="P33" s="1006"/>
      <c r="Q33" s="269"/>
      <c r="R33" s="269"/>
      <c r="S33" s="269"/>
      <c r="T33" s="269"/>
      <c r="U33" s="269"/>
      <c r="V33" s="531"/>
      <c r="W33" s="369"/>
      <c r="X33" s="296"/>
      <c r="Y33" s="369"/>
      <c r="Z33" s="296"/>
      <c r="AA33" s="1523"/>
    </row>
    <row r="34" spans="1:27" ht="16.350000000000001" customHeight="1">
      <c r="A34" s="3" t="s">
        <v>145</v>
      </c>
      <c r="B34" s="269"/>
      <c r="C34" s="269"/>
      <c r="D34" s="269"/>
      <c r="E34" s="269"/>
      <c r="F34" s="269"/>
      <c r="G34" s="269"/>
      <c r="H34" s="269"/>
      <c r="I34" s="269"/>
      <c r="J34" s="1006"/>
      <c r="K34" s="269"/>
      <c r="L34" s="269"/>
      <c r="M34" s="269"/>
      <c r="N34" s="269"/>
      <c r="O34" s="269"/>
      <c r="P34" s="1006"/>
      <c r="Q34" s="269"/>
      <c r="R34" s="269"/>
      <c r="S34" s="269"/>
      <c r="T34" s="269"/>
      <c r="U34" s="269"/>
      <c r="V34" s="531"/>
      <c r="W34" s="369"/>
      <c r="X34" s="296"/>
      <c r="Y34" s="369"/>
      <c r="Z34" s="296"/>
      <c r="AA34" s="1523"/>
    </row>
    <row r="35" spans="1:27" ht="16.350000000000001" customHeight="1">
      <c r="A35" s="296" t="s">
        <v>147</v>
      </c>
      <c r="B35" s="280">
        <f>+'Exhibit J'!Q39</f>
        <v>0</v>
      </c>
      <c r="C35" s="269"/>
      <c r="D35" s="280">
        <f>+'Exhibit J'!AB39</f>
        <v>6076.5</v>
      </c>
      <c r="E35" s="269"/>
      <c r="F35" s="269">
        <f>'Exhibit K'!P36</f>
        <v>3.1999999999999984</v>
      </c>
      <c r="G35" s="292"/>
      <c r="H35" s="293">
        <f>+'Exhibit K'!AA36</f>
        <v>57.8</v>
      </c>
      <c r="I35" s="293"/>
      <c r="J35" s="1537"/>
      <c r="K35" s="269"/>
      <c r="L35" s="269">
        <f>ROUND(SUM(B35)+SUM(F35),1)</f>
        <v>3.2</v>
      </c>
      <c r="M35" s="292"/>
      <c r="N35" s="269">
        <f>ROUND(SUM(D35)+SUM(H35),1)</f>
        <v>6134.3</v>
      </c>
      <c r="O35" s="269"/>
      <c r="P35" s="1006"/>
      <c r="Q35" s="269"/>
      <c r="R35" s="269">
        <v>3.7</v>
      </c>
      <c r="S35" s="269"/>
      <c r="T35" s="294">
        <f>'Exhibit J'!AE39+'Exhibit K'!AD36</f>
        <v>81.5</v>
      </c>
      <c r="U35" s="294"/>
      <c r="V35" s="534"/>
      <c r="W35" s="269">
        <f>ROUND(SUM(N35-T35),1)</f>
        <v>6052.8</v>
      </c>
      <c r="X35" s="273"/>
      <c r="Y35" s="548">
        <f>ROUND(IF(W35=0,0,W35/(T35)),3)</f>
        <v>74.266999999999996</v>
      </c>
      <c r="Z35" s="1007"/>
      <c r="AA35" s="1523"/>
    </row>
    <row r="36" spans="1:27" ht="16.350000000000001" customHeight="1">
      <c r="A36" s="296" t="s">
        <v>215</v>
      </c>
      <c r="B36" s="849">
        <f>+'Exhibit J'!Q40</f>
        <v>0</v>
      </c>
      <c r="C36" s="372"/>
      <c r="D36" s="849">
        <f>+'Exhibit J'!AB40</f>
        <v>0</v>
      </c>
      <c r="E36" s="269"/>
      <c r="F36" s="269">
        <f>'Exhibit K'!P37</f>
        <v>-0.10000000000000017</v>
      </c>
      <c r="G36" s="269"/>
      <c r="H36" s="293">
        <f>+'Exhibit K'!AA37</f>
        <v>-4</v>
      </c>
      <c r="I36" s="293"/>
      <c r="J36" s="1537"/>
      <c r="K36" s="269"/>
      <c r="L36" s="269">
        <f>ROUND(SUM(B36)+SUM(F36),1)</f>
        <v>-0.1</v>
      </c>
      <c r="M36" s="269"/>
      <c r="N36" s="269">
        <f>ROUND(SUM(D36)+SUM(H36),1)</f>
        <v>-4</v>
      </c>
      <c r="O36" s="269"/>
      <c r="P36" s="1006"/>
      <c r="Q36" s="269"/>
      <c r="R36" s="269">
        <v>-0.1</v>
      </c>
      <c r="S36" s="372"/>
      <c r="T36" s="294">
        <f>'Exhibit J'!AE40+'Exhibit K'!AD37</f>
        <v>-4.0999999999999996</v>
      </c>
      <c r="U36" s="294"/>
      <c r="V36" s="534"/>
      <c r="W36" s="1852">
        <f>-ROUND(SUM(N36-T36),1)</f>
        <v>-0.1</v>
      </c>
      <c r="X36" s="273"/>
      <c r="Y36" s="1040">
        <f>ROUND(IF(T36=0,0,W36/ABS(T36)),3)</f>
        <v>-2.4E-2</v>
      </c>
      <c r="Z36" s="1008"/>
      <c r="AA36" s="1523"/>
    </row>
    <row r="37" spans="1:27" ht="15.75">
      <c r="A37" s="3" t="s">
        <v>150</v>
      </c>
      <c r="B37" s="16">
        <f>ROUND(SUM(B35:B36),1)</f>
        <v>0</v>
      </c>
      <c r="C37" s="17"/>
      <c r="D37" s="16">
        <f>ROUND(SUM(D35:D36),1)</f>
        <v>6076.5</v>
      </c>
      <c r="E37" s="13"/>
      <c r="F37" s="904">
        <f>ROUND(SUM(F35:F36),1)</f>
        <v>3.1</v>
      </c>
      <c r="G37" s="18"/>
      <c r="H37" s="1848">
        <f>ROUND(SUM(H35:H36),1)</f>
        <v>53.8</v>
      </c>
      <c r="I37" s="26"/>
      <c r="J37" s="1538"/>
      <c r="K37" s="13"/>
      <c r="L37" s="904">
        <f>ROUND(SUM(L35:L36),1)</f>
        <v>3.1</v>
      </c>
      <c r="M37" s="18"/>
      <c r="N37" s="1848">
        <f>ROUND(SUM(N35:N36),1)</f>
        <v>6130.3</v>
      </c>
      <c r="O37" s="26"/>
      <c r="P37" s="1538"/>
      <c r="Q37" s="13"/>
      <c r="R37" s="904">
        <f>ROUND(SUM(R35:R36),1)</f>
        <v>3.6</v>
      </c>
      <c r="S37" s="13"/>
      <c r="T37" s="904">
        <f>ROUND(SUM(T35:T36),1)</f>
        <v>77.400000000000006</v>
      </c>
      <c r="U37" s="399"/>
      <c r="V37" s="402"/>
      <c r="W37" s="904">
        <f>N37-T37</f>
        <v>6052.9000000000005</v>
      </c>
      <c r="X37" s="535"/>
      <c r="Y37" s="545">
        <f>ROUND(SUM(W37/T37),3)</f>
        <v>78.203000000000003</v>
      </c>
      <c r="Z37" s="535"/>
      <c r="AA37" s="1523"/>
    </row>
    <row r="38" spans="1:27" ht="15.75">
      <c r="A38" s="3"/>
      <c r="B38" s="622"/>
      <c r="C38" s="269"/>
      <c r="D38" s="622"/>
      <c r="E38" s="269"/>
      <c r="F38" s="269"/>
      <c r="G38" s="269"/>
      <c r="H38" s="269"/>
      <c r="I38" s="269"/>
      <c r="J38" s="1006"/>
      <c r="K38" s="269"/>
      <c r="L38" s="269"/>
      <c r="M38" s="269"/>
      <c r="N38" s="622"/>
      <c r="O38" s="269"/>
      <c r="P38" s="1006"/>
      <c r="Q38" s="269"/>
      <c r="R38" s="269"/>
      <c r="S38" s="269"/>
      <c r="T38" s="269"/>
      <c r="U38" s="269"/>
      <c r="V38" s="531"/>
      <c r="W38" s="369"/>
      <c r="X38" s="296"/>
      <c r="Y38" s="359"/>
      <c r="Z38" s="296"/>
      <c r="AA38" s="1523"/>
    </row>
    <row r="39" spans="1:27" ht="15.75" customHeight="1">
      <c r="A39" s="3" t="s">
        <v>143</v>
      </c>
      <c r="B39" s="269"/>
      <c r="C39" s="269"/>
      <c r="D39" s="269"/>
      <c r="E39" s="269"/>
      <c r="F39" s="269"/>
      <c r="G39" s="269"/>
      <c r="H39" s="269"/>
      <c r="I39" s="269"/>
      <c r="J39" s="1006"/>
      <c r="K39" s="269"/>
      <c r="L39" s="269"/>
      <c r="M39" s="269"/>
      <c r="N39" s="269"/>
      <c r="O39" s="269"/>
      <c r="P39" s="1006"/>
      <c r="Q39" s="269"/>
      <c r="R39" s="269"/>
      <c r="S39" s="269"/>
      <c r="T39" s="269"/>
      <c r="U39" s="269"/>
      <c r="V39" s="531"/>
      <c r="W39" s="369"/>
      <c r="X39" s="296"/>
      <c r="Y39" s="359"/>
      <c r="Z39" s="296"/>
      <c r="AA39" s="1523"/>
    </row>
    <row r="40" spans="1:27" ht="15.75" customHeight="1">
      <c r="A40" s="3" t="s">
        <v>216</v>
      </c>
      <c r="B40" s="269"/>
      <c r="C40" s="269"/>
      <c r="D40" s="269"/>
      <c r="E40" s="269"/>
      <c r="F40" s="269"/>
      <c r="G40" s="269"/>
      <c r="H40" s="269"/>
      <c r="I40" s="269"/>
      <c r="J40" s="1006"/>
      <c r="K40" s="269"/>
      <c r="L40" s="269"/>
      <c r="M40" s="269"/>
      <c r="N40" s="269"/>
      <c r="O40" s="269"/>
      <c r="P40" s="1006"/>
      <c r="Q40" s="269"/>
      <c r="R40" s="269"/>
      <c r="S40" s="269"/>
      <c r="T40" s="269"/>
      <c r="U40" s="269"/>
      <c r="V40" s="531"/>
      <c r="W40" s="369"/>
      <c r="X40" s="296"/>
      <c r="Y40" s="359"/>
      <c r="Z40" s="296"/>
      <c r="AA40" s="1523"/>
    </row>
    <row r="41" spans="1:27" ht="15.75" customHeight="1">
      <c r="A41" s="3" t="s">
        <v>217</v>
      </c>
      <c r="B41" s="269"/>
      <c r="C41" s="269"/>
      <c r="D41" s="269"/>
      <c r="E41" s="269"/>
      <c r="F41" s="269"/>
      <c r="G41" s="269"/>
      <c r="H41" s="269"/>
      <c r="I41" s="269"/>
      <c r="J41" s="1006"/>
      <c r="K41" s="269"/>
      <c r="L41" s="269"/>
      <c r="M41" s="269"/>
      <c r="N41" s="269"/>
      <c r="O41" s="269"/>
      <c r="P41" s="1006"/>
      <c r="Q41" s="269"/>
      <c r="R41" s="269"/>
      <c r="S41" s="269"/>
      <c r="T41" s="269"/>
      <c r="U41" s="269"/>
      <c r="V41" s="531"/>
      <c r="W41" s="369"/>
      <c r="X41" s="296"/>
      <c r="Y41" s="359"/>
      <c r="Z41" s="296"/>
      <c r="AA41" s="1523"/>
    </row>
    <row r="42" spans="1:27" ht="15.75" customHeight="1">
      <c r="A42" s="3" t="s">
        <v>218</v>
      </c>
      <c r="B42" s="19">
        <f>ROUND(SUM(B32,B37),1)</f>
        <v>55.9</v>
      </c>
      <c r="C42" s="13"/>
      <c r="D42" s="19">
        <f>ROUND(SUM(D32,D37),1)</f>
        <v>151.9</v>
      </c>
      <c r="E42" s="13"/>
      <c r="F42" s="19">
        <f>ROUND(SUM(F32,F37),1)</f>
        <v>12</v>
      </c>
      <c r="G42" s="13"/>
      <c r="H42" s="19">
        <f>ROUND(SUM(H32,H37),1)</f>
        <v>-118.6</v>
      </c>
      <c r="I42" s="19"/>
      <c r="J42" s="1539"/>
      <c r="K42" s="13"/>
      <c r="L42" s="19">
        <f>ROUND(SUM(L32,L37),1)</f>
        <v>67.900000000000006</v>
      </c>
      <c r="M42" s="13"/>
      <c r="N42" s="19">
        <f>ROUND(SUM(N32,N37),1)</f>
        <v>33.299999999999997</v>
      </c>
      <c r="O42" s="19"/>
      <c r="P42" s="1539"/>
      <c r="Q42" s="13"/>
      <c r="R42" s="19">
        <f>ROUND(SUM(R32,R37),1)</f>
        <v>38.700000000000003</v>
      </c>
      <c r="S42" s="13"/>
      <c r="T42" s="19">
        <f>ROUND(SUM(T32,T37),1)</f>
        <v>-108.2</v>
      </c>
      <c r="U42" s="19"/>
      <c r="V42" s="403"/>
      <c r="W42" s="19">
        <f>ROUND(SUM(W32,W37),1)</f>
        <v>141.5</v>
      </c>
      <c r="X42" s="3"/>
      <c r="Y42" s="1855">
        <f>ROUND(IF(T42=0,0,W42/ABS(T42)),3)</f>
        <v>1.3080000000000001</v>
      </c>
      <c r="Z42" s="296"/>
      <c r="AA42" s="1523"/>
    </row>
    <row r="43" spans="1:27" ht="15.75">
      <c r="A43" s="3"/>
      <c r="B43" s="269"/>
      <c r="C43" s="269"/>
      <c r="D43" s="269"/>
      <c r="E43" s="269"/>
      <c r="F43" s="269"/>
      <c r="G43" s="269"/>
      <c r="H43" s="269"/>
      <c r="I43" s="269"/>
      <c r="J43" s="1006"/>
      <c r="K43" s="269"/>
      <c r="L43" s="269"/>
      <c r="M43" s="269"/>
      <c r="N43" s="269"/>
      <c r="O43" s="269"/>
      <c r="P43" s="1006"/>
      <c r="Q43" s="269"/>
      <c r="R43" s="269"/>
      <c r="S43" s="269"/>
      <c r="T43" s="269"/>
      <c r="U43" s="269"/>
      <c r="V43" s="531"/>
      <c r="W43" s="369"/>
      <c r="X43" s="296"/>
      <c r="Y43" s="369"/>
      <c r="Z43" s="296"/>
      <c r="AA43" s="1523"/>
    </row>
    <row r="44" spans="1:27" s="15" customFormat="1" ht="15.75">
      <c r="A44" s="3" t="s">
        <v>219</v>
      </c>
      <c r="B44" s="13">
        <f>+'Exhibit J'!Q14</f>
        <v>1066.3</v>
      </c>
      <c r="C44" s="13"/>
      <c r="D44" s="13">
        <f>+'Exhibit J'!AB14</f>
        <v>970.3</v>
      </c>
      <c r="E44" s="13"/>
      <c r="F44" s="1993">
        <f>+'Exhibit K'!P14</f>
        <v>-22.6</v>
      </c>
      <c r="G44" s="13"/>
      <c r="H44" s="13">
        <f>+'Exhibit K'!AA14</f>
        <v>108</v>
      </c>
      <c r="I44" s="13"/>
      <c r="J44" s="1536"/>
      <c r="K44" s="13"/>
      <c r="L44" s="13">
        <f>ROUND(SUM(B44)+SUM(F44),1)</f>
        <v>1043.7</v>
      </c>
      <c r="M44" s="13"/>
      <c r="N44" s="13">
        <f>ROUND(SUM(D44)+SUM(H44),1)</f>
        <v>1078.3</v>
      </c>
      <c r="O44" s="13"/>
      <c r="P44" s="1536"/>
      <c r="Q44" s="13"/>
      <c r="R44" s="1000">
        <v>525.70000000000005</v>
      </c>
      <c r="S44" s="13"/>
      <c r="T44" s="362">
        <f>'Exhibit J'!AE14+'Exhibit K'!AD14</f>
        <v>672.6</v>
      </c>
      <c r="U44" s="13"/>
      <c r="V44" s="102"/>
      <c r="W44" s="13">
        <f>ROUND(SUM(N44-T44),1)</f>
        <v>405.7</v>
      </c>
      <c r="X44" s="3"/>
      <c r="Y44" s="1856">
        <f>ROUND(SUM(W44/T44),3)</f>
        <v>0.60299999999999998</v>
      </c>
      <c r="Z44" s="3"/>
      <c r="AA44" s="1524"/>
    </row>
    <row r="45" spans="1:27" ht="16.5" thickBot="1">
      <c r="A45" s="3" t="s">
        <v>220</v>
      </c>
      <c r="B45" s="1010">
        <f>ROUND(SUM(B42+B44),1)</f>
        <v>1122.2</v>
      </c>
      <c r="C45" s="20"/>
      <c r="D45" s="1010">
        <f>ROUND(SUM(D42+D44),1)</f>
        <v>1122.2</v>
      </c>
      <c r="E45" s="20"/>
      <c r="F45" s="1010">
        <f>ROUND(SUM(F42+F44),1)</f>
        <v>-10.6</v>
      </c>
      <c r="G45" s="20"/>
      <c r="H45" s="1010">
        <f>ROUND(SUM(H42+H44),1)</f>
        <v>-10.6</v>
      </c>
      <c r="I45" s="20"/>
      <c r="J45" s="345"/>
      <c r="K45" s="20"/>
      <c r="L45" s="1010">
        <f>ROUND(SUM(L42+L44),1)</f>
        <v>1111.5999999999999</v>
      </c>
      <c r="M45" s="20"/>
      <c r="N45" s="1849">
        <f>ROUND(SUM(N42+N44),1)</f>
        <v>1111.5999999999999</v>
      </c>
      <c r="O45" s="20"/>
      <c r="P45" s="345"/>
      <c r="Q45" s="20"/>
      <c r="R45" s="681">
        <f>ROUND(SUM(R42+R44),1)</f>
        <v>564.4</v>
      </c>
      <c r="S45" s="20"/>
      <c r="T45" s="681">
        <f>ROUND(SUM(T42+T44),1)</f>
        <v>564.4</v>
      </c>
      <c r="U45" s="20"/>
      <c r="V45" s="98"/>
      <c r="W45" s="681">
        <f>ROUND(SUM(W42+W44),1)</f>
        <v>547.20000000000005</v>
      </c>
      <c r="X45" s="385"/>
      <c r="Y45" s="1011">
        <f>ROUND(SUM(W45/ABS(T45)),3)</f>
        <v>0.97</v>
      </c>
      <c r="Z45" s="385"/>
      <c r="AA45" s="1523"/>
    </row>
    <row r="46" spans="1:27" ht="4.3499999999999996"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50"/>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50"/>
      <c r="S49" s="7"/>
      <c r="T49" s="1850"/>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88671875" defaultRowHeight="15"/>
  <cols>
    <col min="1" max="1" width="38.109375" style="369" customWidth="1"/>
    <col min="2" max="2" width="13.88671875" style="369" customWidth="1"/>
    <col min="3" max="3" width="1.109375" style="369" customWidth="1"/>
    <col min="4" max="4" width="13.88671875" style="369" customWidth="1"/>
    <col min="5" max="5" width="1.88671875" style="369" customWidth="1"/>
    <col min="6" max="6" width="13.88671875" style="369" customWidth="1"/>
    <col min="7" max="7" width="1.109375" style="369" customWidth="1"/>
    <col min="8" max="8" width="13.88671875" style="369" customWidth="1"/>
    <col min="9" max="11" width="1.109375" style="369" customWidth="1"/>
    <col min="12" max="12" width="13.88671875" style="369" customWidth="1"/>
    <col min="13" max="13" width="1.88671875" style="369" customWidth="1"/>
    <col min="14" max="14" width="13.88671875" style="369" customWidth="1"/>
    <col min="15" max="17" width="1.109375" style="369" customWidth="1"/>
    <col min="18" max="18" width="13.88671875" style="369" customWidth="1"/>
    <col min="19" max="19" width="1.109375" style="369" customWidth="1"/>
    <col min="20" max="20" width="13.88671875" style="369" customWidth="1"/>
    <col min="21" max="22" width="1.109375" style="369" customWidth="1"/>
    <col min="23" max="23" width="13.88671875" style="369" customWidth="1"/>
    <col min="24" max="24" width="1.109375" style="369" customWidth="1"/>
    <col min="25" max="25" width="13.88671875" style="369" customWidth="1"/>
    <col min="26" max="26" width="9.109375" style="1529" bestFit="1" customWidth="1"/>
    <col min="27" max="27" width="8.88671875" style="1135"/>
    <col min="28" max="16384" width="8.8867187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3"/>
      <c r="V3" s="359"/>
      <c r="W3" s="359"/>
      <c r="X3" s="359"/>
      <c r="Y3" s="1234" t="s">
        <v>221</v>
      </c>
      <c r="Z3" s="1526"/>
      <c r="AA3" s="1525"/>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26"/>
      <c r="AA4" s="1525"/>
    </row>
    <row r="5" spans="1:27" s="296" customFormat="1" ht="15.75" customHeight="1">
      <c r="A5" s="1235" t="s">
        <v>101</v>
      </c>
      <c r="B5" s="3"/>
      <c r="C5" s="3"/>
      <c r="D5" s="3"/>
      <c r="E5" s="3"/>
      <c r="F5" s="369"/>
      <c r="G5" s="369"/>
      <c r="H5" s="3"/>
      <c r="I5" s="3"/>
      <c r="J5" s="3"/>
      <c r="K5" s="3"/>
      <c r="L5" s="3"/>
      <c r="M5" s="3"/>
      <c r="N5" s="3"/>
      <c r="O5" s="3"/>
      <c r="P5" s="3"/>
      <c r="Q5" s="3"/>
      <c r="R5" s="3"/>
      <c r="S5" s="3"/>
      <c r="T5" s="3" t="s">
        <v>103</v>
      </c>
      <c r="V5" s="359"/>
      <c r="W5" s="359"/>
      <c r="X5" s="359"/>
      <c r="Y5" s="359"/>
      <c r="Z5" s="1526"/>
      <c r="AA5" s="1525"/>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26"/>
      <c r="AA6" s="1525"/>
    </row>
    <row r="7" spans="1:27" s="296" customFormat="1" ht="15.75">
      <c r="A7" s="6"/>
      <c r="B7" s="3"/>
      <c r="C7" s="3"/>
      <c r="D7" s="3"/>
      <c r="E7" s="3"/>
      <c r="F7" s="369"/>
      <c r="G7" s="369"/>
      <c r="H7" s="3"/>
      <c r="I7" s="3"/>
      <c r="J7" s="3"/>
      <c r="K7" s="3"/>
      <c r="L7" s="3"/>
      <c r="M7" s="3"/>
      <c r="N7" s="3"/>
      <c r="O7" s="3"/>
      <c r="P7" s="3"/>
      <c r="Q7" s="3"/>
      <c r="R7" s="3"/>
      <c r="S7" s="3"/>
      <c r="T7" s="3"/>
      <c r="V7" s="359"/>
      <c r="W7" s="359"/>
      <c r="X7" s="359"/>
      <c r="Y7" s="359"/>
      <c r="Z7" s="1526"/>
      <c r="AA7" s="1525"/>
    </row>
    <row r="8" spans="1:27" s="296" customFormat="1" ht="15.75">
      <c r="B8" s="3"/>
      <c r="C8" s="3"/>
      <c r="D8" s="3"/>
      <c r="E8" s="3"/>
      <c r="F8" s="369"/>
      <c r="G8" s="369"/>
      <c r="H8" s="3"/>
      <c r="I8" s="3"/>
      <c r="J8" s="3"/>
      <c r="K8" s="3"/>
      <c r="L8" s="3"/>
      <c r="M8" s="3"/>
      <c r="N8" s="3"/>
      <c r="O8" s="3"/>
      <c r="P8" s="3"/>
      <c r="Q8" s="3"/>
      <c r="R8" s="3"/>
      <c r="S8" s="3"/>
      <c r="T8" s="3"/>
      <c r="V8" s="359"/>
      <c r="W8" s="359"/>
      <c r="X8" s="359"/>
      <c r="Y8" s="359"/>
      <c r="Z8" s="1526"/>
      <c r="AA8" s="1525"/>
    </row>
    <row r="9" spans="1:27" s="296" customFormat="1" ht="8.1" customHeight="1">
      <c r="B9" s="3"/>
      <c r="C9" s="3"/>
      <c r="D9" s="3"/>
      <c r="E9" s="3"/>
      <c r="F9" s="3"/>
      <c r="G9" s="369"/>
      <c r="H9" s="3"/>
      <c r="I9" s="3"/>
      <c r="J9" s="3"/>
      <c r="K9" s="3"/>
      <c r="L9" s="3"/>
      <c r="M9" s="3"/>
      <c r="N9" s="3"/>
      <c r="O9" s="3"/>
      <c r="P9" s="3"/>
      <c r="Q9" s="3"/>
      <c r="R9" s="3"/>
      <c r="S9" s="3"/>
      <c r="T9" s="3"/>
      <c r="X9" s="369"/>
      <c r="Y9" s="369"/>
      <c r="Z9" s="1529"/>
      <c r="AA9" s="1135"/>
    </row>
    <row r="10" spans="1:27" s="296" customFormat="1" ht="15.75">
      <c r="B10" s="3"/>
      <c r="C10" s="3"/>
      <c r="D10" s="3"/>
      <c r="E10" s="3"/>
      <c r="F10" s="3"/>
      <c r="G10" s="369"/>
      <c r="H10" s="3"/>
      <c r="I10" s="3"/>
      <c r="J10" s="3"/>
      <c r="K10" s="3"/>
      <c r="L10" s="3"/>
      <c r="M10" s="3"/>
      <c r="N10" s="3"/>
      <c r="O10" s="3"/>
      <c r="P10" s="3"/>
      <c r="Q10" s="3"/>
      <c r="R10" s="3"/>
      <c r="S10" s="3"/>
      <c r="T10" s="3"/>
      <c r="V10" s="359"/>
      <c r="W10" s="359"/>
      <c r="X10" s="359"/>
      <c r="Y10" s="359"/>
      <c r="Z10" s="1526"/>
      <c r="AA10" s="1525"/>
    </row>
    <row r="11" spans="1:27" s="296" customFormat="1" ht="15.75">
      <c r="B11" s="3"/>
      <c r="C11" s="3"/>
      <c r="D11" s="3"/>
      <c r="E11" s="3"/>
      <c r="F11" s="3"/>
      <c r="G11" s="369"/>
      <c r="H11" s="3"/>
      <c r="I11" s="3"/>
      <c r="J11" s="3"/>
      <c r="K11" s="3"/>
      <c r="M11" s="25"/>
      <c r="N11" s="370"/>
      <c r="O11" s="370"/>
      <c r="P11" s="370"/>
      <c r="Q11" s="370"/>
      <c r="R11" s="25"/>
      <c r="S11" s="25"/>
      <c r="T11" s="25"/>
      <c r="V11" s="359"/>
      <c r="W11" s="359"/>
      <c r="X11" s="359"/>
      <c r="Y11" s="359"/>
      <c r="Z11" s="1526"/>
      <c r="AA11" s="1525"/>
    </row>
    <row r="12" spans="1:27" ht="16.350000000000001"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96" t="s">
        <v>207</v>
      </c>
      <c r="X12" s="2096"/>
      <c r="Y12" s="2096"/>
      <c r="Z12" s="1526"/>
      <c r="AA12" s="1525"/>
    </row>
    <row r="13" spans="1:27" ht="13.35" customHeight="1">
      <c r="A13" s="296"/>
      <c r="B13" s="1003"/>
      <c r="C13" s="1003"/>
      <c r="D13" s="1003"/>
      <c r="E13" s="296"/>
      <c r="F13" s="1003"/>
      <c r="G13" s="1004"/>
      <c r="H13" s="1003"/>
      <c r="I13" s="296"/>
      <c r="J13" s="296"/>
      <c r="K13" s="296"/>
      <c r="L13" s="1003"/>
      <c r="M13" s="1003"/>
      <c r="N13" s="1003"/>
      <c r="O13" s="1003"/>
      <c r="P13" s="1003"/>
      <c r="Q13" s="1003"/>
      <c r="R13" s="1003"/>
      <c r="S13" s="1003"/>
      <c r="T13" s="1003"/>
      <c r="U13" s="296"/>
      <c r="V13" s="407"/>
      <c r="W13" s="296"/>
      <c r="X13" s="359"/>
      <c r="Y13" s="359"/>
      <c r="Z13" s="1526"/>
      <c r="AA13" s="1525"/>
    </row>
    <row r="14" spans="1:27" ht="16.350000000000001" customHeight="1">
      <c r="A14" s="296"/>
      <c r="B14" s="54" t="s">
        <v>109</v>
      </c>
      <c r="C14" s="3"/>
      <c r="D14" s="319" t="str">
        <f>'Exhibit A'!F11</f>
        <v>8 MOS. ENDED</v>
      </c>
      <c r="E14" s="3"/>
      <c r="F14" s="54" t="s">
        <v>109</v>
      </c>
      <c r="G14" s="60"/>
      <c r="H14" s="54" t="str">
        <f>D14</f>
        <v>8 MOS. ENDED</v>
      </c>
      <c r="I14" s="54"/>
      <c r="J14" s="54"/>
      <c r="K14" s="3"/>
      <c r="L14" s="54" t="s">
        <v>109</v>
      </c>
      <c r="M14" s="3"/>
      <c r="N14" s="54" t="str">
        <f>D14</f>
        <v>8 MOS. ENDED</v>
      </c>
      <c r="O14" s="54"/>
      <c r="P14" s="54"/>
      <c r="Q14" s="3"/>
      <c r="R14" s="54" t="s">
        <v>109</v>
      </c>
      <c r="S14" s="3"/>
      <c r="T14" s="54" t="str">
        <f>H14</f>
        <v>8 MOS. ENDED</v>
      </c>
      <c r="U14" s="296"/>
      <c r="V14" s="407"/>
      <c r="W14" s="324" t="s">
        <v>110</v>
      </c>
      <c r="X14" s="60"/>
      <c r="Y14" s="325" t="s">
        <v>111</v>
      </c>
      <c r="Z14" s="1526"/>
      <c r="AA14" s="1525"/>
    </row>
    <row r="15" spans="1:27" ht="16.350000000000001" customHeight="1">
      <c r="A15" s="296"/>
      <c r="B15" s="375" t="str">
        <f>'Exhibit A'!D12</f>
        <v>NOV. 2025</v>
      </c>
      <c r="C15" s="3"/>
      <c r="D15" s="375" t="str">
        <f>'Exhibit A'!F12</f>
        <v>NOV. 30, 2025</v>
      </c>
      <c r="E15" s="3"/>
      <c r="F15" s="320" t="str">
        <f>B15</f>
        <v>NOV. 2025</v>
      </c>
      <c r="G15" s="3"/>
      <c r="H15" s="321" t="str">
        <f>D15</f>
        <v>NOV. 30, 2025</v>
      </c>
      <c r="I15" s="321"/>
      <c r="J15" s="321"/>
      <c r="K15" s="3"/>
      <c r="L15" s="320" t="str">
        <f>F15</f>
        <v>NOV. 2025</v>
      </c>
      <c r="M15" s="3"/>
      <c r="N15" s="321" t="str">
        <f>'Exhibit A'!X12</f>
        <v>NOV. 30, 2025</v>
      </c>
      <c r="O15" s="321"/>
      <c r="P15" s="321"/>
      <c r="Q15" s="3"/>
      <c r="R15" s="1239" t="str">
        <f>'Exhibit A'!AB12</f>
        <v>NOV. 2024</v>
      </c>
      <c r="S15" s="3"/>
      <c r="T15" s="375" t="str">
        <f>'Exhibit A'!AD12</f>
        <v>NOV. 30, 2024</v>
      </c>
      <c r="U15" s="296"/>
      <c r="V15" s="407"/>
      <c r="W15" s="1238" t="s">
        <v>112</v>
      </c>
      <c r="X15" s="60"/>
      <c r="Y15" s="1005" t="s">
        <v>113</v>
      </c>
      <c r="Z15" s="1526"/>
      <c r="AA15" s="1525"/>
    </row>
    <row r="16" spans="1:27" ht="13.35" customHeight="1">
      <c r="A16" s="296"/>
      <c r="B16" s="296"/>
      <c r="C16" s="296"/>
      <c r="D16" s="296" t="s">
        <v>103</v>
      </c>
      <c r="E16" s="296"/>
      <c r="F16" s="1003"/>
      <c r="G16" s="296"/>
      <c r="H16" s="1004" t="s">
        <v>103</v>
      </c>
      <c r="J16" s="1532"/>
      <c r="K16" s="296"/>
      <c r="L16" s="1003"/>
      <c r="M16" s="296"/>
      <c r="N16" s="1003"/>
      <c r="O16" s="296"/>
      <c r="P16" s="1533"/>
      <c r="Q16" s="296"/>
      <c r="R16" s="296"/>
      <c r="S16" s="296"/>
      <c r="T16" s="296"/>
      <c r="U16" s="296"/>
      <c r="V16" s="408"/>
      <c r="W16" s="359"/>
      <c r="X16" s="296"/>
      <c r="Y16" s="359"/>
      <c r="Z16" s="1526"/>
      <c r="AA16" s="1525"/>
    </row>
    <row r="17" spans="1:27" ht="16.350000000000001" customHeight="1">
      <c r="A17" s="3" t="s">
        <v>114</v>
      </c>
      <c r="B17" s="296"/>
      <c r="C17" s="296"/>
      <c r="D17" s="296"/>
      <c r="E17" s="296"/>
      <c r="F17" s="296"/>
      <c r="G17" s="296"/>
      <c r="H17" s="296"/>
      <c r="I17" s="296"/>
      <c r="J17" s="1533"/>
      <c r="K17" s="296"/>
      <c r="L17" s="296"/>
      <c r="M17" s="296"/>
      <c r="N17" s="296"/>
      <c r="O17" s="296"/>
      <c r="P17" s="1533"/>
      <c r="Q17" s="296"/>
      <c r="R17" s="296"/>
      <c r="S17" s="296"/>
      <c r="T17" s="296"/>
      <c r="U17" s="296"/>
      <c r="V17" s="408"/>
      <c r="W17" s="359"/>
      <c r="X17" s="296"/>
      <c r="Y17" s="359"/>
      <c r="Z17" s="1526"/>
      <c r="AA17" s="1525"/>
    </row>
    <row r="18" spans="1:27" ht="16.350000000000001" customHeight="1">
      <c r="A18" s="296" t="s">
        <v>119</v>
      </c>
      <c r="B18" s="393">
        <f>+'Exhibit L'!P17</f>
        <v>20.600000000000037</v>
      </c>
      <c r="C18" s="279"/>
      <c r="D18" s="281">
        <f>+'Exhibit L'!AA17</f>
        <v>169.5</v>
      </c>
      <c r="E18" s="279"/>
      <c r="F18" s="1012">
        <f>'Exhibit M'!P17</f>
        <v>0.19999999999999973</v>
      </c>
      <c r="G18" s="279"/>
      <c r="H18" s="281">
        <f>+'Exhibit M'!AA17</f>
        <v>2</v>
      </c>
      <c r="I18" s="281"/>
      <c r="J18" s="1541"/>
      <c r="K18" s="279"/>
      <c r="L18" s="281">
        <f>SUM(B18)+SUM(F18)</f>
        <v>20.800000000000036</v>
      </c>
      <c r="M18" s="279"/>
      <c r="N18" s="281">
        <f>D18+SUM(H18)</f>
        <v>171.5</v>
      </c>
      <c r="O18" s="281"/>
      <c r="P18" s="1541"/>
      <c r="Q18" s="279"/>
      <c r="R18" s="281">
        <v>65</v>
      </c>
      <c r="S18" s="279"/>
      <c r="T18" s="281">
        <f>'Exhibit L'!AD17+'Exhibit M'!AD17</f>
        <v>213.29999999999998</v>
      </c>
      <c r="U18" s="385"/>
      <c r="V18" s="409"/>
      <c r="W18" s="430">
        <f>ROUND(SUM(N18-T18),1)</f>
        <v>-41.8</v>
      </c>
      <c r="X18" s="385"/>
      <c r="Y18" s="526">
        <f>ROUND(IF(W18=0,0,W18/ABS(T18)),3)</f>
        <v>-0.19600000000000001</v>
      </c>
      <c r="Z18" s="1526"/>
      <c r="AA18" s="1526"/>
    </row>
    <row r="19" spans="1:27" ht="15.75">
      <c r="A19" s="3" t="s">
        <v>121</v>
      </c>
      <c r="B19" s="1013">
        <f>ROUND(SUM(B18),1)</f>
        <v>20.6</v>
      </c>
      <c r="C19" s="13"/>
      <c r="D19" s="1013">
        <f>ROUND(SUM(D18),1)</f>
        <v>169.5</v>
      </c>
      <c r="E19" s="13"/>
      <c r="F19" s="362">
        <f>ROUND(SUM(F18),1)</f>
        <v>0.2</v>
      </c>
      <c r="G19" s="13"/>
      <c r="H19" s="1013">
        <f>ROUND(SUM(H18),1)</f>
        <v>2</v>
      </c>
      <c r="I19" s="18"/>
      <c r="J19" s="1542"/>
      <c r="K19" s="13"/>
      <c r="L19" s="1013">
        <f>ROUND(SUM(L18),1)</f>
        <v>20.8</v>
      </c>
      <c r="M19" s="13"/>
      <c r="N19" s="1013">
        <f>ROUND(SUM(N18),1)</f>
        <v>171.5</v>
      </c>
      <c r="O19" s="18"/>
      <c r="P19" s="1542"/>
      <c r="Q19" s="13"/>
      <c r="R19" s="1013">
        <f>ROUND(SUM(R18),1)</f>
        <v>65</v>
      </c>
      <c r="S19" s="13"/>
      <c r="T19" s="1013">
        <f>ROUND(SUM(T18),1)</f>
        <v>213.3</v>
      </c>
      <c r="U19" s="60"/>
      <c r="V19" s="412"/>
      <c r="W19" s="1014">
        <f>ROUND(SUM(W18),3)</f>
        <v>-41.8</v>
      </c>
      <c r="X19" s="273"/>
      <c r="Y19" s="1015">
        <f>ROUND(+W19/T19,3)</f>
        <v>-0.19600000000000001</v>
      </c>
      <c r="Z19" s="1526"/>
      <c r="AA19" s="1527"/>
    </row>
    <row r="20" spans="1:27" ht="15.75">
      <c r="A20" s="3"/>
      <c r="B20" s="269"/>
      <c r="C20" s="269"/>
      <c r="D20" s="269"/>
      <c r="E20" s="269"/>
      <c r="F20" s="269"/>
      <c r="G20" s="269"/>
      <c r="H20" s="1052"/>
      <c r="I20" s="269"/>
      <c r="J20" s="1006"/>
      <c r="K20" s="269"/>
      <c r="L20" s="269"/>
      <c r="M20" s="269"/>
      <c r="N20" s="269"/>
      <c r="O20" s="269"/>
      <c r="P20" s="1006"/>
      <c r="Q20" s="269"/>
      <c r="R20" s="269"/>
      <c r="S20" s="269"/>
      <c r="T20" s="269"/>
      <c r="V20" s="408"/>
      <c r="W20" s="417"/>
      <c r="X20" s="296"/>
      <c r="Y20" s="359"/>
      <c r="Z20" s="1526"/>
      <c r="AA20" s="1525"/>
    </row>
    <row r="21" spans="1:27" ht="16.350000000000001" customHeight="1">
      <c r="A21" s="3" t="s">
        <v>122</v>
      </c>
      <c r="B21" s="269"/>
      <c r="C21" s="269"/>
      <c r="D21" s="269"/>
      <c r="E21" s="269"/>
      <c r="F21" s="269"/>
      <c r="G21" s="269"/>
      <c r="H21" s="269"/>
      <c r="I21" s="269"/>
      <c r="J21" s="1006"/>
      <c r="K21" s="269"/>
      <c r="L21" s="269"/>
      <c r="M21" s="269"/>
      <c r="N21" s="269"/>
      <c r="O21" s="269"/>
      <c r="P21" s="1006"/>
      <c r="Q21" s="269"/>
      <c r="R21" s="269"/>
      <c r="S21" s="269"/>
      <c r="T21" s="269"/>
      <c r="V21" s="408"/>
      <c r="W21" s="417"/>
      <c r="X21" s="296"/>
      <c r="Y21" s="359"/>
      <c r="Z21" s="1526"/>
      <c r="AA21" s="1525"/>
    </row>
    <row r="22" spans="1:27" ht="16.350000000000001" customHeight="1">
      <c r="A22" s="296" t="s">
        <v>135</v>
      </c>
      <c r="B22" s="269"/>
      <c r="C22" s="269"/>
      <c r="D22" s="269"/>
      <c r="E22" s="269"/>
      <c r="F22" s="269"/>
      <c r="G22" s="269"/>
      <c r="H22" s="269"/>
      <c r="I22" s="269"/>
      <c r="J22" s="1006"/>
      <c r="K22" s="269"/>
      <c r="L22" s="269"/>
      <c r="M22" s="269"/>
      <c r="N22" s="269"/>
      <c r="O22" s="269"/>
      <c r="P22" s="1006"/>
      <c r="Q22" s="269"/>
      <c r="R22" s="269"/>
      <c r="S22" s="269"/>
      <c r="T22" s="269"/>
      <c r="V22" s="408"/>
      <c r="W22" s="417"/>
      <c r="X22" s="296"/>
      <c r="Y22" s="359"/>
      <c r="Z22" s="1526"/>
      <c r="AA22" s="1525"/>
    </row>
    <row r="23" spans="1:27" ht="16.350000000000001" customHeight="1">
      <c r="A23" s="296" t="s">
        <v>210</v>
      </c>
      <c r="B23" s="292">
        <f>+'Exhibit L'!P24</f>
        <v>7</v>
      </c>
      <c r="C23" s="269"/>
      <c r="D23" s="292">
        <f>+'Exhibit L'!AA24</f>
        <v>62.5</v>
      </c>
      <c r="E23" s="269"/>
      <c r="F23" s="280">
        <f>+'Exhibit M'!P24</f>
        <v>0.10000000000000003</v>
      </c>
      <c r="G23" s="269"/>
      <c r="H23" s="293">
        <f>+'Exhibit M'!AA24</f>
        <v>0.4</v>
      </c>
      <c r="I23" s="293"/>
      <c r="J23" s="1537"/>
      <c r="K23" s="269"/>
      <c r="L23" s="292">
        <f>SUM(B23)+SUM(F23)</f>
        <v>7.1</v>
      </c>
      <c r="M23" s="269"/>
      <c r="N23" s="292">
        <f>SUM(D23)+SUM(H23)</f>
        <v>62.9</v>
      </c>
      <c r="O23" s="292"/>
      <c r="P23" s="1546"/>
      <c r="Q23" s="269"/>
      <c r="R23" s="1996">
        <v>6.3000000000000007</v>
      </c>
      <c r="S23" s="269"/>
      <c r="T23" s="292">
        <f>'Exhibit L'!AD24+'Exhibit M'!AD24</f>
        <v>56.7</v>
      </c>
      <c r="V23" s="408"/>
      <c r="W23" s="417">
        <f>ROUND(SUM(N23-T23),1)</f>
        <v>6.2</v>
      </c>
      <c r="X23" s="296"/>
      <c r="Y23" s="526">
        <f>ROUND(IF(W23=0,0,W23/ABS(T23)),3)</f>
        <v>0.109</v>
      </c>
      <c r="Z23" s="1526"/>
      <c r="AA23" s="1525"/>
    </row>
    <row r="24" spans="1:27" ht="16.350000000000001" customHeight="1">
      <c r="A24" s="296" t="s">
        <v>211</v>
      </c>
      <c r="B24" s="292">
        <f>+'Exhibit L'!P25</f>
        <v>2.7</v>
      </c>
      <c r="C24" s="269"/>
      <c r="D24" s="292">
        <f>+'Exhibit L'!AA25</f>
        <v>15.1</v>
      </c>
      <c r="E24" s="269"/>
      <c r="F24" s="280">
        <f>+'Exhibit M'!P25</f>
        <v>0</v>
      </c>
      <c r="G24" s="269"/>
      <c r="H24" s="293">
        <f>+'Exhibit M'!AA25</f>
        <v>0.1</v>
      </c>
      <c r="I24" s="293"/>
      <c r="J24" s="1537"/>
      <c r="K24" s="269"/>
      <c r="L24" s="292">
        <f>SUM(B24)+SUM(F24)</f>
        <v>2.7</v>
      </c>
      <c r="M24" s="269"/>
      <c r="N24" s="292">
        <f>SUM(D24)+SUM(H24)</f>
        <v>15.2</v>
      </c>
      <c r="O24" s="292"/>
      <c r="P24" s="1546"/>
      <c r="Q24" s="269"/>
      <c r="R24" s="1996">
        <v>44.8</v>
      </c>
      <c r="S24" s="269"/>
      <c r="T24" s="292">
        <f>'Exhibit L'!AD25+'Exhibit M'!AD25</f>
        <v>55.9</v>
      </c>
      <c r="V24" s="408"/>
      <c r="W24" s="417">
        <f>ROUND(SUM(N24-T24),1)</f>
        <v>-40.700000000000003</v>
      </c>
      <c r="X24" s="296"/>
      <c r="Y24" s="526">
        <f>ROUND(IF(W24=0,0,W24/ABS(T24)),3)</f>
        <v>-0.72799999999999998</v>
      </c>
      <c r="Z24" s="1526"/>
      <c r="AA24" s="1525"/>
    </row>
    <row r="25" spans="1:27" ht="16.350000000000001" customHeight="1">
      <c r="A25" s="296" t="s">
        <v>212</v>
      </c>
      <c r="B25" s="292">
        <f>+'Exhibit L'!P26</f>
        <v>4.2000000000000028</v>
      </c>
      <c r="C25" s="269"/>
      <c r="D25" s="293">
        <f>+'Exhibit L'!AA26</f>
        <v>39.5</v>
      </c>
      <c r="E25" s="269"/>
      <c r="F25" s="280">
        <f>+'Exhibit M'!P26</f>
        <v>0</v>
      </c>
      <c r="G25" s="269"/>
      <c r="H25" s="1540">
        <f>+'Exhibit M'!AA26</f>
        <v>0.2</v>
      </c>
      <c r="I25" s="294"/>
      <c r="J25" s="1543"/>
      <c r="K25" s="269"/>
      <c r="L25" s="292">
        <f>SUM(B25)+SUM(F25)</f>
        <v>4.2000000000000028</v>
      </c>
      <c r="M25" s="269"/>
      <c r="N25" s="292">
        <f>SUM(D25)+SUM(H25)</f>
        <v>39.700000000000003</v>
      </c>
      <c r="O25" s="292"/>
      <c r="P25" s="1546"/>
      <c r="Q25" s="269"/>
      <c r="R25" s="1996">
        <v>4.2</v>
      </c>
      <c r="S25" s="372"/>
      <c r="T25" s="292">
        <f>'Exhibit L'!AD26+'Exhibit M'!AD26</f>
        <v>39.200000000000003</v>
      </c>
      <c r="V25" s="408"/>
      <c r="W25" s="417">
        <f>ROUND(SUM(N25-T25),1)</f>
        <v>0.5</v>
      </c>
      <c r="X25" s="296"/>
      <c r="Y25" s="936">
        <f>ROUND(IF(W25=0,0,W25/ABS(T25)),3)</f>
        <v>1.2999999999999999E-2</v>
      </c>
      <c r="Z25" s="1526"/>
      <c r="AA25" s="1525"/>
    </row>
    <row r="26" spans="1:27" ht="15.75">
      <c r="A26" s="3" t="s">
        <v>162</v>
      </c>
      <c r="B26" s="1013">
        <f>ROUND(SUM(B23:B25),1)</f>
        <v>13.9</v>
      </c>
      <c r="C26" s="13"/>
      <c r="D26" s="1013">
        <f>ROUND(SUM(D23:D25),1)</f>
        <v>117.1</v>
      </c>
      <c r="E26" s="13"/>
      <c r="F26" s="1013">
        <f>ROUND(SUM(F23:F25),1)</f>
        <v>0.1</v>
      </c>
      <c r="G26" s="13"/>
      <c r="H26" s="1013">
        <f>ROUND(SUM(H23:H25),1)</f>
        <v>0.7</v>
      </c>
      <c r="I26" s="18"/>
      <c r="J26" s="1542"/>
      <c r="K26" s="13"/>
      <c r="L26" s="1013">
        <f>ROUND(SUM(L23:L25),1)</f>
        <v>14</v>
      </c>
      <c r="M26" s="13"/>
      <c r="N26" s="1013">
        <f>ROUND(SUM(N23:N25),1)</f>
        <v>117.8</v>
      </c>
      <c r="O26" s="18"/>
      <c r="P26" s="1542"/>
      <c r="Q26" s="13"/>
      <c r="R26" s="1997">
        <f>ROUND(SUM(R23:R25),1)</f>
        <v>55.3</v>
      </c>
      <c r="S26" s="13"/>
      <c r="T26" s="1013">
        <f>ROUND(SUM(T23:T25),1)</f>
        <v>151.80000000000001</v>
      </c>
      <c r="U26" s="60"/>
      <c r="V26" s="96"/>
      <c r="W26" s="1014">
        <f>ROUND(SUM(W23:W25),3)</f>
        <v>-34</v>
      </c>
      <c r="X26" s="273"/>
      <c r="Y26" s="1009">
        <f>ROUND(W26/T26,3)</f>
        <v>-0.224</v>
      </c>
      <c r="Z26" s="1526"/>
      <c r="AA26" s="1525"/>
    </row>
    <row r="27" spans="1:27" ht="15.75">
      <c r="A27" s="3"/>
      <c r="B27" s="269"/>
      <c r="C27" s="269"/>
      <c r="D27" s="269"/>
      <c r="E27" s="269"/>
      <c r="F27" s="269"/>
      <c r="G27" s="269"/>
      <c r="H27" s="269"/>
      <c r="I27" s="269"/>
      <c r="J27" s="1006"/>
      <c r="K27" s="269"/>
      <c r="L27" s="269"/>
      <c r="M27" s="269"/>
      <c r="N27" s="269"/>
      <c r="O27" s="269"/>
      <c r="P27" s="1006"/>
      <c r="Q27" s="269"/>
      <c r="R27" s="1836"/>
      <c r="S27" s="269"/>
      <c r="T27" s="269"/>
      <c r="V27" s="408"/>
      <c r="W27" s="417"/>
      <c r="X27" s="296"/>
      <c r="Y27" s="359"/>
      <c r="Z27" s="1526"/>
      <c r="AA27" s="1525"/>
    </row>
    <row r="28" spans="1:27" ht="16.350000000000001" customHeight="1">
      <c r="A28" s="3" t="s">
        <v>143</v>
      </c>
      <c r="B28" s="269"/>
      <c r="C28" s="269"/>
      <c r="D28" s="269"/>
      <c r="E28" s="269"/>
      <c r="F28" s="269"/>
      <c r="G28" s="269"/>
      <c r="H28" s="269"/>
      <c r="I28" s="269"/>
      <c r="J28" s="1006"/>
      <c r="K28" s="269"/>
      <c r="L28" s="269"/>
      <c r="M28" s="269"/>
      <c r="N28" s="269"/>
      <c r="O28" s="269"/>
      <c r="P28" s="1006"/>
      <c r="Q28" s="269"/>
      <c r="R28" s="1836"/>
      <c r="S28" s="269"/>
      <c r="T28" s="269"/>
      <c r="V28" s="408"/>
      <c r="W28" s="417"/>
      <c r="X28" s="296"/>
      <c r="Y28" s="359"/>
      <c r="Z28" s="1526"/>
      <c r="AA28" s="1525"/>
    </row>
    <row r="29" spans="1:27" ht="15.75">
      <c r="A29" s="3" t="s">
        <v>214</v>
      </c>
      <c r="B29" s="1000">
        <f>ROUND(SUM(B19-B26),1)</f>
        <v>6.7</v>
      </c>
      <c r="C29" s="13"/>
      <c r="D29" s="1000">
        <f>ROUND(SUM(D19-D26),1)</f>
        <v>52.4</v>
      </c>
      <c r="E29" s="13"/>
      <c r="F29" s="1000">
        <f>ROUND(SUM(F19-F26),1)</f>
        <v>0.1</v>
      </c>
      <c r="G29" s="13"/>
      <c r="H29" s="1000">
        <f>ROUND(SUM(H19-H26),1)</f>
        <v>1.3</v>
      </c>
      <c r="I29" s="18"/>
      <c r="J29" s="1542"/>
      <c r="K29" s="13"/>
      <c r="L29" s="1000">
        <f>ROUND(SUM(L19-L26),1)</f>
        <v>6.8</v>
      </c>
      <c r="M29" s="13"/>
      <c r="N29" s="1000">
        <f>ROUND(SUM(N19-N26),1)</f>
        <v>53.7</v>
      </c>
      <c r="O29" s="18"/>
      <c r="P29" s="1542"/>
      <c r="Q29" s="13"/>
      <c r="R29" s="1998">
        <f>ROUND(SUM(R19-R26),1)</f>
        <v>9.6999999999999993</v>
      </c>
      <c r="S29" s="13"/>
      <c r="T29" s="1000">
        <f>ROUND(SUM(T19-T26),1)</f>
        <v>61.5</v>
      </c>
      <c r="U29" s="60"/>
      <c r="V29" s="408"/>
      <c r="W29" s="362">
        <f>ROUND(SUM(N29-T29),1)</f>
        <v>-7.8</v>
      </c>
      <c r="X29" s="296"/>
      <c r="Y29" s="683">
        <f>ROUND(IF(T29=0,1,W29/ABS(T29)),3)</f>
        <v>-0.127</v>
      </c>
      <c r="Z29" s="1526"/>
      <c r="AA29" s="1525"/>
    </row>
    <row r="30" spans="1:27">
      <c r="A30" s="296"/>
      <c r="B30" s="269"/>
      <c r="C30" s="269"/>
      <c r="D30" s="269"/>
      <c r="E30" s="269"/>
      <c r="F30" s="269"/>
      <c r="G30" s="269"/>
      <c r="H30" s="269"/>
      <c r="I30" s="269"/>
      <c r="J30" s="1006"/>
      <c r="K30" s="269"/>
      <c r="L30" s="269"/>
      <c r="M30" s="269"/>
      <c r="N30" s="269"/>
      <c r="O30" s="269"/>
      <c r="P30" s="1006"/>
      <c r="Q30" s="269"/>
      <c r="R30" s="1836"/>
      <c r="S30" s="269"/>
      <c r="T30" s="269"/>
      <c r="V30" s="408"/>
      <c r="W30" s="417"/>
      <c r="X30" s="296"/>
      <c r="Y30" s="359"/>
      <c r="Z30" s="1526"/>
      <c r="AA30" s="1525"/>
    </row>
    <row r="31" spans="1:27" ht="16.350000000000001" customHeight="1">
      <c r="A31" s="3" t="s">
        <v>145</v>
      </c>
      <c r="B31" s="269"/>
      <c r="C31" s="269"/>
      <c r="D31" s="269"/>
      <c r="E31" s="269"/>
      <c r="F31" s="269"/>
      <c r="G31" s="269"/>
      <c r="H31" s="269"/>
      <c r="I31" s="269"/>
      <c r="J31" s="1006"/>
      <c r="K31" s="269"/>
      <c r="L31" s="269"/>
      <c r="M31" s="269"/>
      <c r="N31" s="269"/>
      <c r="O31" s="269"/>
      <c r="P31" s="1006"/>
      <c r="Q31" s="269"/>
      <c r="R31" s="1836"/>
      <c r="S31" s="269"/>
      <c r="T31" s="269"/>
      <c r="V31" s="408"/>
      <c r="W31" s="417"/>
      <c r="X31" s="296"/>
      <c r="Y31" s="359"/>
      <c r="Z31" s="1526"/>
      <c r="AA31" s="1525"/>
    </row>
    <row r="32" spans="1:27" ht="16.350000000000001" customHeight="1">
      <c r="A32" s="296" t="s">
        <v>147</v>
      </c>
      <c r="B32" s="280">
        <f>+'Exhibit L'!P36</f>
        <v>0</v>
      </c>
      <c r="C32" s="269"/>
      <c r="D32" s="280">
        <f>+'Exhibit L'!AA36</f>
        <v>0</v>
      </c>
      <c r="E32" s="269"/>
      <c r="F32" s="280">
        <f>+'Exhibit M'!P36</f>
        <v>0</v>
      </c>
      <c r="G32" s="292"/>
      <c r="H32" s="280">
        <f>+'Exhibit M'!AA36</f>
        <v>0</v>
      </c>
      <c r="I32" s="280"/>
      <c r="J32" s="1535"/>
      <c r="K32" s="269"/>
      <c r="L32" s="293">
        <f>SUM(B32)+SUM(F32)</f>
        <v>0</v>
      </c>
      <c r="M32" s="269"/>
      <c r="N32" s="293">
        <f>SUM(D32)+SUM(H32)</f>
        <v>0</v>
      </c>
      <c r="O32" s="293"/>
      <c r="P32" s="1537"/>
      <c r="Q32" s="269"/>
      <c r="R32" s="293">
        <v>0</v>
      </c>
      <c r="S32" s="269"/>
      <c r="T32" s="293">
        <f>'Exhibit L'!AD36+'Exhibit M'!AD36</f>
        <v>0</v>
      </c>
      <c r="V32" s="413"/>
      <c r="W32" s="417">
        <f>ROUND(SUM(N32-T32),1)</f>
        <v>0</v>
      </c>
      <c r="X32" s="273"/>
      <c r="Y32" s="526">
        <f>ROUND(IF(W32=0,0,W32/ABS(T32)),3)</f>
        <v>0</v>
      </c>
      <c r="Z32" s="1526"/>
      <c r="AA32" s="1525"/>
    </row>
    <row r="33" spans="1:27" ht="16.350000000000001" customHeight="1">
      <c r="A33" s="296" t="s">
        <v>215</v>
      </c>
      <c r="B33" s="280">
        <f>+'Exhibit L'!P37</f>
        <v>0</v>
      </c>
      <c r="C33" s="269"/>
      <c r="D33" s="849">
        <f>+'Exhibit L'!AA37</f>
        <v>0</v>
      </c>
      <c r="E33" s="269"/>
      <c r="F33" s="280">
        <f>+'Exhibit M'!P37</f>
        <v>0</v>
      </c>
      <c r="G33" s="269"/>
      <c r="H33" s="280">
        <f>+'Exhibit M'!AA37</f>
        <v>0</v>
      </c>
      <c r="I33" s="280"/>
      <c r="J33" s="1535"/>
      <c r="K33" s="269"/>
      <c r="L33" s="293">
        <f>SUM(B33)+SUM(F33)</f>
        <v>0</v>
      </c>
      <c r="M33" s="269"/>
      <c r="N33" s="293">
        <f>SUM(D33)+SUM(H33)</f>
        <v>0</v>
      </c>
      <c r="O33" s="293"/>
      <c r="P33" s="1537"/>
      <c r="Q33" s="269"/>
      <c r="R33" s="293">
        <v>0</v>
      </c>
      <c r="S33" s="372"/>
      <c r="T33" s="293">
        <f>'Exhibit L'!AD37+'Exhibit M'!AD37</f>
        <v>0</v>
      </c>
      <c r="V33" s="414"/>
      <c r="W33" s="417">
        <f>ROUND(SUM(N33-T33),1)</f>
        <v>0</v>
      </c>
      <c r="X33" s="273"/>
      <c r="Y33" s="526">
        <f>ROUND(IF(W33=0,0,W33/ABS(T33)),3)</f>
        <v>0</v>
      </c>
      <c r="Z33" s="1526"/>
      <c r="AA33" s="1525"/>
    </row>
    <row r="34" spans="1:27" ht="15.75">
      <c r="A34" s="3" t="s">
        <v>150</v>
      </c>
      <c r="B34" s="1016">
        <f>ROUND(SUM(B32:B33),1)</f>
        <v>0</v>
      </c>
      <c r="C34" s="13"/>
      <c r="D34" s="1016">
        <f>ROUND(SUM(D32:D33),1)</f>
        <v>0</v>
      </c>
      <c r="E34" s="13"/>
      <c r="F34" s="1016">
        <f>ROUND(SUM(F32:F33),1)</f>
        <v>0</v>
      </c>
      <c r="G34" s="13"/>
      <c r="H34" s="1016">
        <f>ROUND(SUM(H32:H33),1)</f>
        <v>0</v>
      </c>
      <c r="I34" s="17"/>
      <c r="J34" s="1544"/>
      <c r="K34" s="13"/>
      <c r="L34" s="1016">
        <f>ROUND(SUM(L32:L33),1)</f>
        <v>0</v>
      </c>
      <c r="M34" s="13"/>
      <c r="N34" s="1013">
        <f>ROUND(SUM(N32:N33),1)</f>
        <v>0</v>
      </c>
      <c r="O34" s="18"/>
      <c r="P34" s="1542"/>
      <c r="Q34" s="13"/>
      <c r="R34" s="1013">
        <f>ROUND(SUM(R32:R33),1)</f>
        <v>0</v>
      </c>
      <c r="S34" s="13"/>
      <c r="T34" s="1013">
        <f>ROUND(SUM(T32:T33),1)</f>
        <v>0</v>
      </c>
      <c r="V34" s="415"/>
      <c r="W34" s="904">
        <f>ROUND(SUM(W32-W33),3)</f>
        <v>0</v>
      </c>
      <c r="X34" s="535"/>
      <c r="Y34" s="1015">
        <f>ROUND(IF(T34=0,0,W34/ABS(T34)),3)</f>
        <v>0</v>
      </c>
      <c r="Z34" s="1526"/>
      <c r="AA34" s="1525"/>
    </row>
    <row r="35" spans="1:27" ht="15.75">
      <c r="A35" s="3"/>
      <c r="B35" s="622"/>
      <c r="C35" s="269"/>
      <c r="D35" s="622"/>
      <c r="E35" s="269"/>
      <c r="F35" s="269"/>
      <c r="G35" s="269"/>
      <c r="H35" s="269"/>
      <c r="I35" s="269"/>
      <c r="J35" s="1006"/>
      <c r="K35" s="269"/>
      <c r="L35" s="269"/>
      <c r="M35" s="269"/>
      <c r="N35" s="622"/>
      <c r="O35" s="269"/>
      <c r="P35" s="1006"/>
      <c r="Q35" s="269"/>
      <c r="R35" s="269"/>
      <c r="S35" s="269"/>
      <c r="T35" s="269"/>
      <c r="V35" s="408"/>
      <c r="W35" s="417"/>
      <c r="X35" s="296"/>
      <c r="Y35" s="359"/>
      <c r="Z35" s="1526"/>
      <c r="AA35" s="1525"/>
    </row>
    <row r="36" spans="1:27" ht="15.75" customHeight="1">
      <c r="A36" s="3" t="s">
        <v>143</v>
      </c>
      <c r="B36" s="269"/>
      <c r="C36" s="269"/>
      <c r="D36" s="269"/>
      <c r="E36" s="269"/>
      <c r="F36" s="269"/>
      <c r="G36" s="269"/>
      <c r="H36" s="269"/>
      <c r="I36" s="269"/>
      <c r="J36" s="1006"/>
      <c r="K36" s="269"/>
      <c r="L36" s="269"/>
      <c r="M36" s="269"/>
      <c r="N36" s="269"/>
      <c r="O36" s="269"/>
      <c r="P36" s="1006"/>
      <c r="Q36" s="269"/>
      <c r="R36" s="269"/>
      <c r="S36" s="269"/>
      <c r="T36" s="269"/>
      <c r="V36" s="408"/>
      <c r="W36" s="417"/>
      <c r="X36" s="296"/>
      <c r="Y36" s="359"/>
      <c r="Z36" s="1526"/>
      <c r="AA36" s="1525"/>
    </row>
    <row r="37" spans="1:27" ht="15.75" customHeight="1">
      <c r="A37" s="3" t="s">
        <v>216</v>
      </c>
      <c r="B37" s="269"/>
      <c r="C37" s="269"/>
      <c r="D37" s="269"/>
      <c r="E37" s="269"/>
      <c r="F37" s="269"/>
      <c r="G37" s="269"/>
      <c r="H37" s="269"/>
      <c r="I37" s="269"/>
      <c r="J37" s="1006"/>
      <c r="K37" s="269"/>
      <c r="L37" s="269"/>
      <c r="M37" s="269"/>
      <c r="N37" s="269"/>
      <c r="O37" s="269"/>
      <c r="P37" s="1006"/>
      <c r="Q37" s="269"/>
      <c r="R37" s="269"/>
      <c r="S37" s="269"/>
      <c r="T37" s="269"/>
      <c r="V37" s="408"/>
      <c r="W37" s="417"/>
      <c r="X37" s="296"/>
      <c r="Y37" s="359"/>
      <c r="Z37" s="1526"/>
      <c r="AA37" s="1525"/>
    </row>
    <row r="38" spans="1:27" ht="15.75" customHeight="1">
      <c r="A38" s="3" t="s">
        <v>217</v>
      </c>
      <c r="B38" s="269"/>
      <c r="C38" s="269"/>
      <c r="D38" s="269"/>
      <c r="E38" s="269"/>
      <c r="F38" s="372"/>
      <c r="G38" s="269"/>
      <c r="H38" s="269"/>
      <c r="I38" s="269"/>
      <c r="J38" s="1006"/>
      <c r="K38" s="269"/>
      <c r="L38" s="269"/>
      <c r="M38" s="269"/>
      <c r="N38" s="269"/>
      <c r="O38" s="269"/>
      <c r="P38" s="1006"/>
      <c r="Q38" s="269"/>
      <c r="R38" s="269"/>
      <c r="S38" s="269"/>
      <c r="T38" s="269"/>
      <c r="V38" s="408"/>
      <c r="W38" s="417"/>
      <c r="X38" s="296"/>
      <c r="Y38" s="359"/>
      <c r="Z38" s="1526"/>
      <c r="AA38" s="1525"/>
    </row>
    <row r="39" spans="1:27" ht="15.75" customHeight="1">
      <c r="A39" s="3" t="s">
        <v>218</v>
      </c>
      <c r="B39" s="26">
        <f>ROUND(SUM(B29+B34),1)</f>
        <v>6.7</v>
      </c>
      <c r="C39" s="13"/>
      <c r="D39" s="26">
        <f>ROUND(SUM(D29+D34),1)</f>
        <v>52.4</v>
      </c>
      <c r="E39" s="13"/>
      <c r="F39" s="26">
        <f>ROUND(SUM(F29+F34),1)</f>
        <v>0.1</v>
      </c>
      <c r="G39" s="13"/>
      <c r="H39" s="26">
        <f>ROUND(SUM(H29+H34),1)</f>
        <v>1.3</v>
      </c>
      <c r="I39" s="26"/>
      <c r="J39" s="1538"/>
      <c r="K39" s="13"/>
      <c r="L39" s="26">
        <f>ROUND(SUM(L29+L34),1)</f>
        <v>6.8</v>
      </c>
      <c r="M39" s="13"/>
      <c r="N39" s="26">
        <f>ROUND(SUM(N29+N34),1)</f>
        <v>53.7</v>
      </c>
      <c r="O39" s="26"/>
      <c r="P39" s="1538"/>
      <c r="Q39" s="13"/>
      <c r="R39" s="26">
        <f>ROUND(SUM(R29+R34),1)</f>
        <v>9.6999999999999993</v>
      </c>
      <c r="S39" s="13"/>
      <c r="T39" s="26">
        <f>ROUND(SUM(T29+T34),1)</f>
        <v>61.5</v>
      </c>
      <c r="U39" s="60"/>
      <c r="V39" s="408"/>
      <c r="W39" s="13">
        <f>ROUND(SUM(N39-T39),1)</f>
        <v>-7.8</v>
      </c>
      <c r="X39" s="296"/>
      <c r="Y39" s="684">
        <f>ROUND(IF(T39=0,1,W39/ABS(T39)),3)</f>
        <v>-0.127</v>
      </c>
      <c r="Z39" s="1526"/>
      <c r="AA39" s="1525"/>
    </row>
    <row r="40" spans="1:27" ht="15.75">
      <c r="A40" s="3"/>
      <c r="B40" s="269"/>
      <c r="C40" s="269"/>
      <c r="D40" s="269"/>
      <c r="E40" s="269"/>
      <c r="F40" s="269"/>
      <c r="G40" s="269"/>
      <c r="H40" s="269"/>
      <c r="I40" s="269"/>
      <c r="J40" s="1006"/>
      <c r="K40" s="269"/>
      <c r="L40" s="269"/>
      <c r="M40" s="269"/>
      <c r="N40" s="269"/>
      <c r="O40" s="269"/>
      <c r="P40" s="1006"/>
      <c r="Q40" s="269"/>
      <c r="R40" s="269"/>
      <c r="S40" s="269"/>
      <c r="T40" s="269"/>
      <c r="V40" s="408"/>
      <c r="X40" s="296"/>
      <c r="Z40" s="1526"/>
      <c r="AA40" s="1525"/>
    </row>
    <row r="41" spans="1:27" s="60" customFormat="1" ht="15.75">
      <c r="A41" s="3" t="s">
        <v>153</v>
      </c>
      <c r="B41" s="1995">
        <f>+'Exhibit L'!P14</f>
        <v>1938</v>
      </c>
      <c r="C41" s="13"/>
      <c r="D41" s="1995">
        <f>+'Exhibit L'!AA14</f>
        <v>1892.3</v>
      </c>
      <c r="E41" s="13"/>
      <c r="F41" s="1995">
        <f>+'Exhibit M'!P14</f>
        <v>45.9</v>
      </c>
      <c r="G41" s="13"/>
      <c r="H41" s="18">
        <f>+'Exhibit M'!AA14</f>
        <v>44.7</v>
      </c>
      <c r="I41" s="18"/>
      <c r="J41" s="1542"/>
      <c r="K41" s="13"/>
      <c r="L41" s="18">
        <f>ROUND(SUM(B41)+SUM(F41),1)</f>
        <v>1983.9</v>
      </c>
      <c r="M41" s="13"/>
      <c r="N41" s="26">
        <f>ROUND(SUM(D41+H41),1)</f>
        <v>1937</v>
      </c>
      <c r="O41" s="26"/>
      <c r="P41" s="1538"/>
      <c r="Q41" s="13"/>
      <c r="R41" s="1000">
        <v>1674.3</v>
      </c>
      <c r="S41" s="13"/>
      <c r="T41" s="1000">
        <f>'Exhibit L'!AD14+'Exhibit M'!AD14</f>
        <v>1622.5</v>
      </c>
      <c r="V41" s="404"/>
      <c r="W41" s="19">
        <f>ROUND(SUM(+N41-T41),1)</f>
        <v>314.5</v>
      </c>
      <c r="X41" s="3"/>
      <c r="Y41" s="527">
        <f>ROUND(IF(W41=0,0,W41/ABS(T41)),3)</f>
        <v>0.19400000000000001</v>
      </c>
      <c r="Z41" s="1530"/>
      <c r="AA41" s="1528"/>
    </row>
    <row r="42" spans="1:27" ht="16.5" thickBot="1">
      <c r="A42" s="3" t="s">
        <v>220</v>
      </c>
      <c r="B42" s="1017">
        <f>ROUND(SUM(B41)+SUM(B39),1)</f>
        <v>1944.7</v>
      </c>
      <c r="C42" s="20"/>
      <c r="D42" s="1017">
        <f>ROUND(SUM(D41)+SUM(D39),1)</f>
        <v>1944.7</v>
      </c>
      <c r="E42" s="20"/>
      <c r="F42" s="1010">
        <f>ROUND(SUM(F41)+SUM(F39),1)</f>
        <v>46</v>
      </c>
      <c r="G42" s="27"/>
      <c r="H42" s="1018">
        <f>ROUND(SUM(H41)+SUM(H39),1)</f>
        <v>46</v>
      </c>
      <c r="I42" s="44"/>
      <c r="J42" s="1545"/>
      <c r="K42" s="20"/>
      <c r="L42" s="1018">
        <f>ROUND(SUM(L41)+SUM(L39),1)</f>
        <v>1990.7</v>
      </c>
      <c r="M42" s="20"/>
      <c r="N42" s="1018">
        <f>ROUND(SUM(N41)+SUM(N39),1)</f>
        <v>1990.7</v>
      </c>
      <c r="O42" s="44"/>
      <c r="P42" s="1545"/>
      <c r="Q42" s="20"/>
      <c r="R42" s="1018">
        <f>ROUND(SUM(R41)+SUM(R39),1)</f>
        <v>1684</v>
      </c>
      <c r="S42" s="20"/>
      <c r="T42" s="1018">
        <f>ROUND(SUM(T41)+SUM(T39),1)</f>
        <v>1684</v>
      </c>
      <c r="U42" s="45"/>
      <c r="V42" s="409"/>
      <c r="W42" s="1019">
        <f>ROUND(SUM(W39+W41),3)</f>
        <v>306.7</v>
      </c>
      <c r="X42" s="385"/>
      <c r="Y42" s="1011">
        <f>ROUND(IF(T42=0,1,W42/ABS(T42)),3)</f>
        <v>0.182</v>
      </c>
      <c r="Z42" s="1526"/>
      <c r="AA42" s="1525"/>
    </row>
    <row r="43" spans="1:27" ht="15.75"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26"/>
      <c r="AA43" s="1527"/>
    </row>
    <row r="44" spans="1:27" ht="18">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26"/>
      <c r="AA44" s="1525"/>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26"/>
      <c r="AA45" s="1525"/>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26"/>
      <c r="AA46" s="1525"/>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26"/>
      <c r="AA47" s="1525"/>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26"/>
      <c r="AA48" s="1525"/>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26"/>
      <c r="AA49" s="1525"/>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26"/>
      <c r="AA50" s="1525"/>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26"/>
      <c r="AA51" s="1525"/>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26"/>
      <c r="AA52" s="1525"/>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26"/>
      <c r="AA53" s="1525"/>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26"/>
      <c r="AA54" s="1525"/>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26"/>
      <c r="AA55" s="1525"/>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8"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1.88671875" style="23" customWidth="1"/>
    <col min="9" max="9" width="14.88671875" style="23" customWidth="1"/>
    <col min="10" max="10" width="1.88671875" style="23" customWidth="1"/>
    <col min="11" max="11" width="14.109375" style="23" customWidth="1"/>
    <col min="12" max="12" width="8.88671875" style="23"/>
    <col min="13" max="13" width="10.109375" style="23" bestFit="1" customWidth="1"/>
    <col min="14" max="16384" width="8.88671875" style="23"/>
  </cols>
  <sheetData>
    <row r="1" spans="1:11">
      <c r="A1" s="383" t="s">
        <v>97</v>
      </c>
    </row>
    <row r="2" spans="1:11">
      <c r="A2" s="359"/>
    </row>
    <row r="3" spans="1:11" ht="18" customHeight="1">
      <c r="A3" s="970" t="s">
        <v>98</v>
      </c>
      <c r="B3" s="971"/>
      <c r="C3" s="971"/>
      <c r="D3" s="972"/>
      <c r="E3" s="971"/>
      <c r="F3" s="972"/>
      <c r="G3" s="30"/>
      <c r="H3" s="972"/>
      <c r="I3" s="30"/>
      <c r="J3" s="972"/>
      <c r="K3" s="31" t="s">
        <v>227</v>
      </c>
    </row>
    <row r="4" spans="1:11" ht="18" customHeight="1">
      <c r="A4" s="970" t="s">
        <v>228</v>
      </c>
      <c r="B4" s="971"/>
      <c r="C4" s="971"/>
      <c r="D4" s="972"/>
      <c r="E4" s="971"/>
      <c r="F4" s="972"/>
      <c r="G4" s="30"/>
      <c r="H4" s="972"/>
      <c r="I4" s="31"/>
      <c r="J4" s="972"/>
    </row>
    <row r="5" spans="1:11" ht="18" customHeight="1">
      <c r="A5" s="2071" t="s">
        <v>1488</v>
      </c>
      <c r="B5" s="2072"/>
      <c r="C5" s="2072"/>
      <c r="D5" s="2072"/>
      <c r="E5" s="2072"/>
      <c r="F5" s="30"/>
      <c r="G5" s="32"/>
      <c r="H5" s="30"/>
      <c r="I5" s="30"/>
      <c r="J5" s="30"/>
      <c r="K5" s="30"/>
    </row>
    <row r="6" spans="1:11" ht="18" customHeight="1">
      <c r="A6" s="2028" t="s">
        <v>1561</v>
      </c>
      <c r="B6" s="972"/>
      <c r="C6" s="972"/>
      <c r="D6" s="972"/>
      <c r="E6" s="972"/>
      <c r="F6" s="972"/>
      <c r="G6" s="30"/>
      <c r="H6" s="972"/>
      <c r="I6" s="30"/>
      <c r="J6" s="972"/>
      <c r="K6" s="30"/>
    </row>
    <row r="7" spans="1:11" ht="18" customHeight="1">
      <c r="A7" s="973" t="s">
        <v>229</v>
      </c>
      <c r="B7" s="972"/>
      <c r="C7" s="972"/>
      <c r="D7" s="972"/>
      <c r="E7" s="972"/>
      <c r="F7" s="972"/>
      <c r="G7" s="30"/>
      <c r="H7" s="972"/>
      <c r="I7" s="30"/>
      <c r="J7" s="972"/>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296"/>
      <c r="B11" s="36"/>
      <c r="C11" s="2097" t="s">
        <v>230</v>
      </c>
      <c r="D11" s="2097"/>
      <c r="E11" s="2097"/>
      <c r="F11" s="2097"/>
      <c r="G11" s="2097"/>
      <c r="H11" s="2097"/>
      <c r="I11" s="2097"/>
      <c r="J11" s="1020"/>
      <c r="K11" s="1242"/>
    </row>
    <row r="12" spans="1:11" ht="15.75">
      <c r="A12" s="296"/>
      <c r="B12" s="36"/>
      <c r="C12" s="36"/>
      <c r="D12" s="36"/>
      <c r="E12" s="36"/>
      <c r="F12" s="36"/>
      <c r="G12" s="36"/>
      <c r="H12" s="36"/>
      <c r="I12" s="37" t="s">
        <v>231</v>
      </c>
      <c r="J12" s="36"/>
      <c r="K12" s="37" t="s">
        <v>231</v>
      </c>
    </row>
    <row r="13" spans="1:11" ht="15.75">
      <c r="A13" s="296"/>
      <c r="B13" s="36"/>
      <c r="C13" s="36"/>
      <c r="D13" s="36"/>
      <c r="E13" s="36"/>
      <c r="F13" s="36"/>
      <c r="G13" s="36"/>
      <c r="H13" s="36"/>
      <c r="I13" s="37" t="s">
        <v>232</v>
      </c>
      <c r="J13" s="36"/>
      <c r="K13" s="37" t="s">
        <v>232</v>
      </c>
    </row>
    <row r="14" spans="1:11" ht="15.75">
      <c r="A14" s="296" t="s">
        <v>233</v>
      </c>
      <c r="B14" s="36"/>
      <c r="C14" s="38" t="s">
        <v>234</v>
      </c>
      <c r="D14" s="36"/>
      <c r="E14" s="37" t="s">
        <v>235</v>
      </c>
      <c r="F14" s="36"/>
      <c r="G14" s="36"/>
      <c r="H14" s="36"/>
      <c r="I14" s="37" t="s">
        <v>236</v>
      </c>
      <c r="J14" s="36"/>
      <c r="K14" s="37" t="s">
        <v>236</v>
      </c>
    </row>
    <row r="15" spans="1:11" ht="15.75">
      <c r="A15" s="296"/>
      <c r="B15" s="36"/>
      <c r="C15" s="37" t="s">
        <v>237</v>
      </c>
      <c r="D15" s="36"/>
      <c r="E15" s="37" t="s">
        <v>237</v>
      </c>
      <c r="F15" s="36"/>
      <c r="G15" s="36"/>
      <c r="H15" s="36"/>
      <c r="I15" s="37" t="s">
        <v>234</v>
      </c>
      <c r="J15" s="36"/>
      <c r="K15" s="37" t="s">
        <v>235</v>
      </c>
    </row>
    <row r="16" spans="1:11" ht="15.75">
      <c r="A16" s="296"/>
      <c r="B16" s="36"/>
      <c r="C16" s="37" t="s">
        <v>238</v>
      </c>
      <c r="D16" s="36"/>
      <c r="E16" s="37" t="s">
        <v>1521</v>
      </c>
      <c r="F16" s="36"/>
      <c r="G16" s="38" t="s">
        <v>231</v>
      </c>
      <c r="H16" s="36"/>
      <c r="I16" s="37" t="s">
        <v>239</v>
      </c>
      <c r="J16" s="36"/>
      <c r="K16" s="37" t="s">
        <v>239</v>
      </c>
    </row>
    <row r="17" spans="1:13">
      <c r="A17" s="39"/>
      <c r="B17" s="30"/>
      <c r="C17" s="1021"/>
      <c r="D17" s="30"/>
      <c r="E17" s="1021"/>
      <c r="F17" s="30"/>
      <c r="G17" s="1021"/>
      <c r="H17" s="30"/>
      <c r="I17" s="1021"/>
      <c r="J17" s="30"/>
      <c r="K17" s="1021"/>
    </row>
    <row r="18" spans="1:13" ht="15.75">
      <c r="A18" s="3" t="s">
        <v>114</v>
      </c>
      <c r="B18" s="261"/>
      <c r="C18" s="261"/>
      <c r="D18" s="261"/>
      <c r="E18" s="261"/>
      <c r="F18" s="261"/>
      <c r="G18" s="261"/>
      <c r="H18" s="261"/>
      <c r="I18" s="261"/>
      <c r="J18" s="261"/>
      <c r="K18" s="261"/>
    </row>
    <row r="19" spans="1:13" ht="15" customHeight="1">
      <c r="A19" s="355" t="s">
        <v>240</v>
      </c>
      <c r="B19" s="384" t="s">
        <v>103</v>
      </c>
      <c r="C19" s="687"/>
      <c r="D19" s="384"/>
      <c r="E19" s="687"/>
      <c r="F19" s="384"/>
      <c r="G19" s="385"/>
      <c r="H19" s="384"/>
      <c r="I19" s="385"/>
      <c r="J19" s="384"/>
      <c r="K19" s="385"/>
    </row>
    <row r="20" spans="1:13">
      <c r="A20" s="355" t="s">
        <v>241</v>
      </c>
      <c r="B20" s="384" t="s">
        <v>103</v>
      </c>
      <c r="C20" s="279">
        <f>'Exh D General Fund'!C20+'Exh D Special Revenue'!C20+'Exh D Debt Service'!C20</f>
        <v>36289</v>
      </c>
      <c r="D20" s="281"/>
      <c r="E20" s="279">
        <f>+'Exh D General Fund'!E20+'Exh D Special Revenue'!E20+'Exh D Debt Service'!E20</f>
        <v>37526</v>
      </c>
      <c r="F20" s="281"/>
      <c r="G20" s="279">
        <f>+'Exh D General Fund'!G20+'Exh D Special Revenue'!G20+'Exh D Debt Service'!G20</f>
        <v>38231.199999999997</v>
      </c>
      <c r="H20" s="281"/>
      <c r="I20" s="279">
        <f>G20-C20</f>
        <v>1942.1999999999971</v>
      </c>
      <c r="J20" s="281"/>
      <c r="K20" s="279">
        <f>G20-E20</f>
        <v>705.19999999999709</v>
      </c>
      <c r="M20" s="431"/>
    </row>
    <row r="21" spans="1:13">
      <c r="A21" s="355" t="s">
        <v>242</v>
      </c>
      <c r="B21" s="261" t="s">
        <v>103</v>
      </c>
      <c r="C21" s="269">
        <f>+'Exh D General Fund'!C21+'Exh D Debt Service'!C21+'Exh D Special Revenue'!C21+'Exh D Capital Projects'!C20</f>
        <v>15208</v>
      </c>
      <c r="D21" s="269"/>
      <c r="E21" s="269">
        <f>+'Exh D General Fund'!E21+'Exh D Special Revenue'!E21+'Exh D Debt Service'!E21+'Exh D Capital Projects'!E20</f>
        <v>15365</v>
      </c>
      <c r="F21" s="269"/>
      <c r="G21" s="269">
        <f>+'Exh D General Fund'!G21+'Exh D Special Revenue'!G21+'Exh D Debt Service'!G21+'Exh D Capital Projects'!G20</f>
        <v>15669.699999999999</v>
      </c>
      <c r="H21" s="269"/>
      <c r="I21" s="269">
        <f>G21-C21</f>
        <v>461.69999999999891</v>
      </c>
      <c r="J21" s="269"/>
      <c r="K21" s="269">
        <f t="shared" ref="K21:K25" si="0">G21-E21</f>
        <v>304.69999999999891</v>
      </c>
      <c r="M21" s="431"/>
    </row>
    <row r="22" spans="1:13" ht="15" customHeight="1">
      <c r="A22" s="355" t="s">
        <v>243</v>
      </c>
      <c r="B22" s="384" t="s">
        <v>103</v>
      </c>
      <c r="C22" s="269">
        <f>+'Exh D General Fund'!C22+'Exh D Special Revenue'!C22+'Exh D Capital Projects'!C21+'Exh D Debt Service'!C22</f>
        <v>12858</v>
      </c>
      <c r="D22" s="292"/>
      <c r="E22" s="269">
        <f>+'Exh D General Fund'!E22+'Exh D Special Revenue'!E22+'Exh D Capital Projects'!E21+'Exh D Debt Service'!E22</f>
        <v>12327</v>
      </c>
      <c r="F22" s="292"/>
      <c r="G22" s="269">
        <f>+'Exh D General Fund'!G22+'Exh D Special Revenue'!G22+'Exh D Capital Projects'!G21+'Exh D Debt Service'!G22</f>
        <v>12535.599999999999</v>
      </c>
      <c r="H22" s="292"/>
      <c r="I22" s="269">
        <f t="shared" ref="I22:I25" si="1">G22-C22</f>
        <v>-322.40000000000146</v>
      </c>
      <c r="J22" s="292"/>
      <c r="K22" s="269">
        <f t="shared" si="0"/>
        <v>208.59999999999854</v>
      </c>
      <c r="M22" s="431"/>
    </row>
    <row r="23" spans="1:13" ht="14.25" customHeight="1">
      <c r="A23" s="355" t="s">
        <v>244</v>
      </c>
      <c r="B23" s="261" t="s">
        <v>103</v>
      </c>
      <c r="C23" s="269">
        <f>+'Exh D General Fund'!C23+'Exh D Capital Projects'!C22+'Exh D Debt Service'!C23</f>
        <v>1899</v>
      </c>
      <c r="D23" s="269"/>
      <c r="E23" s="269">
        <f>+'Exh D General Fund'!E23+'Exh D Debt Service'!E23+'Exh D Capital Projects'!E22</f>
        <v>1988</v>
      </c>
      <c r="F23" s="269"/>
      <c r="G23" s="269">
        <f>+'Exh D General Fund'!G23+'Exh D Debt Service'!G23+'Exh D Capital Projects'!G22</f>
        <v>2057.6</v>
      </c>
      <c r="H23" s="269"/>
      <c r="I23" s="269">
        <f t="shared" si="1"/>
        <v>158.59999999999991</v>
      </c>
      <c r="J23" s="269"/>
      <c r="K23" s="269">
        <f t="shared" si="0"/>
        <v>69.599999999999909</v>
      </c>
      <c r="L23" s="431"/>
      <c r="M23" s="431"/>
    </row>
    <row r="24" spans="1:13">
      <c r="A24" s="355" t="s">
        <v>119</v>
      </c>
      <c r="B24" s="261" t="s">
        <v>103</v>
      </c>
      <c r="C24" s="269">
        <f>+'Exh D General Fund'!C24+'Exh D Special Revenue'!C23+'Exh D Debt Service'!C24+'Exh D Capital Projects'!C23</f>
        <v>23320</v>
      </c>
      <c r="D24" s="269"/>
      <c r="E24" s="269">
        <f>+'Exh D General Fund'!E24+'Exh D Special Revenue'!E23+'Exh D Debt Service'!E24+'Exh D Capital Projects'!E23</f>
        <v>23923</v>
      </c>
      <c r="F24" s="269"/>
      <c r="G24" s="269">
        <f>+'Exh D General Fund'!G24+'Exh D Special Revenue'!G23+'Exh D Debt Service'!G24+'Exh D Capital Projects'!G23</f>
        <v>24421.3</v>
      </c>
      <c r="H24" s="269"/>
      <c r="I24" s="269">
        <f t="shared" si="1"/>
        <v>1101.2999999999993</v>
      </c>
      <c r="J24" s="269"/>
      <c r="K24" s="269">
        <f t="shared" si="0"/>
        <v>498.29999999999927</v>
      </c>
      <c r="M24" s="431"/>
    </row>
    <row r="25" spans="1:13" ht="15" customHeight="1">
      <c r="A25" s="355" t="s">
        <v>120</v>
      </c>
      <c r="B25" s="261" t="s">
        <v>103</v>
      </c>
      <c r="C25" s="293">
        <f>+'Exh D General Fund'!C25+'Exh D Debt Service'!C25+'Exh D Special Revenue'!C24+'Exh D Capital Projects'!C24</f>
        <v>63010</v>
      </c>
      <c r="D25" s="269"/>
      <c r="E25" s="293">
        <f>+'Exh D General Fund'!E25+'Exh D Special Revenue'!E24+'Exh D Debt Service'!E25+'Exh D Capital Projects'!E24</f>
        <v>66649</v>
      </c>
      <c r="F25" s="269"/>
      <c r="G25" s="293">
        <f>+'Exh D General Fund'!G25+'Exh D Special Revenue'!G24+'Exh D Debt Service'!G25+'Exh D Capital Projects'!G24</f>
        <v>67879</v>
      </c>
      <c r="H25" s="269"/>
      <c r="I25" s="269">
        <f t="shared" si="1"/>
        <v>4869</v>
      </c>
      <c r="J25" s="269"/>
      <c r="K25" s="269">
        <f t="shared" si="0"/>
        <v>1230</v>
      </c>
      <c r="M25" s="431"/>
    </row>
    <row r="26" spans="1:13" ht="15.75">
      <c r="A26" s="1235" t="s">
        <v>245</v>
      </c>
      <c r="B26" s="36" t="s">
        <v>103</v>
      </c>
      <c r="C26" s="624">
        <f>ROUND(SUM(C20:C25),1)</f>
        <v>152584</v>
      </c>
      <c r="D26" s="13"/>
      <c r="E26" s="624">
        <f>ROUND(SUM(E20:E25),1)</f>
        <v>157778</v>
      </c>
      <c r="F26" s="13"/>
      <c r="G26" s="624">
        <f>ROUND(SUM(G20:G25),1)</f>
        <v>160794.4</v>
      </c>
      <c r="H26" s="13"/>
      <c r="I26" s="624">
        <f>ROUND(SUM(I20:I25),1)</f>
        <v>8210.4</v>
      </c>
      <c r="J26" s="13"/>
      <c r="K26" s="624">
        <f>ROUND(SUM(K20:K25),1)</f>
        <v>3016.4</v>
      </c>
      <c r="M26" s="431"/>
    </row>
    <row r="27" spans="1:13">
      <c r="A27" s="296"/>
      <c r="B27" s="261" t="s">
        <v>103</v>
      </c>
      <c r="C27" s="622"/>
      <c r="D27" s="269"/>
      <c r="E27" s="622"/>
      <c r="F27" s="269"/>
      <c r="G27" s="622"/>
      <c r="H27" s="269"/>
      <c r="I27" s="622"/>
      <c r="J27" s="269"/>
      <c r="K27" s="622"/>
      <c r="M27" s="431"/>
    </row>
    <row r="28" spans="1:13" ht="15.75">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126217</v>
      </c>
      <c r="D29" s="269"/>
      <c r="E29" s="293">
        <f>+'Exh D General Fund'!E34+'Exh D Special Revenue'!E29+'Exh D Capital Projects'!E30</f>
        <v>126918</v>
      </c>
      <c r="F29" s="269"/>
      <c r="G29" s="293">
        <f>+'Exh D General Fund'!G34+'Exh D Special Revenue'!G29+'Exh D Capital Projects'!G30</f>
        <v>128055.40000000001</v>
      </c>
      <c r="H29" s="269"/>
      <c r="I29" s="269">
        <f>G29-C29</f>
        <v>1838.4000000000087</v>
      </c>
      <c r="J29" s="269"/>
      <c r="K29" s="269">
        <f t="shared" ref="K29:K33" si="2">G29-E29</f>
        <v>1137.4000000000087</v>
      </c>
      <c r="M29" s="431"/>
    </row>
    <row r="30" spans="1:13">
      <c r="A30" s="355" t="s">
        <v>247</v>
      </c>
      <c r="B30" s="261" t="s">
        <v>103</v>
      </c>
      <c r="C30" s="292">
        <f>+'Exh D General Fund'!C35+'Exh D Special Revenue'!C30+'Exh D Debt Service'!C30</f>
        <v>18577</v>
      </c>
      <c r="D30" s="269"/>
      <c r="E30" s="292">
        <f>+'Exh D General Fund'!E35+'Exh D Special Revenue'!E30+'Exh D Debt Service'!E30</f>
        <v>19060</v>
      </c>
      <c r="F30" s="269"/>
      <c r="G30" s="292">
        <f>+'Exh D General Fund'!G35+'Exh D Special Revenue'!G30+'Exh D Debt Service'!G30</f>
        <v>18840</v>
      </c>
      <c r="H30" s="269"/>
      <c r="I30" s="269">
        <f t="shared" ref="I30:I33" si="3">G30-C30</f>
        <v>263</v>
      </c>
      <c r="J30" s="269"/>
      <c r="K30" s="269">
        <f t="shared" si="2"/>
        <v>-220</v>
      </c>
      <c r="M30" s="431"/>
    </row>
    <row r="31" spans="1:13">
      <c r="A31" s="355" t="s">
        <v>212</v>
      </c>
      <c r="B31" s="261" t="s">
        <v>103</v>
      </c>
      <c r="C31" s="293">
        <f>+'Exh D General Fund'!C36+'Exh D Special Revenue'!C31</f>
        <v>6138</v>
      </c>
      <c r="D31" s="269"/>
      <c r="E31" s="293">
        <f>+'Exh D General Fund'!E36+'Exh D Special Revenue'!E31</f>
        <v>6297</v>
      </c>
      <c r="F31" s="269"/>
      <c r="G31" s="293">
        <f>+'Exh D General Fund'!G36+'Exh D Special Revenue'!G31</f>
        <v>6289</v>
      </c>
      <c r="H31" s="269"/>
      <c r="I31" s="269">
        <f t="shared" si="3"/>
        <v>151</v>
      </c>
      <c r="J31" s="269"/>
      <c r="K31" s="269">
        <f t="shared" si="2"/>
        <v>-8</v>
      </c>
      <c r="M31" s="431"/>
    </row>
    <row r="32" spans="1:13">
      <c r="A32" s="355" t="s">
        <v>248</v>
      </c>
      <c r="B32" s="261" t="s">
        <v>103</v>
      </c>
      <c r="C32" s="292">
        <f>+'Exh D Debt Service'!C31+'Exh D Special Revenue'!C32</f>
        <v>517</v>
      </c>
      <c r="D32" s="269"/>
      <c r="E32" s="292">
        <f>+'Exh D Debt Service'!E31+'Exh D Special Revenue'!E32</f>
        <v>294</v>
      </c>
      <c r="F32" s="269"/>
      <c r="G32" s="292">
        <f>+'Exh D Debt Service'!G31+'Exh D Special Revenue'!K32</f>
        <v>295</v>
      </c>
      <c r="H32" s="269"/>
      <c r="I32" s="269">
        <f t="shared" si="3"/>
        <v>-222</v>
      </c>
      <c r="J32" s="269"/>
      <c r="K32" s="269">
        <f t="shared" si="2"/>
        <v>1</v>
      </c>
      <c r="M32" s="431"/>
    </row>
    <row r="33" spans="1:14" ht="15" customHeight="1">
      <c r="A33" s="355" t="s">
        <v>140</v>
      </c>
      <c r="B33" s="261" t="s">
        <v>103</v>
      </c>
      <c r="C33" s="293">
        <f>+'Exh D Special Revenue'!C33+'Exh D Capital Projects'!C31</f>
        <v>9017</v>
      </c>
      <c r="D33" s="269"/>
      <c r="E33" s="293">
        <f>+'Exh D Special Revenue'!E33+'Exh D Capital Projects'!E31</f>
        <v>7239</v>
      </c>
      <c r="F33" s="269"/>
      <c r="G33" s="293">
        <f>+'Exh D Special Revenue'!G33+'Exh D Capital Projects'!G31</f>
        <v>6887.4000000000005</v>
      </c>
      <c r="H33" s="269"/>
      <c r="I33" s="269">
        <f t="shared" si="3"/>
        <v>-2129.5999999999995</v>
      </c>
      <c r="J33" s="269"/>
      <c r="K33" s="269">
        <f t="shared" si="2"/>
        <v>-351.59999999999945</v>
      </c>
      <c r="M33" s="431"/>
    </row>
    <row r="34" spans="1:14" ht="15.75" customHeight="1">
      <c r="A34" s="1235" t="s">
        <v>249</v>
      </c>
      <c r="B34" s="36" t="s">
        <v>103</v>
      </c>
      <c r="C34" s="623">
        <f>ROUND(SUM(C29:C33),1)</f>
        <v>160466</v>
      </c>
      <c r="D34" s="13"/>
      <c r="E34" s="623">
        <f>ROUND(SUM(E29:E33),1)</f>
        <v>159808</v>
      </c>
      <c r="F34" s="13"/>
      <c r="G34" s="623">
        <f>ROUND(SUM(G29:G33),1)</f>
        <v>160366.79999999999</v>
      </c>
      <c r="H34" s="13"/>
      <c r="I34" s="623">
        <f>ROUND(SUM(I29:I33),1)</f>
        <v>-99.2</v>
      </c>
      <c r="J34" s="13"/>
      <c r="K34" s="623">
        <f>ROUND(SUM(K29:K33),1)</f>
        <v>558.79999999999995</v>
      </c>
      <c r="M34" s="431"/>
    </row>
    <row r="35" spans="1:14">
      <c r="A35" s="296"/>
      <c r="B35" s="261"/>
      <c r="C35" s="269"/>
      <c r="D35" s="269"/>
      <c r="E35" s="269"/>
      <c r="F35" s="269"/>
      <c r="G35" s="269"/>
      <c r="H35" s="269"/>
      <c r="I35" s="269"/>
      <c r="J35" s="269"/>
      <c r="K35" s="269"/>
      <c r="M35" s="431"/>
    </row>
    <row r="36" spans="1:14" ht="15.75">
      <c r="A36" s="1235" t="s">
        <v>143</v>
      </c>
      <c r="B36" s="261"/>
      <c r="C36" s="269"/>
      <c r="D36" s="269"/>
      <c r="E36" s="269"/>
      <c r="F36" s="269"/>
      <c r="G36" s="269"/>
      <c r="H36" s="269"/>
      <c r="I36" s="269"/>
      <c r="J36" s="269"/>
      <c r="K36" s="269"/>
      <c r="M36" s="431"/>
    </row>
    <row r="37" spans="1:14" ht="15.75">
      <c r="A37" s="1235" t="s">
        <v>144</v>
      </c>
      <c r="B37" s="261" t="s">
        <v>103</v>
      </c>
      <c r="C37" s="362">
        <f>ROUND(SUM(+C26-C34),1)</f>
        <v>-7882</v>
      </c>
      <c r="D37" s="269"/>
      <c r="E37" s="362">
        <f>ROUND(SUM(+E26-E34),1)</f>
        <v>-2030</v>
      </c>
      <c r="F37" s="269"/>
      <c r="G37" s="362">
        <f>ROUND(SUM(+G26-G34),1)</f>
        <v>427.6</v>
      </c>
      <c r="H37" s="269"/>
      <c r="I37" s="362">
        <f>ROUND(SUM(+I26-I34),1)</f>
        <v>8309.6</v>
      </c>
      <c r="J37" s="269"/>
      <c r="K37" s="362">
        <f>ROUND(SUM(+K26-K34),1)</f>
        <v>2457.6</v>
      </c>
      <c r="M37" s="431"/>
    </row>
    <row r="38" spans="1:14">
      <c r="A38" s="296"/>
      <c r="B38" s="261"/>
      <c r="C38" s="269"/>
      <c r="D38" s="269"/>
      <c r="E38" s="269"/>
      <c r="F38" s="269"/>
      <c r="G38" s="269"/>
      <c r="H38" s="269"/>
      <c r="I38" s="269"/>
      <c r="J38" s="269"/>
      <c r="K38" s="269"/>
      <c r="M38" s="431"/>
    </row>
    <row r="39" spans="1:14" ht="15.75">
      <c r="A39" s="1235"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40477</v>
      </c>
      <c r="D41" s="269"/>
      <c r="E41" s="292">
        <f>+'Exh D General Fund'!E27+'Exh D General Fund'!E28+'Exh D General Fund'!E29+'Exh D General Fund'!E30+'Exh D Special Revenue'!E25+'Exh D Debt Service'!E26+'Exh D Capital Projects'!E26</f>
        <v>41245</v>
      </c>
      <c r="F41" s="269"/>
      <c r="G41" s="292">
        <f>+'Exh D General Fund'!G27+'Exh D General Fund'!G28+'Exh D General Fund'!G29+'Exh D General Fund'!G30+'Exh D Special Revenue'!K25+'Exh D Debt Service'!G26+'Exh D Capital Projects'!K26</f>
        <v>40812.300000000003</v>
      </c>
      <c r="H41" s="269"/>
      <c r="I41" s="269">
        <f>G41-C41</f>
        <v>335.30000000000291</v>
      </c>
      <c r="J41" s="269"/>
      <c r="K41" s="269">
        <f t="shared" si="5"/>
        <v>-432.69999999999709</v>
      </c>
      <c r="M41" s="431"/>
    </row>
    <row r="42" spans="1:14">
      <c r="A42" s="355" t="s">
        <v>251</v>
      </c>
      <c r="B42" s="261" t="s">
        <v>103</v>
      </c>
      <c r="C42" s="387">
        <f>-(+'Exh D General Fund'!C38+'Exh D General Fund'!C39+'Exh D General Fund'!C40+'Exh D General Fund'!C41+'Exh D General Fund'!C42+'Exh D Special Revenue'!C34+'Exh D Debt Service'!C32+'Exh D Capital Projects'!C32)</f>
        <v>-46733</v>
      </c>
      <c r="D42" s="269"/>
      <c r="E42" s="387">
        <f>-(+'Exh D General Fund'!E38+'Exh D General Fund'!E39+'Exh D General Fund'!E40+'Exh D General Fund'!E41+'Exh D General Fund'!E42+'Exh D Special Revenue'!E34+'Exh D Debt Service'!E32+'Exh D Capital Projects'!E32)</f>
        <v>-47377</v>
      </c>
      <c r="F42" s="269"/>
      <c r="G42" s="387">
        <f>-(+'Exh D General Fund'!G38+'Exh D General Fund'!G39+'Exh D General Fund'!G40+'Exh D General Fund'!G41+'Exh D General Fund'!G42+'Exh D Special Revenue'!K34+'Exh D Debt Service'!G32+'Exh D Capital Projects'!K32)</f>
        <v>-46942.6</v>
      </c>
      <c r="H42" s="269"/>
      <c r="I42" s="269">
        <f>(G42-C42)</f>
        <v>-209.59999999999854</v>
      </c>
      <c r="J42" s="269"/>
      <c r="K42" s="269">
        <f>(G42-E42)</f>
        <v>434.40000000000146</v>
      </c>
      <c r="M42" s="431"/>
    </row>
    <row r="43" spans="1:14" ht="15.75">
      <c r="A43" s="1235" t="s">
        <v>252</v>
      </c>
      <c r="B43" s="261" t="s">
        <v>103</v>
      </c>
      <c r="C43" s="1000">
        <f>ROUND(+SUM(C40)+C41+C42,1)</f>
        <v>-6256</v>
      </c>
      <c r="D43" s="269"/>
      <c r="E43" s="1000">
        <f>ROUND(+SUM(E40)+E41+E42,1)</f>
        <v>-6132</v>
      </c>
      <c r="F43" s="269"/>
      <c r="G43" s="1000">
        <f>ROUND(+SUM(G40)+G41+G42,1)</f>
        <v>-6130.3</v>
      </c>
      <c r="H43" s="269"/>
      <c r="I43" s="1013">
        <f>I40+I41+I42</f>
        <v>125.70000000000437</v>
      </c>
      <c r="J43" s="269"/>
      <c r="K43" s="1013">
        <f>ROUND(SUM(K40+K41+K42),1)</f>
        <v>1.7</v>
      </c>
      <c r="M43" s="431"/>
    </row>
    <row r="44" spans="1:14" ht="15.75">
      <c r="A44" s="1235"/>
      <c r="B44" s="261"/>
      <c r="C44" s="292"/>
      <c r="D44" s="269"/>
      <c r="E44" s="292"/>
      <c r="F44" s="269"/>
      <c r="G44" s="292"/>
      <c r="H44" s="269"/>
      <c r="I44" s="292"/>
      <c r="J44" s="269"/>
      <c r="K44" s="292"/>
      <c r="M44" s="431"/>
    </row>
    <row r="45" spans="1:14" ht="15.75">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ht="15.75">
      <c r="A47" s="1235" t="s">
        <v>255</v>
      </c>
      <c r="B47" s="42" t="s">
        <v>103</v>
      </c>
      <c r="C47" s="13">
        <f>ROUND(SUM(C26)-SUM(C34)+C43,1)</f>
        <v>-14138</v>
      </c>
      <c r="D47" s="18"/>
      <c r="E47" s="13">
        <f>ROUND(SUM(E26)-SUM(E34)+E43,1)</f>
        <v>-8162</v>
      </c>
      <c r="F47" s="18"/>
      <c r="G47" s="13">
        <f>ROUND(SUM(G26)-SUM(G34)+G43,1)</f>
        <v>-5702.7</v>
      </c>
      <c r="H47" s="18"/>
      <c r="I47" s="13">
        <f>ROUND(SUM(I26)-SUM(I34)+I43,1)</f>
        <v>8435.2999999999993</v>
      </c>
      <c r="J47" s="18"/>
      <c r="K47" s="13">
        <f>ROUND(SUM(K26)-SUM(K34)+K43,1)</f>
        <v>2459.3000000000002</v>
      </c>
      <c r="M47" s="431"/>
    </row>
    <row r="48" spans="1:14" ht="15.75">
      <c r="A48" s="296"/>
      <c r="B48" s="261"/>
      <c r="C48" s="269"/>
      <c r="D48" s="269"/>
      <c r="E48" s="269"/>
      <c r="F48" s="269"/>
      <c r="G48" s="269"/>
      <c r="H48" s="269"/>
      <c r="I48" s="13" t="s">
        <v>103</v>
      </c>
      <c r="J48" s="269"/>
      <c r="K48" s="13" t="s">
        <v>103</v>
      </c>
      <c r="M48" s="431"/>
    </row>
    <row r="49" spans="1:13" ht="15.75">
      <c r="A49" s="1235"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5" thickBot="1">
      <c r="A50" s="1235" t="str">
        <f>"Fund Balances (Deficits) at "&amp;PROPER(_xlfn.TEXTAFTER('Exh D Governmental  '!A6," ",4))</f>
        <v>Fund Balances (Deficits) at November 30, 2025</v>
      </c>
      <c r="B50" s="43" t="s">
        <v>103</v>
      </c>
      <c r="C50" s="681">
        <f>ROUND(SUM(C47:C49),1)</f>
        <v>59558</v>
      </c>
      <c r="D50" s="44"/>
      <c r="E50" s="681">
        <f>ROUND(SUM(E47:E49),1)</f>
        <v>65534</v>
      </c>
      <c r="F50" s="44"/>
      <c r="G50" s="681">
        <f>ROUND(SUM(G47:G49),1)</f>
        <v>67993.7</v>
      </c>
      <c r="H50" s="44"/>
      <c r="I50" s="681">
        <f>ROUND(SUM(I47:I49),1)</f>
        <v>8435.7000000000007</v>
      </c>
      <c r="J50" s="44"/>
      <c r="K50" s="681">
        <f>ROUND(SUM(K47:K49),1)</f>
        <v>2459.6999999999998</v>
      </c>
      <c r="M50" s="431"/>
    </row>
    <row r="51" spans="1:13" ht="15.75" thickTop="1">
      <c r="A51" s="296"/>
      <c r="B51" s="261"/>
      <c r="C51" s="261"/>
      <c r="D51" s="261"/>
      <c r="E51" s="261"/>
      <c r="F51" s="261"/>
      <c r="G51" s="261"/>
      <c r="H51" s="261"/>
      <c r="I51" s="261"/>
      <c r="J51" s="261"/>
      <c r="K51" s="261"/>
      <c r="M51" s="431"/>
    </row>
    <row r="52" spans="1:13">
      <c r="A52" s="391" t="s">
        <v>1503</v>
      </c>
      <c r="G52" s="431"/>
      <c r="K52" s="431"/>
      <c r="M52" s="431"/>
    </row>
    <row r="53" spans="1:13">
      <c r="A53" s="685" t="s">
        <v>1555</v>
      </c>
      <c r="E53" s="988"/>
      <c r="G53" s="988"/>
      <c r="I53" s="988"/>
      <c r="K53" s="988"/>
    </row>
    <row r="54" spans="1:13">
      <c r="A54" s="685"/>
      <c r="G54" s="12"/>
    </row>
    <row r="55" spans="1:13" ht="15.75">
      <c r="A55" s="965"/>
      <c r="G55" s="431"/>
    </row>
    <row r="56" spans="1:13">
      <c r="A56" s="46"/>
    </row>
  </sheetData>
  <mergeCells count="1">
    <mergeCell ref="C11:I11"/>
  </mergeCells>
  <printOptions horizontalCentered="1"/>
  <pageMargins left="0.7" right="0.7" top="0.75" bottom="1" header="0.5" footer="0.25"/>
  <pageSetup scale="62"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3.88671875" style="23" bestFit="1" customWidth="1"/>
    <col min="9" max="9" width="15.109375" style="23" customWidth="1"/>
    <col min="10" max="10" width="1.88671875" style="23" customWidth="1"/>
    <col min="11" max="11" width="15.109375" style="23" customWidth="1"/>
    <col min="12" max="16384" width="8.8867187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68" t="str">
        <f>'Exh D Governmental  '!A5</f>
        <v>FISCAL YEAR 2025-2026</v>
      </c>
      <c r="F5" s="30"/>
      <c r="G5" s="32"/>
      <c r="H5" s="30"/>
      <c r="I5" s="358"/>
      <c r="J5" s="30"/>
    </row>
    <row r="6" spans="1:14" ht="18" customHeight="1">
      <c r="A6" s="50" t="str">
        <f>'Exh D Governmental  '!A6</f>
        <v>FOR EIGHT MONTHS ENDED NOVEMBER 30,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296"/>
      <c r="B11" s="36"/>
      <c r="C11" s="2097" t="s">
        <v>1522</v>
      </c>
      <c r="D11" s="2097"/>
      <c r="E11" s="2097"/>
      <c r="F11" s="2097"/>
      <c r="G11" s="2097"/>
      <c r="H11" s="2097"/>
      <c r="I11" s="2097"/>
      <c r="J11" s="1020"/>
      <c r="K11" s="1242"/>
      <c r="N11"/>
    </row>
    <row r="12" spans="1:14" ht="15.75">
      <c r="A12" s="296"/>
      <c r="B12" s="36"/>
      <c r="C12" s="36"/>
      <c r="D12" s="36"/>
      <c r="E12" s="36"/>
      <c r="F12" s="36"/>
      <c r="G12" s="36"/>
      <c r="H12" s="36"/>
      <c r="I12" s="37" t="s">
        <v>231</v>
      </c>
      <c r="J12" s="36"/>
      <c r="K12" s="37" t="s">
        <v>231</v>
      </c>
    </row>
    <row r="13" spans="1:14" ht="15.75">
      <c r="A13" s="296"/>
      <c r="B13" s="36"/>
      <c r="C13" s="36"/>
      <c r="D13" s="36"/>
      <c r="E13" s="36"/>
      <c r="F13" s="36"/>
      <c r="G13" s="36"/>
      <c r="H13" s="36"/>
      <c r="I13" s="37" t="s">
        <v>232</v>
      </c>
      <c r="J13" s="36"/>
      <c r="K13" s="37" t="s">
        <v>232</v>
      </c>
    </row>
    <row r="14" spans="1:14" ht="15.75">
      <c r="A14" s="296"/>
      <c r="B14" s="36"/>
      <c r="C14" s="38" t="s">
        <v>234</v>
      </c>
      <c r="D14" s="36"/>
      <c r="E14" s="37" t="s">
        <v>235</v>
      </c>
      <c r="F14" s="36"/>
      <c r="G14" s="36"/>
      <c r="H14" s="36"/>
      <c r="I14" s="37" t="s">
        <v>236</v>
      </c>
      <c r="J14" s="36"/>
      <c r="K14" s="37" t="s">
        <v>236</v>
      </c>
    </row>
    <row r="15" spans="1:14" ht="15.75">
      <c r="A15" s="296"/>
      <c r="B15" s="36"/>
      <c r="C15" s="37" t="s">
        <v>237</v>
      </c>
      <c r="D15" s="36"/>
      <c r="E15" s="37" t="s">
        <v>237</v>
      </c>
      <c r="F15" s="36"/>
      <c r="G15" s="36"/>
      <c r="H15" s="36"/>
      <c r="I15" s="37" t="s">
        <v>234</v>
      </c>
      <c r="J15" s="36"/>
      <c r="K15" s="37" t="s">
        <v>235</v>
      </c>
    </row>
    <row r="16" spans="1:14" ht="15.75">
      <c r="A16" s="296"/>
      <c r="B16" s="36"/>
      <c r="C16" s="37" t="s">
        <v>238</v>
      </c>
      <c r="D16" s="36"/>
      <c r="E16" s="37" t="s">
        <v>1521</v>
      </c>
      <c r="F16" s="36"/>
      <c r="G16" s="38" t="s">
        <v>231</v>
      </c>
      <c r="H16" s="36"/>
      <c r="I16" s="37" t="s">
        <v>239</v>
      </c>
      <c r="J16" s="36"/>
      <c r="K16" s="37" t="s">
        <v>239</v>
      </c>
    </row>
    <row r="17" spans="1:12">
      <c r="A17" s="39"/>
      <c r="B17" s="30"/>
      <c r="C17" s="1021"/>
      <c r="D17" s="30"/>
      <c r="E17" s="1021"/>
      <c r="F17" s="30"/>
      <c r="G17" s="1021"/>
      <c r="H17" s="30"/>
      <c r="I17" s="1021"/>
      <c r="J17" s="30"/>
      <c r="K17" s="1021"/>
    </row>
    <row r="18" spans="1:12" ht="15.75">
      <c r="A18" s="3" t="s">
        <v>114</v>
      </c>
      <c r="B18" s="261"/>
      <c r="C18" s="261"/>
      <c r="D18" s="261"/>
      <c r="E18" s="261"/>
      <c r="F18" s="261"/>
      <c r="G18" s="261"/>
      <c r="H18" s="261"/>
      <c r="I18" s="261"/>
      <c r="J18" s="261"/>
      <c r="K18" s="261"/>
    </row>
    <row r="19" spans="1:12" ht="15" customHeight="1">
      <c r="A19" s="355" t="s">
        <v>240</v>
      </c>
      <c r="B19" s="384" t="s">
        <v>103</v>
      </c>
      <c r="C19" s="687"/>
      <c r="D19" s="384"/>
      <c r="E19" s="687"/>
      <c r="F19" s="384"/>
      <c r="G19" s="385"/>
      <c r="H19" s="384"/>
      <c r="I19" s="385"/>
      <c r="J19" s="384"/>
      <c r="K19" s="385"/>
    </row>
    <row r="20" spans="1:12">
      <c r="A20" s="355" t="s">
        <v>241</v>
      </c>
      <c r="B20" s="384" t="s">
        <v>103</v>
      </c>
      <c r="C20" s="279">
        <f>'Exh D General Fund'!C20+'Exh D Special Revenue State Fed'!C20+'Exh D Debt Service'!C20</f>
        <v>36289</v>
      </c>
      <c r="D20" s="281"/>
      <c r="E20" s="279">
        <f>'Exh D General Fund'!E20+'Exh D Special Revenue State Fed'!E20+'Exh D Debt Service'!E20</f>
        <v>37526</v>
      </c>
      <c r="F20" s="281"/>
      <c r="G20" s="279">
        <f>+'Exh A Supp'!T15</f>
        <v>38231.199999999997</v>
      </c>
      <c r="H20" s="281"/>
      <c r="I20" s="279">
        <f>G20-C20</f>
        <v>1942.1999999999971</v>
      </c>
      <c r="J20" s="281"/>
      <c r="K20" s="279">
        <f>G20-E20</f>
        <v>705.19999999999709</v>
      </c>
    </row>
    <row r="21" spans="1:12">
      <c r="A21" s="355" t="s">
        <v>242</v>
      </c>
      <c r="B21" s="261" t="s">
        <v>103</v>
      </c>
      <c r="C21" s="269">
        <f>'Exh D General Fund'!C21+'Exh D Special Revenue State Fed'!C21+'Exh D Debt Service'!C21</f>
        <v>14797</v>
      </c>
      <c r="D21" s="269"/>
      <c r="E21" s="269">
        <f>'Exh D General Fund'!E21+'Exh D Special Revenue State Fed'!E21+'Exh D Debt Service'!E21</f>
        <v>14956</v>
      </c>
      <c r="F21" s="269"/>
      <c r="G21" s="269">
        <f>+'Exh A Supp'!T16</f>
        <v>15262.8</v>
      </c>
      <c r="H21" s="269"/>
      <c r="I21" s="269">
        <f>G21-C21</f>
        <v>465.79999999999927</v>
      </c>
      <c r="J21" s="269"/>
      <c r="K21" s="269">
        <f t="shared" ref="K21:K25" si="0">G21-E21</f>
        <v>306.79999999999927</v>
      </c>
    </row>
    <row r="22" spans="1:12" ht="15" customHeight="1">
      <c r="A22" s="355" t="s">
        <v>243</v>
      </c>
      <c r="B22" s="384" t="s">
        <v>103</v>
      </c>
      <c r="C22" s="269">
        <f>'Exh D General Fund'!C22+'Exh D Special Revenue State Fed'!C22+'Exh D Debt Service'!C22</f>
        <v>12454</v>
      </c>
      <c r="D22" s="292"/>
      <c r="E22" s="269">
        <f>'Exh D General Fund'!E22+'Exh D Special Revenue State Fed'!E22+'Exh D Debt Service'!E22</f>
        <v>11928</v>
      </c>
      <c r="F22" s="292"/>
      <c r="G22" s="269">
        <f>+'Exh A Supp'!T17</f>
        <v>12141.6</v>
      </c>
      <c r="H22" s="292"/>
      <c r="I22" s="269">
        <f t="shared" ref="I22:I25" si="1">G22-C22</f>
        <v>-312.39999999999964</v>
      </c>
      <c r="J22" s="292"/>
      <c r="K22" s="269">
        <f t="shared" si="0"/>
        <v>213.60000000000036</v>
      </c>
    </row>
    <row r="23" spans="1:12" ht="14.25" customHeight="1">
      <c r="A23" s="355" t="s">
        <v>244</v>
      </c>
      <c r="B23" s="261" t="s">
        <v>103</v>
      </c>
      <c r="C23" s="269">
        <f>'Exh D General Fund'!C23+'Exh D Debt Service'!C23</f>
        <v>1743</v>
      </c>
      <c r="D23" s="269"/>
      <c r="E23" s="269">
        <f>'Exh D General Fund'!E23+'Exh D Debt Service'!E23</f>
        <v>1833</v>
      </c>
      <c r="F23" s="269"/>
      <c r="G23" s="269">
        <f>+'Exh A Supp'!T18</f>
        <v>1903.2</v>
      </c>
      <c r="H23" s="269"/>
      <c r="I23" s="269">
        <f t="shared" si="1"/>
        <v>160.20000000000005</v>
      </c>
      <c r="J23" s="269"/>
      <c r="K23" s="269">
        <f t="shared" si="0"/>
        <v>70.200000000000045</v>
      </c>
    </row>
    <row r="24" spans="1:12">
      <c r="A24" s="355" t="s">
        <v>119</v>
      </c>
      <c r="B24" s="261" t="s">
        <v>103</v>
      </c>
      <c r="C24" s="269">
        <f>'Exh D General Fund'!C24+'Exh D Special Revenue State Fed'!C23+'Exh D Debt Service'!C24</f>
        <v>19943</v>
      </c>
      <c r="D24" s="269"/>
      <c r="E24" s="269">
        <f>'Exh D General Fund'!E24+'Exh D Special Revenue State Fed'!E23+'Exh D Debt Service'!E24</f>
        <v>21098</v>
      </c>
      <c r="F24" s="269"/>
      <c r="G24" s="269">
        <f>+'Exh A Supp'!T19</f>
        <v>21449</v>
      </c>
      <c r="H24" s="269"/>
      <c r="I24" s="269">
        <f t="shared" si="1"/>
        <v>1506</v>
      </c>
      <c r="J24" s="269"/>
      <c r="K24" s="269">
        <f t="shared" si="0"/>
        <v>351</v>
      </c>
    </row>
    <row r="25" spans="1:12" ht="15" customHeight="1">
      <c r="A25" s="355" t="s">
        <v>120</v>
      </c>
      <c r="B25" s="261" t="s">
        <v>103</v>
      </c>
      <c r="C25" s="293">
        <f>'Exh D General Fund'!C25+'Exh D Special Revenue State Fed'!C24+'Exh D Debt Service'!C25</f>
        <v>60</v>
      </c>
      <c r="D25" s="269"/>
      <c r="E25" s="293">
        <f>'Exh D General Fund'!E25+'Exh D Special Revenue State Fed'!E24+'Exh D Debt Service'!E25</f>
        <v>57</v>
      </c>
      <c r="F25" s="269"/>
      <c r="G25" s="269">
        <f>+'Exh A Supp'!T20</f>
        <v>58.2</v>
      </c>
      <c r="H25" s="269"/>
      <c r="I25" s="269">
        <f t="shared" si="1"/>
        <v>-1.7999999999999972</v>
      </c>
      <c r="J25" s="269"/>
      <c r="K25" s="269">
        <f t="shared" si="0"/>
        <v>1.2000000000000028</v>
      </c>
    </row>
    <row r="26" spans="1:12" ht="15.75">
      <c r="A26" s="1235" t="s">
        <v>245</v>
      </c>
      <c r="B26" s="36" t="s">
        <v>103</v>
      </c>
      <c r="C26" s="624">
        <f>ROUND(SUM(C20:C25),1)</f>
        <v>85286</v>
      </c>
      <c r="D26" s="13"/>
      <c r="E26" s="624">
        <f>ROUND(SUM(E20:E25),1)</f>
        <v>87398</v>
      </c>
      <c r="F26" s="13"/>
      <c r="G26" s="624">
        <f>ROUND(SUM(G20:G25),1)</f>
        <v>89046</v>
      </c>
      <c r="H26" s="13"/>
      <c r="I26" s="624">
        <f>ROUND(SUM(I20:I25),1)</f>
        <v>3760</v>
      </c>
      <c r="J26" s="13"/>
      <c r="K26" s="624">
        <f>ROUND(SUM(K20:K25),1)</f>
        <v>1648</v>
      </c>
      <c r="L26" s="12"/>
    </row>
    <row r="27" spans="1:12">
      <c r="A27" s="296"/>
      <c r="B27" s="261" t="s">
        <v>103</v>
      </c>
      <c r="C27" s="622"/>
      <c r="D27" s="269"/>
      <c r="E27" s="622"/>
      <c r="F27" s="269"/>
      <c r="G27" s="622"/>
      <c r="H27" s="269"/>
      <c r="I27" s="622"/>
      <c r="J27" s="269"/>
      <c r="K27" s="622"/>
    </row>
    <row r="28" spans="1:12" ht="15.75">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65088</v>
      </c>
      <c r="D29" s="269"/>
      <c r="E29" s="293">
        <f>'Exh D General Fund'!E34+'Exh D Special Revenue State Fed'!E29</f>
        <v>63268</v>
      </c>
      <c r="F29" s="269"/>
      <c r="G29" s="293">
        <f>+'Exh A Supp'!T35</f>
        <v>63922.3</v>
      </c>
      <c r="H29" s="269"/>
      <c r="I29" s="269">
        <f>G29-C29</f>
        <v>-1165.6999999999971</v>
      </c>
      <c r="J29" s="269"/>
      <c r="K29" s="269">
        <f t="shared" ref="K29:K33" si="2">G29-E29</f>
        <v>654.30000000000291</v>
      </c>
      <c r="L29" s="12"/>
    </row>
    <row r="30" spans="1:12">
      <c r="A30" s="355" t="s">
        <v>247</v>
      </c>
      <c r="B30" s="261" t="s">
        <v>103</v>
      </c>
      <c r="C30" s="292">
        <f>'Exh D General Fund'!C35+'Exh D Special Revenue State Fed'!C30+'Exh D Debt Service'!C30</f>
        <v>17053</v>
      </c>
      <c r="D30" s="269"/>
      <c r="E30" s="292">
        <f>'Exh D General Fund'!E35+'Exh D Special Revenue State Fed'!E30+'Exh D Debt Service'!E30</f>
        <v>17272</v>
      </c>
      <c r="F30" s="269"/>
      <c r="G30" s="292">
        <f>+'Exh A Supp'!T37+'Exh A Supp'!T38</f>
        <v>17009.7</v>
      </c>
      <c r="H30" s="269"/>
      <c r="I30" s="269">
        <f t="shared" ref="I30:I33" si="3">G30-C30</f>
        <v>-43.299999999999272</v>
      </c>
      <c r="J30" s="269"/>
      <c r="K30" s="269">
        <f t="shared" si="2"/>
        <v>-262.29999999999927</v>
      </c>
      <c r="L30" s="12"/>
    </row>
    <row r="31" spans="1:12">
      <c r="A31" s="355" t="s">
        <v>212</v>
      </c>
      <c r="B31" s="261" t="s">
        <v>103</v>
      </c>
      <c r="C31" s="293">
        <f>'Exh D General Fund'!C36+'Exh D Special Revenue State Fed'!C31</f>
        <v>5882</v>
      </c>
      <c r="D31" s="269"/>
      <c r="E31" s="293">
        <f>'Exh D General Fund'!E36+'Exh D Special Revenue State Fed'!E31</f>
        <v>6024</v>
      </c>
      <c r="F31" s="269"/>
      <c r="G31" s="293">
        <f>+'Exh A Supp'!T39</f>
        <v>5996.8</v>
      </c>
      <c r="H31" s="269"/>
      <c r="I31" s="269">
        <f t="shared" si="3"/>
        <v>114.80000000000018</v>
      </c>
      <c r="J31" s="269"/>
      <c r="K31" s="269">
        <f t="shared" si="2"/>
        <v>-27.199999999999818</v>
      </c>
      <c r="L31" s="12"/>
    </row>
    <row r="32" spans="1:12">
      <c r="A32" s="355" t="s">
        <v>248</v>
      </c>
      <c r="B32" s="261" t="s">
        <v>103</v>
      </c>
      <c r="C32" s="292">
        <f>'Exh D Debt Service'!C31</f>
        <v>517</v>
      </c>
      <c r="D32" s="269"/>
      <c r="E32" s="292">
        <f>'Exh D Debt Service'!E31</f>
        <v>294</v>
      </c>
      <c r="F32" s="269"/>
      <c r="G32" s="293">
        <f>+'Exh A Supp'!T41</f>
        <v>295</v>
      </c>
      <c r="H32" s="269"/>
      <c r="I32" s="269">
        <f t="shared" si="3"/>
        <v>-222</v>
      </c>
      <c r="J32" s="269"/>
      <c r="K32" s="269">
        <f t="shared" si="2"/>
        <v>1</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5" t="s">
        <v>249</v>
      </c>
      <c r="B34" s="36" t="s">
        <v>103</v>
      </c>
      <c r="C34" s="623">
        <f>ROUND(SUM(C29:C33),1)</f>
        <v>88540</v>
      </c>
      <c r="D34" s="13"/>
      <c r="E34" s="623">
        <f>ROUND(SUM(E29:E33),1)</f>
        <v>86858</v>
      </c>
      <c r="F34" s="13"/>
      <c r="G34" s="623">
        <f>ROUND(SUM(G29:G33),1)</f>
        <v>87223.8</v>
      </c>
      <c r="H34" s="13"/>
      <c r="I34" s="623">
        <f>ROUND(SUM(I29:I33),1)</f>
        <v>-1316.2</v>
      </c>
      <c r="J34" s="13"/>
      <c r="K34" s="623">
        <f>ROUND(SUM(K29:K33),1)</f>
        <v>365.8</v>
      </c>
      <c r="L34" s="12"/>
    </row>
    <row r="35" spans="1:12">
      <c r="A35" s="296"/>
      <c r="B35" s="261"/>
      <c r="C35" s="269"/>
      <c r="D35" s="269"/>
      <c r="E35" s="269"/>
      <c r="F35" s="269"/>
      <c r="G35" s="269"/>
      <c r="H35" s="269"/>
      <c r="I35" s="269"/>
      <c r="J35" s="269"/>
      <c r="K35" s="269"/>
      <c r="L35" s="12"/>
    </row>
    <row r="36" spans="1:12" ht="15.75">
      <c r="A36" s="1235" t="s">
        <v>143</v>
      </c>
      <c r="B36" s="261"/>
      <c r="C36" s="269"/>
      <c r="D36" s="269"/>
      <c r="E36" s="269"/>
      <c r="F36" s="269"/>
      <c r="G36" s="269"/>
      <c r="H36" s="269"/>
      <c r="I36" s="269"/>
      <c r="J36" s="269"/>
      <c r="K36" s="269"/>
      <c r="L36" s="12"/>
    </row>
    <row r="37" spans="1:12" ht="15.75">
      <c r="A37" s="1235" t="s">
        <v>144</v>
      </c>
      <c r="B37" s="261" t="s">
        <v>103</v>
      </c>
      <c r="C37" s="362">
        <f>ROUND(SUM(+C26-C34),1)</f>
        <v>-3254</v>
      </c>
      <c r="D37" s="269"/>
      <c r="E37" s="362">
        <f>ROUND(SUM(+E26-E34),1)</f>
        <v>540</v>
      </c>
      <c r="F37" s="269"/>
      <c r="G37" s="362">
        <f>ROUND(SUM(+G26-G34),1)</f>
        <v>1822.2</v>
      </c>
      <c r="H37" s="269"/>
      <c r="I37" s="362">
        <f>ROUND(SUM(+I26-I34),1)</f>
        <v>5076.2</v>
      </c>
      <c r="J37" s="269"/>
      <c r="K37" s="362">
        <f>ROUND(SUM(+K26-K34),1)</f>
        <v>1282.2</v>
      </c>
      <c r="L37" s="12"/>
    </row>
    <row r="38" spans="1:12">
      <c r="A38" s="296"/>
      <c r="B38" s="261"/>
      <c r="C38" s="269"/>
      <c r="D38" s="269"/>
      <c r="E38" s="269"/>
      <c r="F38" s="269"/>
      <c r="G38" s="269"/>
      <c r="H38" s="269"/>
      <c r="I38" s="269"/>
      <c r="J38" s="269"/>
      <c r="K38" s="269"/>
      <c r="L38" s="12"/>
    </row>
    <row r="39" spans="1:12" ht="15.75">
      <c r="A39" s="1235"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33774</v>
      </c>
      <c r="D40" s="269"/>
      <c r="E40" s="292">
        <f>'Exh D General Fund'!E27+'Exh D General Fund'!E28+'Exh D General Fund'!E29+'Exh D General Fund'!E30+'Exh D Special Revenue State Fed'!E25+'Exh D Debt Service'!E26</f>
        <v>35663</v>
      </c>
      <c r="F40" s="269"/>
      <c r="G40" s="292">
        <f>+'Exh A Supp'!T49</f>
        <v>36272.1</v>
      </c>
      <c r="H40" s="58" t="s">
        <v>1493</v>
      </c>
      <c r="I40" s="269">
        <f>G40-C40</f>
        <v>2498.0999999999985</v>
      </c>
      <c r="J40" s="269"/>
      <c r="K40" s="269">
        <f t="shared" ref="K40:K41" si="4">G40-E40</f>
        <v>609.09999999999854</v>
      </c>
      <c r="L40" s="12"/>
    </row>
    <row r="41" spans="1:12">
      <c r="A41" s="355" t="s">
        <v>251</v>
      </c>
      <c r="B41" s="261" t="s">
        <v>103</v>
      </c>
      <c r="C41" s="387">
        <f>-('Exh D General Fund'!C38+'Exh D General Fund'!C39+'Exh D General Fund'!C40+'Exh D General Fund'!C41+'Exh D General Fund'!C42+'Exh D Special Revenue State Fed'!C34+'Exh D Debt Service'!C32)</f>
        <v>-44808</v>
      </c>
      <c r="D41" s="269"/>
      <c r="E41" s="387">
        <f>-('Exh D General Fund'!E38+'Exh D General Fund'!E39+'Exh D General Fund'!E40+'Exh D General Fund'!E41+'Exh D General Fund'!E42+'Exh D Special Revenue State Fed'!E34+'Exh D Debt Service'!E32)</f>
        <v>-44751</v>
      </c>
      <c r="F41" s="269"/>
      <c r="G41" s="292">
        <f>+'Exh A Supp'!T50</f>
        <v>-44889.5</v>
      </c>
      <c r="H41" s="58" t="s">
        <v>1493</v>
      </c>
      <c r="I41" s="269">
        <f>(G41-C41)</f>
        <v>-81.5</v>
      </c>
      <c r="J41" s="269"/>
      <c r="K41" s="269">
        <f t="shared" si="4"/>
        <v>-138.5</v>
      </c>
      <c r="L41" s="12"/>
    </row>
    <row r="42" spans="1:12" ht="15.75">
      <c r="A42" s="1235" t="s">
        <v>252</v>
      </c>
      <c r="B42" s="261" t="s">
        <v>103</v>
      </c>
      <c r="C42" s="623">
        <f>ROUND(SUM(C40:C41),1)</f>
        <v>-11034</v>
      </c>
      <c r="D42" s="269"/>
      <c r="E42" s="623">
        <f>ROUND(SUM(E40:E41),1)</f>
        <v>-9088</v>
      </c>
      <c r="F42" s="269"/>
      <c r="G42" s="623">
        <f>ROUND(SUM(G40:G41),1)</f>
        <v>-8617.4</v>
      </c>
      <c r="H42" s="269"/>
      <c r="I42" s="1013">
        <f>I40+I41</f>
        <v>2416.5999999999985</v>
      </c>
      <c r="J42" s="269"/>
      <c r="K42" s="1013">
        <f>ROUND(SUM(K40+K41),1)</f>
        <v>470.6</v>
      </c>
      <c r="L42" s="12"/>
    </row>
    <row r="43" spans="1:12" ht="15.75">
      <c r="A43" s="1235"/>
      <c r="B43" s="261"/>
      <c r="C43" s="292"/>
      <c r="D43" s="269"/>
      <c r="E43" s="292"/>
      <c r="F43" s="269"/>
      <c r="G43" s="292"/>
      <c r="H43" s="269"/>
      <c r="I43" s="292"/>
      <c r="J43" s="269"/>
      <c r="K43" s="292"/>
      <c r="L43" s="12"/>
    </row>
    <row r="44" spans="1:12" ht="15.75">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ht="15.75">
      <c r="A46" s="1235" t="s">
        <v>255</v>
      </c>
      <c r="B46" s="42" t="s">
        <v>103</v>
      </c>
      <c r="C46" s="13">
        <f>ROUND(SUM(C26)-SUM(C34)+C42,1)</f>
        <v>-14288</v>
      </c>
      <c r="D46" s="18"/>
      <c r="E46" s="13">
        <f>ROUND(SUM(E26)-SUM(E34)+E42,1)</f>
        <v>-8548</v>
      </c>
      <c r="F46" s="18"/>
      <c r="G46" s="13">
        <f>ROUND(SUM(G26)-SUM(G34)+G42,1)</f>
        <v>-6795.2</v>
      </c>
      <c r="H46" s="18"/>
      <c r="I46" s="13">
        <f>ROUND(SUM(I26)-SUM(I34)+I42,1)</f>
        <v>7492.8</v>
      </c>
      <c r="J46" s="18"/>
      <c r="K46" s="13">
        <f>ROUND(SUM(K26)-SUM(K34)+K42,1)</f>
        <v>1752.8</v>
      </c>
      <c r="L46" s="12"/>
    </row>
    <row r="47" spans="1:12">
      <c r="A47" s="296"/>
      <c r="B47" s="261"/>
      <c r="C47" s="269"/>
      <c r="D47" s="269"/>
      <c r="E47" s="269" t="s">
        <v>103</v>
      </c>
      <c r="F47" s="269"/>
      <c r="G47" s="269"/>
      <c r="H47" s="269"/>
      <c r="I47" s="269"/>
      <c r="J47" s="269"/>
      <c r="K47" s="269"/>
      <c r="L47" s="12"/>
    </row>
    <row r="48" spans="1:12" ht="15.75">
      <c r="A48" s="1235"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5" thickBot="1">
      <c r="A49" s="1235" t="str">
        <f>'Exh D Governmental  '!A50</f>
        <v>Fund Balances (Deficits) at November 30, 2025</v>
      </c>
      <c r="B49" s="43" t="s">
        <v>103</v>
      </c>
      <c r="C49" s="681">
        <f>ROUND(SUM(C46:C48),1)</f>
        <v>53034</v>
      </c>
      <c r="D49" s="44"/>
      <c r="E49" s="681">
        <f>ROUND(SUM(E46:E48),1)</f>
        <v>58774</v>
      </c>
      <c r="F49" s="44"/>
      <c r="G49" s="681">
        <f>ROUND(SUM(G46:G48),1)</f>
        <v>60526.7</v>
      </c>
      <c r="H49" s="44"/>
      <c r="I49" s="681">
        <f>ROUND(SUM(I46:I48),1)</f>
        <v>7492.7</v>
      </c>
      <c r="J49" s="44"/>
      <c r="K49" s="681">
        <f>ROUND(SUM(K46:K48),1)</f>
        <v>1752.7</v>
      </c>
      <c r="L49" s="12"/>
    </row>
    <row r="50" spans="1:12" ht="15.75"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2025-26 Mid Year Update dated October 30, 2025.</v>
      </c>
      <c r="G52" s="279"/>
      <c r="I52" s="431"/>
      <c r="K52" s="431"/>
    </row>
    <row r="53" spans="1:12">
      <c r="A53" s="289" t="s">
        <v>1519</v>
      </c>
      <c r="G53" s="279"/>
      <c r="I53" s="431"/>
      <c r="K53" s="431"/>
    </row>
    <row r="54" spans="1:12">
      <c r="A54" s="289" t="s">
        <v>1464</v>
      </c>
      <c r="G54" s="431"/>
      <c r="I54" s="431"/>
      <c r="K54" s="431"/>
    </row>
    <row r="55" spans="1:12">
      <c r="A55" s="704" t="s">
        <v>1520</v>
      </c>
      <c r="I55" s="431"/>
      <c r="K55" s="431"/>
    </row>
    <row r="57" spans="1:12">
      <c r="G57" s="431"/>
    </row>
  </sheetData>
  <mergeCells count="1">
    <mergeCell ref="C11:I11"/>
  </mergeCells>
  <printOptions horizontalCentered="1"/>
  <pageMargins left="0.7" right="0.7" top="0.75" bottom="1" header="0.5" footer="0.25"/>
  <pageSetup scale="58"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88671875" defaultRowHeight="15"/>
  <cols>
    <col min="1" max="1" width="59" style="296" customWidth="1"/>
    <col min="2" max="2" width="2" style="261" customWidth="1"/>
    <col min="3" max="3" width="15.109375" style="132" customWidth="1"/>
    <col min="4" max="4" width="1.88671875" style="261" customWidth="1"/>
    <col min="5" max="5" width="15.109375" style="132" customWidth="1"/>
    <col min="6" max="6" width="2.88671875" style="261" customWidth="1"/>
    <col min="7" max="7" width="15.109375" style="261" customWidth="1"/>
    <col min="8" max="8" width="4.109375" style="355" bestFit="1" customWidth="1"/>
    <col min="9" max="9" width="15.109375" style="261" customWidth="1"/>
    <col min="10" max="10" width="2.109375" style="261" customWidth="1"/>
    <col min="11" max="11" width="12.88671875" style="261" customWidth="1"/>
    <col min="12" max="12" width="18.109375" style="132" bestFit="1" customWidth="1"/>
    <col min="13" max="13" width="8.88671875" style="296"/>
    <col min="14" max="15" width="10.109375" style="296" bestFit="1" customWidth="1"/>
    <col min="16" max="16384" width="8.88671875" style="296"/>
  </cols>
  <sheetData>
    <row r="1" spans="1:12">
      <c r="A1" s="392" t="s">
        <v>97</v>
      </c>
      <c r="B1" s="48"/>
      <c r="C1" s="128"/>
      <c r="D1" s="48"/>
      <c r="E1" s="128"/>
      <c r="F1" s="48"/>
      <c r="G1" s="48"/>
      <c r="H1" s="1359"/>
      <c r="I1" s="48"/>
      <c r="J1" s="48"/>
      <c r="K1" s="48"/>
      <c r="L1" s="128"/>
    </row>
    <row r="2" spans="1:12" ht="17.25" customHeight="1">
      <c r="A2" s="49"/>
      <c r="B2" s="48"/>
      <c r="C2" s="128"/>
      <c r="D2" s="48"/>
      <c r="E2" s="128"/>
      <c r="F2" s="48"/>
      <c r="G2" s="48"/>
      <c r="H2" s="1359"/>
      <c r="I2" s="48"/>
      <c r="J2" s="48"/>
      <c r="K2" s="48"/>
      <c r="L2" s="128"/>
    </row>
    <row r="3" spans="1:12" ht="18.75" customHeight="1">
      <c r="A3" s="50" t="s">
        <v>98</v>
      </c>
      <c r="B3" s="30"/>
      <c r="C3" s="129"/>
      <c r="D3" s="30"/>
      <c r="E3" s="129"/>
      <c r="F3" s="30"/>
      <c r="G3" s="30"/>
      <c r="H3" s="1360"/>
      <c r="I3" s="357"/>
      <c r="K3" s="357" t="s">
        <v>227</v>
      </c>
      <c r="L3" s="129"/>
    </row>
    <row r="4" spans="1:12" ht="18.75" customHeight="1">
      <c r="A4" s="50" t="s">
        <v>228</v>
      </c>
      <c r="B4" s="30"/>
      <c r="C4" s="129"/>
      <c r="D4" s="30"/>
      <c r="E4" s="129"/>
      <c r="F4" s="30"/>
      <c r="G4" s="30"/>
      <c r="H4" s="1360"/>
      <c r="I4" s="358"/>
      <c r="K4" s="358"/>
      <c r="L4" s="129"/>
    </row>
    <row r="5" spans="1:12" ht="18.75" customHeight="1">
      <c r="A5" s="2081" t="str">
        <f>'Exh D Governmental  '!A5</f>
        <v>FISCAL YEAR 2025-2026</v>
      </c>
      <c r="B5" s="23"/>
      <c r="C5" s="23"/>
      <c r="D5" s="23"/>
      <c r="E5" s="23"/>
      <c r="F5" s="30"/>
      <c r="G5" s="273"/>
      <c r="H5" s="1360"/>
      <c r="I5" s="30"/>
      <c r="J5" s="30"/>
      <c r="K5" s="30"/>
      <c r="L5" s="129"/>
    </row>
    <row r="6" spans="1:12" ht="18.75" customHeight="1">
      <c r="A6" s="356" t="str">
        <f>'Exh D Governmental  '!A6</f>
        <v>FOR EIGHT MONTHS ENDED NOVEMBER 30, 2025</v>
      </c>
      <c r="B6" s="30"/>
      <c r="C6" s="129"/>
      <c r="D6" s="30"/>
      <c r="E6" s="129"/>
      <c r="F6" s="30"/>
      <c r="G6" s="30"/>
      <c r="H6" s="1360"/>
      <c r="I6" s="30"/>
      <c r="J6" s="30"/>
      <c r="K6" s="30"/>
      <c r="L6" s="129"/>
    </row>
    <row r="7" spans="1:12" ht="18.75" customHeight="1">
      <c r="A7" s="50" t="s">
        <v>229</v>
      </c>
      <c r="B7" s="30"/>
      <c r="C7" s="129"/>
      <c r="D7" s="30"/>
      <c r="E7" s="129"/>
      <c r="F7" s="30"/>
      <c r="G7" s="30"/>
      <c r="H7" s="1360"/>
      <c r="I7" s="30"/>
      <c r="J7" s="30"/>
      <c r="K7" s="30"/>
      <c r="L7" s="129"/>
    </row>
    <row r="8" spans="1:12" ht="15" customHeight="1">
      <c r="A8" s="34"/>
      <c r="B8" s="30"/>
      <c r="C8" s="129"/>
      <c r="D8" s="30"/>
      <c r="E8" s="129"/>
      <c r="F8" s="30"/>
      <c r="G8" s="30"/>
      <c r="H8" s="1360"/>
      <c r="I8" s="30"/>
      <c r="J8" s="30"/>
      <c r="K8" s="30"/>
      <c r="L8" s="129"/>
    </row>
    <row r="9" spans="1:12">
      <c r="A9" s="35"/>
      <c r="B9" s="30"/>
      <c r="C9" s="129"/>
      <c r="D9" s="30"/>
      <c r="E9" s="129"/>
      <c r="F9" s="30"/>
      <c r="G9" s="30"/>
      <c r="H9" s="1360"/>
      <c r="I9" s="30"/>
      <c r="J9" s="30"/>
      <c r="K9" s="30"/>
      <c r="L9" s="129"/>
    </row>
    <row r="10" spans="1:12">
      <c r="A10" s="35"/>
      <c r="B10" s="30"/>
      <c r="C10" s="129"/>
      <c r="D10" s="30"/>
      <c r="E10" s="129"/>
      <c r="F10" s="30"/>
      <c r="G10" s="30"/>
      <c r="H10" s="1360"/>
      <c r="I10" s="30"/>
      <c r="J10" s="30"/>
      <c r="K10" s="30"/>
      <c r="L10" s="129"/>
    </row>
    <row r="11" spans="1:12" ht="15.75">
      <c r="C11" s="2096" t="s">
        <v>258</v>
      </c>
      <c r="D11" s="2096"/>
      <c r="E11" s="2096"/>
      <c r="F11" s="2096"/>
      <c r="G11" s="2096"/>
      <c r="H11" s="2096"/>
      <c r="I11" s="2096"/>
      <c r="J11" s="433"/>
      <c r="K11" s="1022"/>
    </row>
    <row r="12" spans="1:12" ht="15.75">
      <c r="C12" s="130"/>
      <c r="D12" s="54"/>
      <c r="E12" s="130"/>
      <c r="F12" s="54"/>
      <c r="G12" s="55"/>
      <c r="H12" s="1235"/>
      <c r="I12" s="54" t="s">
        <v>231</v>
      </c>
      <c r="J12" s="52"/>
      <c r="K12" s="54" t="s">
        <v>231</v>
      </c>
    </row>
    <row r="13" spans="1:12" ht="15.75">
      <c r="B13" s="36"/>
      <c r="C13" s="131"/>
      <c r="D13" s="36"/>
      <c r="E13" s="131"/>
      <c r="F13" s="36"/>
      <c r="G13" s="36"/>
      <c r="H13" s="1235"/>
      <c r="I13" s="37" t="s">
        <v>232</v>
      </c>
      <c r="J13" s="37"/>
      <c r="K13" s="37" t="s">
        <v>232</v>
      </c>
      <c r="L13" s="131"/>
    </row>
    <row r="14" spans="1:12" ht="15.75">
      <c r="B14" s="56"/>
      <c r="C14" s="38" t="s">
        <v>234</v>
      </c>
      <c r="D14" s="36"/>
      <c r="E14" s="37" t="s">
        <v>235</v>
      </c>
      <c r="F14" s="36"/>
      <c r="G14" s="36"/>
      <c r="H14" s="1235"/>
      <c r="I14" s="37" t="s">
        <v>236</v>
      </c>
      <c r="J14" s="37"/>
      <c r="K14" s="37" t="s">
        <v>236</v>
      </c>
      <c r="L14" s="398"/>
    </row>
    <row r="15" spans="1:12" ht="15.75">
      <c r="B15" s="56"/>
      <c r="C15" s="37" t="s">
        <v>237</v>
      </c>
      <c r="D15" s="36"/>
      <c r="E15" s="37" t="s">
        <v>237</v>
      </c>
      <c r="F15" s="36"/>
      <c r="G15" s="36"/>
      <c r="H15" s="1235"/>
      <c r="I15" s="37" t="s">
        <v>234</v>
      </c>
      <c r="J15" s="37"/>
      <c r="K15" s="37" t="s">
        <v>235</v>
      </c>
      <c r="L15" s="398"/>
    </row>
    <row r="16" spans="1:12" ht="15.75">
      <c r="B16" s="37"/>
      <c r="C16" s="37" t="s">
        <v>238</v>
      </c>
      <c r="D16" s="36"/>
      <c r="E16" s="37" t="s">
        <v>1521</v>
      </c>
      <c r="F16" s="36"/>
      <c r="G16" s="38" t="s">
        <v>231</v>
      </c>
      <c r="H16" s="1235"/>
      <c r="I16" s="37" t="s">
        <v>239</v>
      </c>
      <c r="J16" s="37"/>
      <c r="K16" s="37" t="s">
        <v>239</v>
      </c>
      <c r="L16" s="38"/>
    </row>
    <row r="17" spans="1:14">
      <c r="A17" s="39"/>
      <c r="B17" s="30"/>
      <c r="C17" s="1021"/>
      <c r="D17" s="30"/>
      <c r="E17" s="1021"/>
      <c r="F17" s="30"/>
      <c r="G17" s="1021"/>
      <c r="H17" s="1360"/>
      <c r="I17" s="1021"/>
      <c r="J17" s="30"/>
      <c r="K17" s="1021"/>
      <c r="L17" s="30"/>
    </row>
    <row r="18" spans="1:14" ht="15.75">
      <c r="A18" s="3" t="s">
        <v>114</v>
      </c>
      <c r="C18" s="261"/>
      <c r="E18" s="261"/>
      <c r="L18" s="261"/>
    </row>
    <row r="19" spans="1:14">
      <c r="A19" s="355" t="s">
        <v>240</v>
      </c>
      <c r="B19" s="384"/>
      <c r="C19" s="261"/>
      <c r="D19" s="384"/>
      <c r="E19" s="261"/>
      <c r="F19" s="384"/>
      <c r="L19" s="261"/>
    </row>
    <row r="20" spans="1:14">
      <c r="A20" s="355" t="s">
        <v>241</v>
      </c>
      <c r="B20" s="384" t="s">
        <v>103</v>
      </c>
      <c r="C20" s="282">
        <v>18145</v>
      </c>
      <c r="D20" s="281"/>
      <c r="E20" s="282">
        <v>18763</v>
      </c>
      <c r="F20" s="281"/>
      <c r="G20" s="279">
        <f>'Exhibit F'!AC27</f>
        <v>19115.599999999999</v>
      </c>
      <c r="I20" s="279">
        <f t="shared" ref="I20:I25" si="0">G20-C20</f>
        <v>970.59999999999854</v>
      </c>
      <c r="K20" s="279">
        <f>G20-E20</f>
        <v>352.59999999999854</v>
      </c>
      <c r="L20" s="1550"/>
      <c r="M20" s="1529"/>
      <c r="N20" s="1529"/>
    </row>
    <row r="21" spans="1:14">
      <c r="A21" s="355" t="s">
        <v>242</v>
      </c>
      <c r="B21" s="261" t="s">
        <v>103</v>
      </c>
      <c r="C21" s="280">
        <v>6836</v>
      </c>
      <c r="D21" s="1834"/>
      <c r="E21" s="280">
        <v>6905</v>
      </c>
      <c r="F21" s="269"/>
      <c r="G21" s="269">
        <f>'Exhibit F'!AC38</f>
        <v>7044.3</v>
      </c>
      <c r="I21" s="269">
        <f t="shared" si="0"/>
        <v>208.30000000000018</v>
      </c>
      <c r="K21" s="269">
        <f t="shared" ref="K21:K30" si="1">G21-E21</f>
        <v>139.30000000000018</v>
      </c>
      <c r="L21" s="1551"/>
      <c r="M21" s="1529"/>
      <c r="N21" s="1529"/>
    </row>
    <row r="22" spans="1:14">
      <c r="A22" s="355" t="s">
        <v>243</v>
      </c>
      <c r="B22" s="384" t="s">
        <v>103</v>
      </c>
      <c r="C22" s="280">
        <v>8111</v>
      </c>
      <c r="D22" s="372"/>
      <c r="E22" s="280">
        <v>7553</v>
      </c>
      <c r="F22" s="292"/>
      <c r="G22" s="269">
        <f>'Exhibit F'!AC46</f>
        <v>7634.4</v>
      </c>
      <c r="I22" s="269">
        <f t="shared" si="0"/>
        <v>-476.60000000000036</v>
      </c>
      <c r="K22" s="269">
        <f t="shared" si="1"/>
        <v>81.399999999999636</v>
      </c>
      <c r="L22" s="1551"/>
      <c r="M22" s="1529"/>
      <c r="N22" s="1529"/>
    </row>
    <row r="23" spans="1:14">
      <c r="A23" s="355" t="s">
        <v>244</v>
      </c>
      <c r="B23" s="261" t="s">
        <v>103</v>
      </c>
      <c r="C23" s="280">
        <v>1006</v>
      </c>
      <c r="D23" s="1834"/>
      <c r="E23" s="280">
        <v>1068</v>
      </c>
      <c r="F23" s="269"/>
      <c r="G23" s="269">
        <f>'Exhibit F'!AC54</f>
        <v>1097.2</v>
      </c>
      <c r="I23" s="269">
        <f t="shared" si="0"/>
        <v>91.200000000000045</v>
      </c>
      <c r="K23" s="269">
        <f t="shared" si="1"/>
        <v>29.200000000000045</v>
      </c>
      <c r="L23" s="1552"/>
      <c r="M23" s="1529"/>
      <c r="N23" s="1529"/>
    </row>
    <row r="24" spans="1:14" ht="15" customHeight="1">
      <c r="A24" s="355" t="s">
        <v>119</v>
      </c>
      <c r="B24" s="261" t="s">
        <v>103</v>
      </c>
      <c r="C24" s="280">
        <v>2733</v>
      </c>
      <c r="D24" s="1835"/>
      <c r="E24" s="280">
        <v>3016</v>
      </c>
      <c r="F24" s="1216"/>
      <c r="G24" s="294">
        <f>'Exhibit F'!AC97</f>
        <v>3128.8</v>
      </c>
      <c r="I24" s="269">
        <f t="shared" si="0"/>
        <v>395.80000000000018</v>
      </c>
      <c r="K24" s="269">
        <f t="shared" si="1"/>
        <v>112.80000000000018</v>
      </c>
      <c r="L24" s="1552"/>
      <c r="M24" s="1529"/>
      <c r="N24" s="1529"/>
    </row>
    <row r="25" spans="1:14" ht="15" customHeight="1">
      <c r="A25" s="355" t="s">
        <v>120</v>
      </c>
      <c r="B25" s="261" t="s">
        <v>103</v>
      </c>
      <c r="C25" s="280">
        <v>0</v>
      </c>
      <c r="D25" s="1834"/>
      <c r="E25" s="280">
        <v>0</v>
      </c>
      <c r="F25" s="269"/>
      <c r="G25" s="294">
        <f>'Exhibit F'!AC99</f>
        <v>1.1000000000000001</v>
      </c>
      <c r="I25" s="269">
        <f t="shared" si="0"/>
        <v>1.1000000000000001</v>
      </c>
      <c r="K25" s="269">
        <f t="shared" si="1"/>
        <v>1.1000000000000001</v>
      </c>
      <c r="L25" s="1551"/>
      <c r="M25" s="1529"/>
      <c r="N25" s="1529"/>
    </row>
    <row r="26" spans="1:14" ht="18" customHeight="1">
      <c r="A26" s="355" t="s">
        <v>259</v>
      </c>
      <c r="B26" s="394"/>
      <c r="C26" s="280"/>
      <c r="D26" s="1834"/>
      <c r="E26" s="280"/>
      <c r="F26" s="269"/>
      <c r="G26" s="1843"/>
      <c r="I26" s="269"/>
      <c r="J26" s="394"/>
      <c r="K26" s="269"/>
      <c r="L26" s="1553"/>
      <c r="M26" s="1529"/>
      <c r="N26" s="1529"/>
    </row>
    <row r="27" spans="1:14">
      <c r="A27" s="355" t="s">
        <v>260</v>
      </c>
      <c r="B27" s="394" t="s">
        <v>103</v>
      </c>
      <c r="C27" s="280">
        <v>20562</v>
      </c>
      <c r="D27" s="1834"/>
      <c r="E27" s="280">
        <v>21539</v>
      </c>
      <c r="F27" s="269"/>
      <c r="G27" s="269">
        <f>'Exhibit F'!AC128</f>
        <v>22054.7</v>
      </c>
      <c r="I27" s="269">
        <f>G27-C27</f>
        <v>1492.7000000000007</v>
      </c>
      <c r="J27" s="394"/>
      <c r="K27" s="269">
        <f t="shared" si="1"/>
        <v>515.70000000000073</v>
      </c>
      <c r="L27" s="1553"/>
      <c r="M27" s="1529"/>
      <c r="N27" s="1529"/>
    </row>
    <row r="28" spans="1:14">
      <c r="A28" s="355" t="s">
        <v>261</v>
      </c>
      <c r="B28" s="394" t="s">
        <v>103</v>
      </c>
      <c r="C28" s="280">
        <v>6320</v>
      </c>
      <c r="D28" s="1834"/>
      <c r="E28" s="280">
        <v>6470</v>
      </c>
      <c r="F28" s="269"/>
      <c r="G28" s="294">
        <f>'Exhibit F'!AC129</f>
        <v>6582.6</v>
      </c>
      <c r="I28" s="269">
        <f>G28-C28</f>
        <v>262.60000000000036</v>
      </c>
      <c r="J28" s="394"/>
      <c r="K28" s="269">
        <f t="shared" si="1"/>
        <v>112.60000000000036</v>
      </c>
      <c r="L28" s="1553"/>
      <c r="M28" s="1529"/>
      <c r="N28" s="1529"/>
    </row>
    <row r="29" spans="1:14">
      <c r="A29" s="355" t="s">
        <v>262</v>
      </c>
      <c r="B29" s="394" t="s">
        <v>103</v>
      </c>
      <c r="C29" s="280">
        <v>711</v>
      </c>
      <c r="D29" s="1834"/>
      <c r="E29" s="280">
        <v>741</v>
      </c>
      <c r="F29" s="269"/>
      <c r="G29" s="269">
        <f>'Exhibit F'!AC130</f>
        <v>781.7</v>
      </c>
      <c r="I29" s="269">
        <f>G29-C29</f>
        <v>70.700000000000045</v>
      </c>
      <c r="J29" s="394"/>
      <c r="K29" s="269">
        <f t="shared" si="1"/>
        <v>40.700000000000045</v>
      </c>
      <c r="L29" s="1553"/>
      <c r="M29" s="1529"/>
      <c r="N29" s="1529"/>
    </row>
    <row r="30" spans="1:14">
      <c r="A30" s="355" t="s">
        <v>263</v>
      </c>
      <c r="B30" s="394" t="s">
        <v>103</v>
      </c>
      <c r="C30" s="280">
        <v>1683</v>
      </c>
      <c r="D30" s="1834"/>
      <c r="E30" s="280">
        <v>2401</v>
      </c>
      <c r="F30" s="269"/>
      <c r="G30" s="294">
        <f>'Exhibit F'!AC131</f>
        <v>2405.3000000000006</v>
      </c>
      <c r="I30" s="269">
        <f>G30-C30</f>
        <v>722.30000000000064</v>
      </c>
      <c r="J30" s="394"/>
      <c r="K30" s="269">
        <f t="shared" si="1"/>
        <v>4.3000000000006366</v>
      </c>
      <c r="L30" s="1554"/>
      <c r="M30" s="1529"/>
      <c r="N30" s="1529"/>
    </row>
    <row r="31" spans="1:14" ht="18" customHeight="1">
      <c r="A31" s="1235" t="s">
        <v>264</v>
      </c>
      <c r="B31" s="36" t="s">
        <v>103</v>
      </c>
      <c r="C31" s="624">
        <f>ROUND(SUM(C20:C30),1)</f>
        <v>66107</v>
      </c>
      <c r="D31" s="13"/>
      <c r="E31" s="624">
        <f>ROUND(SUM(E20:E30),1)</f>
        <v>68456</v>
      </c>
      <c r="F31" s="13"/>
      <c r="G31" s="624">
        <f>ROUND(SUM(G20:G30),1)</f>
        <v>69845.7</v>
      </c>
      <c r="H31" s="1235"/>
      <c r="I31" s="623">
        <f>ROUND(SUM(I20:I30),1)</f>
        <v>3738.7</v>
      </c>
      <c r="J31" s="36"/>
      <c r="K31" s="623">
        <f>ROUND(SUM(K20:K30),1)</f>
        <v>1389.7</v>
      </c>
      <c r="L31" s="1555"/>
      <c r="M31" s="1529"/>
      <c r="N31" s="1529"/>
    </row>
    <row r="32" spans="1:14">
      <c r="C32" s="622"/>
      <c r="D32" s="269"/>
      <c r="E32" s="622"/>
      <c r="F32" s="269"/>
      <c r="G32" s="622"/>
      <c r="I32" s="269"/>
      <c r="K32" s="269"/>
      <c r="L32" s="1529"/>
      <c r="M32" s="1529"/>
      <c r="N32" s="1529"/>
    </row>
    <row r="33" spans="1:15" ht="15.75">
      <c r="A33" s="3" t="s">
        <v>122</v>
      </c>
      <c r="C33" s="269"/>
      <c r="D33" s="269"/>
      <c r="E33" s="269"/>
      <c r="F33" s="269"/>
      <c r="G33" s="269"/>
      <c r="I33" s="269"/>
      <c r="K33" s="269"/>
      <c r="L33" s="1529"/>
      <c r="M33" s="1529"/>
      <c r="N33" s="1529"/>
    </row>
    <row r="34" spans="1:15">
      <c r="A34" s="355" t="s">
        <v>246</v>
      </c>
      <c r="B34" s="384" t="s">
        <v>103</v>
      </c>
      <c r="C34" s="280">
        <v>49809</v>
      </c>
      <c r="D34" s="1834"/>
      <c r="E34" s="280">
        <v>49270</v>
      </c>
      <c r="F34" s="269"/>
      <c r="G34" s="294">
        <f>'Exhibit F'!AC115</f>
        <v>49947.5</v>
      </c>
      <c r="I34" s="269">
        <f>G34-C34</f>
        <v>138.5</v>
      </c>
      <c r="K34" s="269">
        <f t="shared" ref="K34:K36" si="2">G34-E34</f>
        <v>677.5</v>
      </c>
      <c r="L34" s="1550"/>
      <c r="M34" s="1529"/>
      <c r="N34" s="1529"/>
    </row>
    <row r="35" spans="1:15">
      <c r="A35" s="355" t="s">
        <v>247</v>
      </c>
      <c r="B35" s="384" t="s">
        <v>103</v>
      </c>
      <c r="C35" s="280">
        <v>10248</v>
      </c>
      <c r="D35" s="1834"/>
      <c r="E35" s="280">
        <v>10288</v>
      </c>
      <c r="F35" s="269"/>
      <c r="G35" s="294">
        <f>'Exhibit F'!AC117+'Exhibit F'!AC118</f>
        <v>10141.799999999999</v>
      </c>
      <c r="I35" s="269">
        <f>G35-C35</f>
        <v>-106.20000000000073</v>
      </c>
      <c r="K35" s="269">
        <f t="shared" si="2"/>
        <v>-146.20000000000073</v>
      </c>
      <c r="L35" s="1550"/>
      <c r="M35" s="1529"/>
      <c r="N35" s="1529"/>
    </row>
    <row r="36" spans="1:15">
      <c r="A36" s="355" t="s">
        <v>212</v>
      </c>
      <c r="B36" s="384" t="s">
        <v>103</v>
      </c>
      <c r="C36" s="280">
        <v>5071</v>
      </c>
      <c r="D36" s="1834"/>
      <c r="E36" s="280">
        <v>5186</v>
      </c>
      <c r="F36" s="269"/>
      <c r="G36" s="294">
        <f>'Exhibit F'!AC119</f>
        <v>5081.7</v>
      </c>
      <c r="I36" s="269">
        <f>G36-C36</f>
        <v>10.699999999999818</v>
      </c>
      <c r="K36" s="269">
        <f t="shared" si="2"/>
        <v>-104.30000000000018</v>
      </c>
      <c r="L36" s="1550"/>
      <c r="M36" s="1529"/>
      <c r="N36" s="1529"/>
    </row>
    <row r="37" spans="1:15" ht="18" customHeight="1">
      <c r="A37" s="355" t="s">
        <v>265</v>
      </c>
      <c r="B37" s="394"/>
      <c r="C37" s="280"/>
      <c r="D37" s="1834"/>
      <c r="E37" s="280"/>
      <c r="F37" s="269"/>
      <c r="G37" s="280"/>
      <c r="I37" s="269"/>
      <c r="J37" s="394"/>
      <c r="K37" s="269" t="s">
        <v>233</v>
      </c>
      <c r="L37" s="1554"/>
      <c r="M37" s="1529"/>
      <c r="N37" s="1529"/>
    </row>
    <row r="38" spans="1:15">
      <c r="A38" s="355" t="s">
        <v>266</v>
      </c>
      <c r="B38" s="394" t="s">
        <v>103</v>
      </c>
      <c r="C38" s="280">
        <v>73</v>
      </c>
      <c r="D38" s="1834"/>
      <c r="E38" s="280">
        <v>66</v>
      </c>
      <c r="F38" s="269"/>
      <c r="G38" s="293">
        <f>-'Exhibit F'!AC134</f>
        <v>60.1</v>
      </c>
      <c r="I38" s="269">
        <f>G38-C38</f>
        <v>-12.899999999999999</v>
      </c>
      <c r="J38" s="394"/>
      <c r="K38" s="269">
        <f t="shared" ref="K38:K42" si="3">G38-E38</f>
        <v>-5.8999999999999986</v>
      </c>
      <c r="L38" s="1553"/>
      <c r="M38" s="1529"/>
      <c r="N38" s="1529"/>
    </row>
    <row r="39" spans="1:15">
      <c r="A39" s="355" t="s">
        <v>267</v>
      </c>
      <c r="B39" s="394" t="s">
        <v>103</v>
      </c>
      <c r="C39" s="280">
        <v>6611</v>
      </c>
      <c r="D39" s="1834"/>
      <c r="E39" s="280">
        <v>5422</v>
      </c>
      <c r="F39" s="269"/>
      <c r="G39" s="293">
        <f>-'Exhibit F'!AC132-'Exhibit F'!AC133</f>
        <v>4919.5</v>
      </c>
      <c r="H39" s="355" t="s">
        <v>103</v>
      </c>
      <c r="I39" s="269">
        <f>G39-C39</f>
        <v>-1691.5</v>
      </c>
      <c r="J39" s="394"/>
      <c r="K39" s="269">
        <f t="shared" si="3"/>
        <v>-502.5</v>
      </c>
      <c r="L39" s="1553"/>
      <c r="M39" s="1529"/>
      <c r="N39" s="1529"/>
    </row>
    <row r="40" spans="1:15">
      <c r="A40" s="355" t="s">
        <v>268</v>
      </c>
      <c r="B40" s="394" t="s">
        <v>103</v>
      </c>
      <c r="C40" s="280">
        <v>0</v>
      </c>
      <c r="D40" s="1834"/>
      <c r="E40" s="280">
        <v>0</v>
      </c>
      <c r="F40" s="269"/>
      <c r="G40" s="280">
        <v>442</v>
      </c>
      <c r="H40" s="296" t="s">
        <v>257</v>
      </c>
      <c r="I40" s="269">
        <f>G40-C40</f>
        <v>442</v>
      </c>
      <c r="J40" s="394"/>
      <c r="K40" s="269">
        <f t="shared" si="3"/>
        <v>442</v>
      </c>
      <c r="L40" s="1553"/>
      <c r="M40" s="1529"/>
      <c r="N40" s="1529"/>
      <c r="O40" s="1529"/>
    </row>
    <row r="41" spans="1:15">
      <c r="A41" s="355" t="s">
        <v>270</v>
      </c>
      <c r="B41" s="394" t="s">
        <v>271</v>
      </c>
      <c r="C41" s="280">
        <v>1690</v>
      </c>
      <c r="D41" s="1834"/>
      <c r="E41" s="280">
        <v>1649</v>
      </c>
      <c r="F41" s="269"/>
      <c r="G41" s="280">
        <v>1629.6</v>
      </c>
      <c r="I41" s="269">
        <f>G41-C41</f>
        <v>-60.400000000000091</v>
      </c>
      <c r="J41" s="394"/>
      <c r="K41" s="269">
        <f t="shared" si="3"/>
        <v>-19.400000000000091</v>
      </c>
      <c r="L41" s="1553"/>
      <c r="M41" s="1529"/>
      <c r="N41" s="1529"/>
      <c r="O41" s="1529"/>
    </row>
    <row r="42" spans="1:15">
      <c r="A42" s="355" t="s">
        <v>272</v>
      </c>
      <c r="B42" s="394" t="s">
        <v>103</v>
      </c>
      <c r="C42" s="280">
        <v>7254</v>
      </c>
      <c r="D42" s="1834"/>
      <c r="E42" s="280">
        <v>7091</v>
      </c>
      <c r="F42" s="269"/>
      <c r="G42" s="280">
        <v>6657.9</v>
      </c>
      <c r="I42" s="269">
        <f>G42-C42</f>
        <v>-596.10000000000036</v>
      </c>
      <c r="J42" s="394"/>
      <c r="K42" s="269">
        <f t="shared" si="3"/>
        <v>-433.10000000000036</v>
      </c>
      <c r="L42" s="1554"/>
      <c r="M42" s="1529"/>
      <c r="N42" s="1529"/>
      <c r="O42" s="1529"/>
    </row>
    <row r="43" spans="1:15" ht="18" customHeight="1">
      <c r="A43" s="1235" t="s">
        <v>273</v>
      </c>
      <c r="B43" s="36" t="s">
        <v>103</v>
      </c>
      <c r="C43" s="624">
        <f>ROUND(SUM(C34:C42),1)</f>
        <v>80756</v>
      </c>
      <c r="D43" s="13"/>
      <c r="E43" s="624">
        <f>ROUND(SUM(E34:E42),1)</f>
        <v>78972</v>
      </c>
      <c r="F43" s="13"/>
      <c r="G43" s="624">
        <f>ROUND(SUM(G34:G42),1)</f>
        <v>78880.100000000006</v>
      </c>
      <c r="H43" s="1235"/>
      <c r="I43" s="623">
        <f>ROUND(SUM(I34:I42),1)</f>
        <v>-1875.9</v>
      </c>
      <c r="J43" s="36"/>
      <c r="K43" s="623">
        <f>ROUND(SUM(K34:K42),1)</f>
        <v>-91.9</v>
      </c>
      <c r="L43" s="1555"/>
      <c r="M43" s="1529"/>
      <c r="N43" s="1529"/>
      <c r="O43" s="1529"/>
    </row>
    <row r="44" spans="1:15">
      <c r="C44" s="622"/>
      <c r="D44" s="269"/>
      <c r="E44" s="622"/>
      <c r="F44" s="269"/>
      <c r="G44" s="622"/>
      <c r="I44" s="269"/>
      <c r="K44" s="269"/>
      <c r="L44" s="1529"/>
      <c r="M44" s="1529"/>
      <c r="N44" s="1529"/>
    </row>
    <row r="45" spans="1:15" ht="15.75">
      <c r="A45" s="3" t="s">
        <v>274</v>
      </c>
      <c r="C45" s="269"/>
      <c r="D45" s="269"/>
      <c r="E45" s="269"/>
      <c r="F45" s="269"/>
      <c r="G45" s="269"/>
      <c r="I45" s="269"/>
      <c r="K45" s="269"/>
      <c r="L45" s="1529"/>
      <c r="M45" s="1529"/>
      <c r="N45" s="1529"/>
    </row>
    <row r="46" spans="1:15" ht="15.75">
      <c r="A46" s="3" t="s">
        <v>275</v>
      </c>
      <c r="C46" s="269"/>
      <c r="D46" s="269"/>
      <c r="E46" s="269"/>
      <c r="F46" s="269"/>
      <c r="G46" s="269"/>
      <c r="I46" s="269"/>
      <c r="K46" s="269"/>
      <c r="L46" s="1529"/>
      <c r="M46" s="1529"/>
      <c r="N46" s="1529"/>
    </row>
    <row r="47" spans="1:15" ht="15.75">
      <c r="A47" s="1235" t="s">
        <v>255</v>
      </c>
      <c r="B47" s="1234" t="s">
        <v>103</v>
      </c>
      <c r="C47" s="13">
        <f>ROUND(SUM(C31)-SUM(C43),1)</f>
        <v>-14649</v>
      </c>
      <c r="D47" s="18"/>
      <c r="E47" s="13">
        <f>ROUND(SUM(E31)-SUM(E43),1)</f>
        <v>-10516</v>
      </c>
      <c r="F47" s="18"/>
      <c r="G47" s="13">
        <f>ROUND(SUM(G31)-SUM(G43),1)</f>
        <v>-9034.4</v>
      </c>
      <c r="H47" s="1235"/>
      <c r="I47" s="13">
        <f>ROUND(SUM(I31)-SUM(I43),1)</f>
        <v>5614.6</v>
      </c>
      <c r="J47" s="36"/>
      <c r="K47" s="13">
        <f>ROUND(SUM(K31)-SUM(K43),1)</f>
        <v>1481.6</v>
      </c>
      <c r="L47" s="1555"/>
      <c r="M47" s="1529"/>
      <c r="N47" s="1529"/>
    </row>
    <row r="48" spans="1:15" ht="15" customHeight="1">
      <c r="C48" s="269"/>
      <c r="D48" s="269"/>
      <c r="E48" s="269"/>
      <c r="F48" s="269"/>
      <c r="G48" s="269"/>
      <c r="I48" s="13"/>
      <c r="J48" s="36"/>
      <c r="K48" s="13"/>
      <c r="L48" s="1529"/>
      <c r="M48" s="1529"/>
      <c r="N48" s="1529"/>
    </row>
    <row r="49" spans="1:14" ht="15.75">
      <c r="A49" s="1235"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55"/>
      <c r="M49" s="1529"/>
      <c r="N49" s="1529"/>
    </row>
    <row r="50" spans="1:14" ht="18" customHeight="1" thickBot="1">
      <c r="A50" s="1235" t="str">
        <f>'Exh D Governmental  '!A50</f>
        <v>Fund Balances (Deficits) at November 30, 2025</v>
      </c>
      <c r="B50" s="43" t="s">
        <v>103</v>
      </c>
      <c r="C50" s="681">
        <f>ROUND(SUM(C47:C49),1)</f>
        <v>42267</v>
      </c>
      <c r="D50" s="44"/>
      <c r="E50" s="681">
        <f>ROUND(SUM(E47:E49),1)</f>
        <v>46400</v>
      </c>
      <c r="F50" s="44"/>
      <c r="G50" s="681">
        <f>ROUND(SUM(G47:G49),1)</f>
        <v>47881.4</v>
      </c>
      <c r="H50" s="1235"/>
      <c r="I50" s="681">
        <f>ROUND(SUM(I47:I49),1)</f>
        <v>5614.4</v>
      </c>
      <c r="J50" s="36"/>
      <c r="K50" s="681">
        <f>ROUND(SUM(K47:K49),1)</f>
        <v>1481.4</v>
      </c>
      <c r="L50" s="1555"/>
      <c r="M50" s="1529"/>
      <c r="N50" s="1529"/>
    </row>
    <row r="51" spans="1:14" ht="15" customHeight="1" thickTop="1">
      <c r="A51" s="39"/>
      <c r="L51" s="295"/>
    </row>
    <row r="52" spans="1:14">
      <c r="A52" s="391" t="str">
        <f>'Exh D Governmental  '!A52</f>
        <v xml:space="preserve">(*)   Source: 2025-26 Enacted Budget dated May 13, 2025.
</v>
      </c>
      <c r="G52" s="1669"/>
    </row>
    <row r="53" spans="1:14">
      <c r="A53" s="391" t="str">
        <f>'Exh D Governmental  '!A53</f>
        <v>(**)  Source: 2025-26 Mid Year Update dated October 30, 2025.</v>
      </c>
      <c r="G53" s="1669"/>
    </row>
    <row r="54" spans="1:14">
      <c r="A54" s="355" t="s">
        <v>1523</v>
      </c>
    </row>
    <row r="55" spans="1:14">
      <c r="A55" s="355" t="s">
        <v>276</v>
      </c>
    </row>
    <row r="60" spans="1:14">
      <c r="A60" s="355" t="s">
        <v>103</v>
      </c>
      <c r="C60" s="983"/>
    </row>
    <row r="61" spans="1:14">
      <c r="A61" s="355"/>
      <c r="C61" s="983"/>
      <c r="G61" s="261" t="s">
        <v>103</v>
      </c>
    </row>
    <row r="62" spans="1:14">
      <c r="C62" s="983"/>
    </row>
    <row r="63" spans="1:14">
      <c r="A63" s="854"/>
      <c r="C63" s="984"/>
    </row>
    <row r="64" spans="1:14">
      <c r="A64" s="58"/>
      <c r="C64" s="983"/>
    </row>
    <row r="65" spans="3:3">
      <c r="C65" s="983"/>
    </row>
  </sheetData>
  <mergeCells count="1">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ignoredErrors>
    <ignoredError sqref="A5: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2025-12-15T19:07:10Z</dcterms:created>
  <dcterms:modified xsi:type="dcterms:W3CDTF">2025-12-15T19:53:25Z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2025-12-15T19:07:15Z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6b5e84e9-55b0-4199-b529-016f339b3552</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ies>
</file>