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defaultThemeVersion="124226"/>
  <xr:revisionPtr revIDLastSave="0" documentId="8_{AEDF4AD8-A102-48C2-B52B-0DCE5E1CA481}" xr6:coauthVersionLast="47" xr6:coauthVersionMax="47" xr10:uidLastSave="{00000000-0000-0000-0000-000000000000}"/>
  <bookViews>
    <workbookView xWindow="-120" yWindow="-120" windowWidth="29040" windowHeight="15840"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G'!$A$2:$AL$123</definedName>
    <definedName name="Exh_G_var" localSheetId="20">'Exhibit G Federal'!$A$2:$AL$93</definedName>
    <definedName name="Exh_G_var" localSheetId="19">'Exhibit G State'!$A$2:$AL$120</definedName>
    <definedName name="EXHIBIT_E" localSheetId="14">'EXHIBIT E '!$A$3:$AK$66</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Share'!$B$4:$I$49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F'!$A$2:$P$292</definedName>
    <definedName name="_xlnm.Print_Area" localSheetId="42">'Appendix G'!$A$3:$Z$61</definedName>
    <definedName name="_xlnm.Print_Area" localSheetId="43">'Appendix H'!$A$3:$I$58</definedName>
    <definedName name="_xlnm.Print_Area" localSheetId="44">'Appendix I'!$A$3:$I$36</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Fund'!$A$3:$K$56</definedName>
    <definedName name="_xlnm.Print_Area" localSheetId="9">'Exh D Special Revenue'!$A$3:$O$45</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'!$A$3:$AK$66</definedName>
    <definedName name="_xlnm.Print_Area" localSheetId="17">'Exhibit F'!$B$3:$AK$144</definedName>
    <definedName name="_xlnm.Print_Area" localSheetId="18">'Exhibit G'!$B$3:$AL$127</definedName>
    <definedName name="_xlnm.Print_Area" localSheetId="20">'Exhibit G Federal'!$B$2:$AL$96</definedName>
    <definedName name="_xlnm.Print_Area" localSheetId="19">'Exhibit G State'!$B$3:$AL$123</definedName>
    <definedName name="_xlnm.Print_Area" localSheetId="21">'Exhibit H'!$A$2:$AI$79</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Footnotes!$A$2:$O$48</definedName>
    <definedName name="_xlnm.Print_Area" localSheetId="36">'HCRA '!$A$3:$Z$62</definedName>
    <definedName name="_xlnm.Print_Area" localSheetId="37">'HCRA PROG DISB'!$A$3:$D$70</definedName>
    <definedName name="_xlnm.Print_Area" localSheetId="39">'Medicaid Disp Share'!$B$2:$I$52</definedName>
    <definedName name="_xlnm.Print_Area" localSheetId="38">'Public Goods '!$A$3:$I$54</definedName>
    <definedName name="_xlnm.Print_Area" localSheetId="29">'Sch 1 '!$A$3:$L$158</definedName>
    <definedName name="_xlnm.Print_Area" localSheetId="30">'Sch 2 '!$A$3:$K$47</definedName>
    <definedName name="_xlnm.Print_Area" localSheetId="31">'Sch 3 '!$A$2:$M$51</definedName>
    <definedName name="_xlnm.Print_Area" localSheetId="32">'Sch 4'!$A$3:$J$37</definedName>
    <definedName name="_xlnm.Print_Area" localSheetId="33">'Sch 5 '!$A$3:$S$67</definedName>
    <definedName name="_xlnm.Print_Area" localSheetId="34">'Sch 5a'!$B$3:$V$43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'!$A$3:$M$51</definedName>
    <definedName name="STATE_OF_NEW_YORK" localSheetId="14">'EXHIBIT E '!$A$3:$AK$66</definedName>
    <definedName name="variance" localSheetId="42">'Appendix G'!$A$3:$X$46</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5a'!$B$3:$W$41</definedName>
    <definedName name="Z_0F53A47B_061C_44B9_B148_CC55070FAB6E_.wvu.PrintTitles" localSheetId="29" hidden="1">'Sch 1 '!$3:$11</definedName>
    <definedName name="Z_0F53A47B_061C_44B9_B148_CC55070FAB6E_.wvu.Rows" localSheetId="29" hidden="1">'Sch 1 '!#REF!</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'!$A$3:$AK$66</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'!$A$3:$AK$66</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'!$A$3:$AK$66</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'!$A$3:$AK$66</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'!$A$3:$AK$66</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5a'!$B$3:$W$41</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'!$A$3:$AK$66</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'!$A$3:$AK$66</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6" i="32" l="1"/>
  <c r="AJ71" i="19"/>
  <c r="AH82" i="17"/>
  <c r="AH95" i="17"/>
  <c r="I49" i="44" l="1"/>
  <c r="F43" i="40" l="1"/>
  <c r="F35" i="40"/>
  <c r="F22" i="40"/>
  <c r="F16" i="40"/>
  <c r="F24" i="40" l="1"/>
  <c r="F46" i="40" s="1"/>
  <c r="D24" i="37" l="1"/>
  <c r="F47" i="39"/>
  <c r="F38" i="39"/>
  <c r="F28" i="39"/>
  <c r="F22" i="39"/>
  <c r="F30" i="39" l="1"/>
  <c r="F50" i="39" s="1"/>
  <c r="G19" i="45"/>
  <c r="G25" i="45"/>
  <c r="E25" i="45"/>
  <c r="G46" i="44"/>
  <c r="G44" i="44"/>
  <c r="G38" i="44"/>
  <c r="G33" i="44"/>
  <c r="G22" i="44"/>
  <c r="G14" i="44"/>
  <c r="X41" i="43" l="1"/>
  <c r="V41" i="43"/>
  <c r="T41" i="43"/>
  <c r="R41" i="43"/>
  <c r="P41" i="43"/>
  <c r="N41" i="43"/>
  <c r="L41" i="43"/>
  <c r="J41" i="43"/>
  <c r="H41" i="43"/>
  <c r="F41" i="43"/>
  <c r="D41" i="43"/>
  <c r="B41" i="43"/>
  <c r="X37" i="43"/>
  <c r="V37" i="43"/>
  <c r="T37" i="43"/>
  <c r="R37" i="43"/>
  <c r="P37" i="43"/>
  <c r="N37" i="43"/>
  <c r="L37" i="43"/>
  <c r="J37" i="43"/>
  <c r="H37" i="43"/>
  <c r="F37" i="43"/>
  <c r="D37" i="43"/>
  <c r="X17" i="43"/>
  <c r="V17" i="43"/>
  <c r="T17" i="43"/>
  <c r="R17" i="43"/>
  <c r="P17" i="43"/>
  <c r="N17" i="43"/>
  <c r="L17" i="43"/>
  <c r="J17" i="43"/>
  <c r="H17" i="43"/>
  <c r="F17" i="43"/>
  <c r="D17" i="43"/>
  <c r="AA30" i="41"/>
  <c r="Y35" i="41"/>
  <c r="W35" i="41"/>
  <c r="U35" i="41"/>
  <c r="S35" i="41"/>
  <c r="Q35" i="41"/>
  <c r="O35" i="41"/>
  <c r="M35" i="41"/>
  <c r="K35" i="41"/>
  <c r="I35" i="41"/>
  <c r="G35" i="41"/>
  <c r="E35" i="41"/>
  <c r="Y25" i="41"/>
  <c r="W25" i="41"/>
  <c r="U25" i="41"/>
  <c r="S25" i="41"/>
  <c r="Q25" i="41"/>
  <c r="O25" i="41"/>
  <c r="M25" i="41"/>
  <c r="K25" i="41"/>
  <c r="I25" i="41"/>
  <c r="G25" i="41"/>
  <c r="E25" i="41"/>
  <c r="G38" i="41" l="1"/>
  <c r="W38" i="41"/>
  <c r="M38" i="41"/>
  <c r="O38" i="41"/>
  <c r="X43" i="43"/>
  <c r="X45" i="43" s="1"/>
  <c r="I38" i="41"/>
  <c r="K38" i="41"/>
  <c r="Y38" i="41"/>
  <c r="E38" i="41"/>
  <c r="N43" i="43"/>
  <c r="N45" i="43" s="1"/>
  <c r="P43" i="43"/>
  <c r="P45" i="43" s="1"/>
  <c r="Q38" i="41"/>
  <c r="S38" i="41"/>
  <c r="U38" i="41"/>
  <c r="L43" i="43"/>
  <c r="L45" i="43" s="1"/>
  <c r="R43" i="43"/>
  <c r="R45" i="43" s="1"/>
  <c r="D43" i="43"/>
  <c r="T43" i="43"/>
  <c r="T45" i="43" s="1"/>
  <c r="F43" i="43"/>
  <c r="F45" i="43" s="1"/>
  <c r="V43" i="43"/>
  <c r="V45" i="43" s="1"/>
  <c r="H43" i="43"/>
  <c r="H45" i="43" s="1"/>
  <c r="J43" i="43"/>
  <c r="J45" i="43" s="1"/>
  <c r="AA31" i="41"/>
  <c r="AA32" i="41"/>
  <c r="AA33" i="41"/>
  <c r="AA34" i="41"/>
  <c r="AA35" i="41" l="1"/>
  <c r="I12" i="40"/>
  <c r="I12" i="39"/>
  <c r="B36" i="43"/>
  <c r="B20" i="43"/>
  <c r="D26" i="45"/>
  <c r="H25" i="45"/>
  <c r="I25" i="45" s="1"/>
  <c r="I46" i="44"/>
  <c r="E46" i="44"/>
  <c r="H47" i="44"/>
  <c r="D47" i="44"/>
  <c r="D16" i="29" l="1"/>
  <c r="F18" i="6" s="1"/>
  <c r="D24" i="27"/>
  <c r="F25" i="5" s="1"/>
  <c r="D25" i="27"/>
  <c r="F26" i="5" s="1"/>
  <c r="C47" i="44"/>
  <c r="G47" i="44"/>
  <c r="E13" i="45"/>
  <c r="I13" i="45"/>
  <c r="G51" i="24" l="1"/>
  <c r="C26" i="45"/>
  <c r="G26" i="45"/>
  <c r="E30" i="26" l="1"/>
  <c r="B27" i="5" s="1"/>
  <c r="D68" i="22"/>
  <c r="L49" i="2" s="1"/>
  <c r="E20" i="26"/>
  <c r="B19" i="5" s="1"/>
  <c r="D22" i="29"/>
  <c r="F23" i="6" s="1"/>
  <c r="I39" i="44"/>
  <c r="I19" i="44"/>
  <c r="E19" i="44"/>
  <c r="E39" i="44"/>
  <c r="AI22" i="29" l="1"/>
  <c r="AL46" i="24"/>
  <c r="AK50" i="18"/>
  <c r="AK131" i="18"/>
  <c r="AL48" i="20"/>
  <c r="G69" i="24"/>
  <c r="G70" i="24"/>
  <c r="D32" i="37"/>
  <c r="D36" i="22"/>
  <c r="G56" i="24"/>
  <c r="G57" i="23" s="1"/>
  <c r="D31" i="37"/>
  <c r="G41" i="25"/>
  <c r="G54" i="25"/>
  <c r="D47" i="22"/>
  <c r="G82" i="24"/>
  <c r="D22" i="28"/>
  <c r="B23" i="6" s="1"/>
  <c r="G63" i="25"/>
  <c r="D17" i="27"/>
  <c r="F18" i="5" s="1"/>
  <c r="D18" i="37"/>
  <c r="D60" i="22"/>
  <c r="L40" i="2" s="1"/>
  <c r="E42" i="26"/>
  <c r="B36" i="5" s="1"/>
  <c r="D28" i="37"/>
  <c r="G24" i="25"/>
  <c r="G46" i="24"/>
  <c r="D44" i="22"/>
  <c r="G19" i="24"/>
  <c r="G20" i="23" s="1"/>
  <c r="P29" i="15" s="1"/>
  <c r="E21" i="26"/>
  <c r="B20" i="5" s="1"/>
  <c r="D38" i="22"/>
  <c r="D35" i="22"/>
  <c r="D41" i="37"/>
  <c r="M173" i="42"/>
  <c r="D16" i="28"/>
  <c r="B18" i="6" s="1"/>
  <c r="D19" i="37"/>
  <c r="G27" i="25"/>
  <c r="G48" i="24"/>
  <c r="E29" i="26"/>
  <c r="B26" i="5" s="1"/>
  <c r="D36" i="27"/>
  <c r="F35" i="5" s="1"/>
  <c r="G37" i="25"/>
  <c r="G80" i="24"/>
  <c r="G38" i="25"/>
  <c r="G68" i="24"/>
  <c r="G49" i="24"/>
  <c r="G64" i="25"/>
  <c r="D30" i="37"/>
  <c r="G55" i="25"/>
  <c r="G21" i="25"/>
  <c r="D17" i="37"/>
  <c r="D25" i="22"/>
  <c r="L52" i="15" s="1"/>
  <c r="AG115" i="19"/>
  <c r="D37" i="37"/>
  <c r="D32" i="28"/>
  <c r="B33" i="6" s="1"/>
  <c r="G55" i="24"/>
  <c r="G83" i="24"/>
  <c r="G72" i="24"/>
  <c r="D41" i="22"/>
  <c r="G29" i="24"/>
  <c r="G30" i="23" s="1"/>
  <c r="P52" i="15" s="1"/>
  <c r="D58" i="22"/>
  <c r="L37" i="2" s="1"/>
  <c r="G44" i="24"/>
  <c r="G24" i="24"/>
  <c r="G25" i="23" s="1"/>
  <c r="P40" i="15" s="1"/>
  <c r="G58" i="25"/>
  <c r="G19" i="25"/>
  <c r="G39" i="25"/>
  <c r="AG114" i="19"/>
  <c r="D16" i="37"/>
  <c r="G42" i="24"/>
  <c r="G21" i="24"/>
  <c r="G22" i="23" s="1"/>
  <c r="P34" i="15" s="1"/>
  <c r="E19" i="26"/>
  <c r="B18" i="5" s="1"/>
  <c r="D23" i="28"/>
  <c r="B24" i="6" s="1"/>
  <c r="D15" i="37"/>
  <c r="D26" i="22"/>
  <c r="L54" i="15" s="1"/>
  <c r="G92" i="24"/>
  <c r="D40" i="37"/>
  <c r="D42" i="22"/>
  <c r="G31" i="25"/>
  <c r="D20" i="37"/>
  <c r="D33" i="22"/>
  <c r="D37" i="27"/>
  <c r="F36" i="5" s="1"/>
  <c r="D36" i="37"/>
  <c r="G52" i="25"/>
  <c r="G71" i="23" s="1"/>
  <c r="P26" i="2" s="1"/>
  <c r="E31" i="26"/>
  <c r="B28" i="5" s="1"/>
  <c r="G58" i="24"/>
  <c r="D26" i="27"/>
  <c r="F27" i="5" s="1"/>
  <c r="G74" i="25"/>
  <c r="G91" i="24"/>
  <c r="G92" i="23" s="1"/>
  <c r="P48" i="2" s="1"/>
  <c r="G74" i="24"/>
  <c r="G36" i="24"/>
  <c r="D29" i="37"/>
  <c r="G65" i="25"/>
  <c r="D24" i="28"/>
  <c r="B25" i="6" s="1"/>
  <c r="G28" i="25"/>
  <c r="G33" i="25"/>
  <c r="G59" i="24"/>
  <c r="D31" i="28"/>
  <c r="B32" i="6" s="1"/>
  <c r="G73" i="25"/>
  <c r="G41" i="24"/>
  <c r="D48" i="22"/>
  <c r="D23" i="37"/>
  <c r="G50" i="24"/>
  <c r="D23" i="29"/>
  <c r="F24" i="6" s="1"/>
  <c r="E41" i="26"/>
  <c r="B35" i="5" s="1"/>
  <c r="G36" i="25"/>
  <c r="D24" i="29"/>
  <c r="F25" i="6" s="1"/>
  <c r="D69" i="22"/>
  <c r="L50" i="2" s="1"/>
  <c r="G40" i="24"/>
  <c r="G26" i="24"/>
  <c r="G27" i="23" s="1"/>
  <c r="P45" i="15" s="1"/>
  <c r="G51" i="25"/>
  <c r="G76" i="24"/>
  <c r="G43" i="24"/>
  <c r="G57" i="25"/>
  <c r="G56" i="25"/>
  <c r="G53" i="24"/>
  <c r="G81" i="24"/>
  <c r="G54" i="24"/>
  <c r="G75" i="24"/>
  <c r="AL43" i="21"/>
  <c r="G38" i="24"/>
  <c r="D45" i="22"/>
  <c r="G20" i="24"/>
  <c r="G21" i="23" s="1"/>
  <c r="P32" i="15" s="1"/>
  <c r="G57" i="24"/>
  <c r="D22" i="37"/>
  <c r="G32" i="25"/>
  <c r="D32" i="29"/>
  <c r="F33" i="6" s="1"/>
  <c r="G26" i="25"/>
  <c r="D22" i="22"/>
  <c r="L44" i="15" s="1"/>
  <c r="G50" i="25"/>
  <c r="G25" i="24"/>
  <c r="G26" i="23" s="1"/>
  <c r="P41" i="15" s="1"/>
  <c r="G29" i="25"/>
  <c r="G45" i="24"/>
  <c r="D31" i="29"/>
  <c r="F32" i="6" s="1"/>
  <c r="D49" i="22"/>
  <c r="D21" i="37"/>
  <c r="G73" i="24"/>
  <c r="G40" i="25"/>
  <c r="D37" i="22"/>
  <c r="G34" i="25"/>
  <c r="G52" i="23" s="1"/>
  <c r="D39" i="22"/>
  <c r="G62" i="24"/>
  <c r="D52" i="22"/>
  <c r="L19" i="2" s="1"/>
  <c r="G62" i="25"/>
  <c r="G44" i="25"/>
  <c r="G23" i="25"/>
  <c r="D39" i="37"/>
  <c r="D40" i="22"/>
  <c r="G77" i="24"/>
  <c r="E28" i="26"/>
  <c r="B25" i="5" s="1"/>
  <c r="G25" i="25"/>
  <c r="G93" i="24"/>
  <c r="G94" i="23" s="1"/>
  <c r="P50" i="2" s="1"/>
  <c r="G59" i="25"/>
  <c r="F46" i="21"/>
  <c r="F59" i="20"/>
  <c r="F73" i="18"/>
  <c r="F73" i="20"/>
  <c r="F58" i="20"/>
  <c r="F69" i="18"/>
  <c r="F65" i="21"/>
  <c r="H26" i="5"/>
  <c r="F75" i="20"/>
  <c r="H27" i="5"/>
  <c r="F90" i="18"/>
  <c r="F17" i="18"/>
  <c r="D16" i="15" s="1"/>
  <c r="F76" i="18"/>
  <c r="F18" i="18"/>
  <c r="D17" i="15" s="1"/>
  <c r="F56" i="20"/>
  <c r="F88" i="18"/>
  <c r="F72" i="18"/>
  <c r="F57" i="20"/>
  <c r="F75" i="18"/>
  <c r="G45" i="23" l="1"/>
  <c r="G59" i="23"/>
  <c r="G69" i="23"/>
  <c r="P24" i="2" s="1"/>
  <c r="G43" i="23"/>
  <c r="G82" i="23"/>
  <c r="P37" i="2" s="1"/>
  <c r="G50" i="23"/>
  <c r="G73" i="23"/>
  <c r="P28" i="2" s="1"/>
  <c r="G41" i="23"/>
  <c r="G78" i="23"/>
  <c r="P33" i="2" s="1"/>
  <c r="G77" i="23"/>
  <c r="P32" i="2" s="1"/>
  <c r="G47" i="23"/>
  <c r="G51" i="23"/>
  <c r="G39" i="23"/>
  <c r="G76" i="23"/>
  <c r="P31" i="2" s="1"/>
  <c r="G37" i="23"/>
  <c r="G84" i="23"/>
  <c r="P41" i="2" s="1"/>
  <c r="G56" i="23"/>
  <c r="G55" i="23"/>
  <c r="G58" i="23"/>
  <c r="G74" i="23"/>
  <c r="P29" i="2" s="1"/>
  <c r="G46" i="23"/>
  <c r="G54" i="23"/>
  <c r="G93" i="23"/>
  <c r="P49" i="2" s="1"/>
  <c r="G81" i="23"/>
  <c r="P36" i="2" s="1"/>
  <c r="G75" i="23"/>
  <c r="P30" i="2" s="1"/>
  <c r="G60" i="23"/>
  <c r="G44" i="23"/>
  <c r="G83" i="23"/>
  <c r="P38" i="2" s="1"/>
  <c r="G49" i="23"/>
  <c r="G63" i="23"/>
  <c r="P19" i="2" s="1"/>
  <c r="G42" i="23"/>
  <c r="E129" i="16"/>
  <c r="E129" i="17"/>
  <c r="G70" i="23"/>
  <c r="P25" i="2" s="1"/>
  <c r="F103" i="18"/>
  <c r="D24" i="2" s="1"/>
  <c r="D25" i="3" s="1"/>
  <c r="E97" i="17"/>
  <c r="F98" i="20"/>
  <c r="H34" i="3" s="1"/>
  <c r="F105" i="18"/>
  <c r="D26" i="2" s="1"/>
  <c r="D27" i="3" s="1"/>
  <c r="F97" i="20"/>
  <c r="H33" i="3" s="1"/>
  <c r="E99" i="17"/>
  <c r="F96" i="20"/>
  <c r="H32" i="3" s="1"/>
  <c r="F47" i="18"/>
  <c r="D50" i="15" s="1"/>
  <c r="F109" i="18"/>
  <c r="D30" i="2" s="1"/>
  <c r="D31" i="3" s="1"/>
  <c r="F58" i="19"/>
  <c r="E82" i="16" s="1"/>
  <c r="E82" i="17"/>
  <c r="E83" i="17"/>
  <c r="F59" i="19"/>
  <c r="E83" i="16" s="1"/>
  <c r="F75" i="19"/>
  <c r="E99" i="16" s="1"/>
  <c r="F57" i="19"/>
  <c r="E81" i="16" s="1"/>
  <c r="E81" i="17"/>
  <c r="F56" i="19"/>
  <c r="E80" i="16" s="1"/>
  <c r="E80" i="17"/>
  <c r="F35" i="18"/>
  <c r="D36" i="15" s="1"/>
  <c r="F93" i="20"/>
  <c r="H29" i="3" s="1"/>
  <c r="C80" i="17"/>
  <c r="I15" i="40"/>
  <c r="E40" i="17" l="1"/>
  <c r="E40" i="16"/>
  <c r="E52" i="17"/>
  <c r="E52" i="16"/>
  <c r="E22" i="16"/>
  <c r="E22" i="17"/>
  <c r="E21" i="16"/>
  <c r="E21" i="17"/>
  <c r="I15" i="39"/>
  <c r="I43" i="44" l="1"/>
  <c r="E43" i="44"/>
  <c r="I42" i="44"/>
  <c r="E42" i="44"/>
  <c r="W76" i="25"/>
  <c r="W60" i="25"/>
  <c r="W67" i="25" s="1"/>
  <c r="W42" i="25"/>
  <c r="W46" i="25" s="1"/>
  <c r="W95" i="24"/>
  <c r="W78" i="24"/>
  <c r="W85" i="24" s="1"/>
  <c r="W60" i="24"/>
  <c r="W30" i="24"/>
  <c r="W27" i="24"/>
  <c r="W22" i="24"/>
  <c r="W70" i="25" l="1"/>
  <c r="W80" i="25" s="1"/>
  <c r="W32" i="24"/>
  <c r="W64" i="24" s="1"/>
  <c r="W88" i="24" s="1"/>
  <c r="T62" i="22"/>
  <c r="T50" i="22"/>
  <c r="T27" i="22"/>
  <c r="T23" i="22"/>
  <c r="T20" i="22"/>
  <c r="V88" i="21"/>
  <c r="V70" i="21"/>
  <c r="V79" i="21" s="1"/>
  <c r="V52" i="21"/>
  <c r="V56" i="21" s="1"/>
  <c r="V115" i="20"/>
  <c r="V99" i="20"/>
  <c r="V106" i="20" s="1"/>
  <c r="V81" i="20"/>
  <c r="V35" i="20"/>
  <c r="V28" i="20"/>
  <c r="AB8" i="18"/>
  <c r="V82" i="21" l="1"/>
  <c r="V92" i="21" s="1"/>
  <c r="V94" i="21" s="1"/>
  <c r="T29" i="22"/>
  <c r="T54" i="22" s="1"/>
  <c r="T65" i="22" s="1"/>
  <c r="V37" i="20"/>
  <c r="V85" i="20" s="1"/>
  <c r="V109" i="20" s="1"/>
  <c r="V119" i="20" s="1"/>
  <c r="I16" i="44"/>
  <c r="E16" i="44"/>
  <c r="Z16" i="43" l="1"/>
  <c r="Z15" i="43"/>
  <c r="Z12" i="43"/>
  <c r="J29" i="36" l="1"/>
  <c r="T28" i="20" l="1"/>
  <c r="F69" i="21" l="1"/>
  <c r="F98" i="19" s="1"/>
  <c r="H33" i="2" s="1"/>
  <c r="F77" i="20"/>
  <c r="F70" i="18"/>
  <c r="F46" i="20"/>
  <c r="F35" i="21"/>
  <c r="F33" i="21"/>
  <c r="F68" i="21"/>
  <c r="F97" i="19" s="1"/>
  <c r="H32" i="2" s="1"/>
  <c r="F24" i="21"/>
  <c r="F82" i="18"/>
  <c r="F64" i="18"/>
  <c r="F67" i="21"/>
  <c r="F96" i="19" s="1"/>
  <c r="H31" i="2" s="1"/>
  <c r="F20" i="20"/>
  <c r="F20" i="19" s="1"/>
  <c r="H28" i="15" s="1"/>
  <c r="F43" i="21"/>
  <c r="F77" i="18"/>
  <c r="F63" i="20"/>
  <c r="F48" i="20"/>
  <c r="F72" i="21"/>
  <c r="F52" i="20"/>
  <c r="F86" i="21"/>
  <c r="F49" i="21"/>
  <c r="F31" i="20"/>
  <c r="F61" i="18"/>
  <c r="F21" i="18"/>
  <c r="D20" i="15" s="1"/>
  <c r="F62" i="18"/>
  <c r="F30" i="21"/>
  <c r="F53" i="20"/>
  <c r="F62" i="21"/>
  <c r="F66" i="21"/>
  <c r="F87" i="18"/>
  <c r="F32" i="21"/>
  <c r="F72" i="20"/>
  <c r="F69" i="20"/>
  <c r="F74" i="20"/>
  <c r="F58" i="18"/>
  <c r="F65" i="20"/>
  <c r="F59" i="18"/>
  <c r="F67" i="20"/>
  <c r="F85" i="18"/>
  <c r="F132" i="18"/>
  <c r="F50" i="20"/>
  <c r="F76" i="21"/>
  <c r="F105" i="19" s="1"/>
  <c r="H40" i="2" s="1"/>
  <c r="F41" i="21"/>
  <c r="F49" i="20"/>
  <c r="F27" i="20"/>
  <c r="F27" i="19" s="1"/>
  <c r="H35" i="15" s="1"/>
  <c r="F47" i="21"/>
  <c r="F79" i="20"/>
  <c r="F42" i="21"/>
  <c r="F36" i="21"/>
  <c r="F20" i="18"/>
  <c r="D19" i="15" s="1"/>
  <c r="F74" i="21"/>
  <c r="F128" i="18"/>
  <c r="F22" i="21"/>
  <c r="F130" i="18"/>
  <c r="F64" i="20"/>
  <c r="F92" i="18"/>
  <c r="F68" i="18"/>
  <c r="F126" i="18"/>
  <c r="F64" i="21"/>
  <c r="F93" i="19" s="1"/>
  <c r="H28" i="2" s="1"/>
  <c r="F60" i="21"/>
  <c r="F39" i="21"/>
  <c r="F131" i="18"/>
  <c r="F86" i="18"/>
  <c r="F38" i="21"/>
  <c r="F43" i="20"/>
  <c r="F21" i="21"/>
  <c r="F80" i="20"/>
  <c r="F25" i="20"/>
  <c r="F25" i="19" s="1"/>
  <c r="H33" i="15" s="1"/>
  <c r="F94" i="18"/>
  <c r="F19" i="18"/>
  <c r="D18" i="15" s="1"/>
  <c r="F44" i="21"/>
  <c r="F73" i="19" s="1"/>
  <c r="E97" i="16" s="1"/>
  <c r="F29" i="21"/>
  <c r="F28" i="21"/>
  <c r="F71" i="18"/>
  <c r="F26" i="21"/>
  <c r="F79" i="18"/>
  <c r="F81" i="18"/>
  <c r="F93" i="18"/>
  <c r="F24" i="20"/>
  <c r="F67" i="18"/>
  <c r="F32" i="20"/>
  <c r="F32" i="19" s="1"/>
  <c r="H42" i="15" s="1"/>
  <c r="F77" i="21"/>
  <c r="F71" i="20"/>
  <c r="F71" i="19" s="1"/>
  <c r="F83" i="18"/>
  <c r="F37" i="21"/>
  <c r="F27" i="21"/>
  <c r="F54" i="21"/>
  <c r="F45" i="21"/>
  <c r="F54" i="20"/>
  <c r="F45" i="20"/>
  <c r="F21" i="20"/>
  <c r="F21" i="19" s="1"/>
  <c r="H29" i="15" s="1"/>
  <c r="F78" i="20"/>
  <c r="F50" i="21"/>
  <c r="F61" i="21"/>
  <c r="F23" i="20"/>
  <c r="F63" i="18"/>
  <c r="F26" i="20"/>
  <c r="F26" i="19" s="1"/>
  <c r="H34" i="15" s="1"/>
  <c r="F61" i="20"/>
  <c r="F23" i="21"/>
  <c r="F31" i="21"/>
  <c r="F30" i="20"/>
  <c r="F30" i="19" s="1"/>
  <c r="H40" i="15" s="1"/>
  <c r="F89" i="18"/>
  <c r="F51" i="20"/>
  <c r="F34" i="20"/>
  <c r="F34" i="19" s="1"/>
  <c r="H45" i="15" s="1"/>
  <c r="F41" i="20"/>
  <c r="F80" i="18"/>
  <c r="F44" i="20"/>
  <c r="F91" i="18"/>
  <c r="F66" i="20"/>
  <c r="F66" i="18"/>
  <c r="F48" i="21"/>
  <c r="F51" i="21"/>
  <c r="F22" i="20"/>
  <c r="F22" i="19" s="1"/>
  <c r="H30" i="15" s="1"/>
  <c r="F60" i="20"/>
  <c r="E84" i="17" s="1"/>
  <c r="F73" i="21"/>
  <c r="F127" i="18"/>
  <c r="D19" i="21"/>
  <c r="F19" i="21" s="1"/>
  <c r="F85" i="21"/>
  <c r="F76" i="20"/>
  <c r="F33" i="20"/>
  <c r="F33" i="19" s="1"/>
  <c r="H43" i="15" s="1"/>
  <c r="AD95" i="24"/>
  <c r="AC95" i="18"/>
  <c r="F76" i="19" l="1"/>
  <c r="E100" i="16" s="1"/>
  <c r="F77" i="19"/>
  <c r="E101" i="16" s="1"/>
  <c r="E103" i="17"/>
  <c r="F72" i="19"/>
  <c r="E96" i="16" s="1"/>
  <c r="F61" i="19"/>
  <c r="E85" i="16" s="1"/>
  <c r="F66" i="19"/>
  <c r="E90" i="16" s="1"/>
  <c r="F51" i="19"/>
  <c r="E75" i="16" s="1"/>
  <c r="F79" i="19"/>
  <c r="E103" i="16" s="1"/>
  <c r="E73" i="17"/>
  <c r="F41" i="19"/>
  <c r="E63" i="16" s="1"/>
  <c r="F49" i="19"/>
  <c r="E73" i="16" s="1"/>
  <c r="F43" i="19"/>
  <c r="E66" i="16" s="1"/>
  <c r="F64" i="19"/>
  <c r="E88" i="16" s="1"/>
  <c r="F46" i="19"/>
  <c r="E69" i="16" s="1"/>
  <c r="E98" i="17"/>
  <c r="F30" i="18"/>
  <c r="D30" i="15" s="1"/>
  <c r="F17" i="20"/>
  <c r="F42" i="18"/>
  <c r="D44" i="15" s="1"/>
  <c r="F115" i="18"/>
  <c r="D36" i="2" s="1"/>
  <c r="D37" i="3" s="1"/>
  <c r="E100" i="17"/>
  <c r="F117" i="18"/>
  <c r="D38" i="2" s="1"/>
  <c r="D39" i="3" s="1"/>
  <c r="F116" i="18"/>
  <c r="D37" i="2" s="1"/>
  <c r="D38" i="3" s="1"/>
  <c r="F25" i="18"/>
  <c r="D24" i="15" s="1"/>
  <c r="E102" i="17"/>
  <c r="F78" i="19"/>
  <c r="E102" i="16" s="1"/>
  <c r="D19" i="22"/>
  <c r="L28" i="15" s="1"/>
  <c r="F102" i="20"/>
  <c r="H38" i="3" s="1"/>
  <c r="F24" i="18"/>
  <c r="D23" i="15" s="1"/>
  <c r="F67" i="19"/>
  <c r="E91" i="16" s="1"/>
  <c r="E89" i="17"/>
  <c r="F65" i="19"/>
  <c r="E89" i="16" s="1"/>
  <c r="F74" i="19"/>
  <c r="E98" i="16" s="1"/>
  <c r="F53" i="19"/>
  <c r="E77" i="16" s="1"/>
  <c r="E77" i="17"/>
  <c r="E66" i="17"/>
  <c r="F31" i="19"/>
  <c r="H41" i="15" s="1"/>
  <c r="F52" i="19"/>
  <c r="E76" i="16" s="1"/>
  <c r="F48" i="19"/>
  <c r="E72" i="16" s="1"/>
  <c r="E72" i="17"/>
  <c r="F40" i="18"/>
  <c r="D42" i="15" s="1"/>
  <c r="F34" i="18"/>
  <c r="F104" i="18"/>
  <c r="D25" i="2" s="1"/>
  <c r="D26" i="3" s="1"/>
  <c r="E69" i="17"/>
  <c r="F104" i="20"/>
  <c r="H42" i="3" s="1"/>
  <c r="F45" i="19"/>
  <c r="E68" i="16" s="1"/>
  <c r="F24" i="19"/>
  <c r="H32" i="15" s="1"/>
  <c r="E71" i="17"/>
  <c r="E71" i="16"/>
  <c r="E88" i="17"/>
  <c r="F23" i="18"/>
  <c r="D22" i="15" s="1"/>
  <c r="F43" i="18"/>
  <c r="D45" i="15" s="1"/>
  <c r="F95" i="20"/>
  <c r="E35" i="17"/>
  <c r="F23" i="19"/>
  <c r="F97" i="18"/>
  <c r="D19" i="2" s="1"/>
  <c r="D20" i="3" s="1"/>
  <c r="F49" i="18"/>
  <c r="D52" i="15" s="1"/>
  <c r="F94" i="20"/>
  <c r="F112" i="18"/>
  <c r="D33" i="2" s="1"/>
  <c r="D34" i="3" s="1"/>
  <c r="F83" i="20"/>
  <c r="F41" i="18"/>
  <c r="D43" i="15" s="1"/>
  <c r="E93" i="17"/>
  <c r="F69" i="19"/>
  <c r="E93" i="16" s="1"/>
  <c r="F46" i="18"/>
  <c r="D49" i="15" s="1"/>
  <c r="F63" i="19"/>
  <c r="E87" i="16" s="1"/>
  <c r="E87" i="17"/>
  <c r="F29" i="18"/>
  <c r="D29" i="15" s="1"/>
  <c r="E75" i="17"/>
  <c r="F103" i="20"/>
  <c r="F101" i="20"/>
  <c r="H37" i="3" s="1"/>
  <c r="E78" i="17"/>
  <c r="F54" i="19"/>
  <c r="E78" i="16" s="1"/>
  <c r="E91" i="17"/>
  <c r="F39" i="18"/>
  <c r="E76" i="17"/>
  <c r="F48" i="18"/>
  <c r="D51" i="15" s="1"/>
  <c r="D16" i="22"/>
  <c r="F44" i="19"/>
  <c r="E67" i="16" s="1"/>
  <c r="F38" i="18"/>
  <c r="E64" i="17"/>
  <c r="E64" i="16"/>
  <c r="F51" i="18"/>
  <c r="D54" i="15" s="1"/>
  <c r="F60" i="19"/>
  <c r="E84" i="16" s="1"/>
  <c r="F90" i="20"/>
  <c r="F112" i="20"/>
  <c r="E85" i="17"/>
  <c r="F111" i="18"/>
  <c r="D32" i="2" s="1"/>
  <c r="D33" i="3" s="1"/>
  <c r="E90" i="17"/>
  <c r="E101" i="17"/>
  <c r="E68" i="17"/>
  <c r="F50" i="18"/>
  <c r="D53" i="15" s="1"/>
  <c r="F31" i="18"/>
  <c r="F80" i="19"/>
  <c r="E104" i="16" s="1"/>
  <c r="E104" i="17"/>
  <c r="F91" i="20"/>
  <c r="H27" i="3" s="1"/>
  <c r="F113" i="20"/>
  <c r="F107" i="18"/>
  <c r="E74" i="17"/>
  <c r="F50" i="19"/>
  <c r="E74" i="16" s="1"/>
  <c r="F33" i="18"/>
  <c r="D34" i="15" s="1"/>
  <c r="F32" i="18"/>
  <c r="D33" i="15" s="1"/>
  <c r="E63" i="17"/>
  <c r="E96" i="17"/>
  <c r="E67" i="17"/>
  <c r="F108" i="18"/>
  <c r="D29" i="2" s="1"/>
  <c r="D30" i="3" s="1"/>
  <c r="F89" i="20"/>
  <c r="H25" i="3" s="1"/>
  <c r="F110" i="18"/>
  <c r="D31" i="2" s="1"/>
  <c r="D32" i="3" s="1"/>
  <c r="F28" i="18"/>
  <c r="D28" i="15" s="1"/>
  <c r="F70" i="20"/>
  <c r="T71" i="22"/>
  <c r="E117" i="17" l="1"/>
  <c r="D28" i="2"/>
  <c r="D29" i="3" s="1"/>
  <c r="F17" i="19"/>
  <c r="H15" i="3"/>
  <c r="F90" i="19"/>
  <c r="H26" i="3"/>
  <c r="F83" i="19"/>
  <c r="H19" i="2" s="1"/>
  <c r="H20" i="3"/>
  <c r="F115" i="19"/>
  <c r="H50" i="2" s="1"/>
  <c r="H50" i="3"/>
  <c r="E35" i="16"/>
  <c r="H31" i="15"/>
  <c r="F114" i="19"/>
  <c r="H49" i="2" s="1"/>
  <c r="H49" i="3"/>
  <c r="E28" i="17"/>
  <c r="L14" i="2"/>
  <c r="L23" i="15"/>
  <c r="F103" i="19"/>
  <c r="H38" i="2" s="1"/>
  <c r="H39" i="3"/>
  <c r="E119" i="17"/>
  <c r="H31" i="3"/>
  <c r="E43" i="17"/>
  <c r="D40" i="15"/>
  <c r="E36" i="17"/>
  <c r="D32" i="15"/>
  <c r="E44" i="17"/>
  <c r="D41" i="15"/>
  <c r="F94" i="19"/>
  <c r="H29" i="2" s="1"/>
  <c r="H30" i="3"/>
  <c r="E39" i="17"/>
  <c r="D35" i="15"/>
  <c r="E32" i="16"/>
  <c r="E27" i="17"/>
  <c r="F95" i="19"/>
  <c r="E43" i="16"/>
  <c r="E126" i="17"/>
  <c r="F102" i="19"/>
  <c r="E94" i="17"/>
  <c r="F70" i="19"/>
  <c r="E94" i="16" s="1"/>
  <c r="E32" i="17"/>
  <c r="F89" i="19"/>
  <c r="E113" i="17"/>
  <c r="E37" i="17"/>
  <c r="E37" i="16"/>
  <c r="E121" i="17"/>
  <c r="E121" i="16"/>
  <c r="E56" i="17"/>
  <c r="E56" i="16"/>
  <c r="E125" i="17"/>
  <c r="F101" i="19"/>
  <c r="E114" i="17"/>
  <c r="E45" i="17"/>
  <c r="E45" i="16"/>
  <c r="E28" i="16"/>
  <c r="E127" i="17"/>
  <c r="E118" i="17"/>
  <c r="E38" i="17"/>
  <c r="E38" i="16"/>
  <c r="F133" i="18"/>
  <c r="E115" i="17"/>
  <c r="F91" i="19"/>
  <c r="E54" i="17"/>
  <c r="E54" i="16"/>
  <c r="E55" i="17"/>
  <c r="E55" i="16"/>
  <c r="E33" i="16"/>
  <c r="E33" i="17"/>
  <c r="E107" i="17"/>
  <c r="F106" i="19"/>
  <c r="E130" i="17"/>
  <c r="F129" i="18"/>
  <c r="E120" i="16"/>
  <c r="E120" i="17"/>
  <c r="E117" i="16"/>
  <c r="E53" i="17"/>
  <c r="E53" i="16"/>
  <c r="E51" i="17"/>
  <c r="E51" i="16"/>
  <c r="E46" i="16"/>
  <c r="E46" i="17"/>
  <c r="E36" i="16"/>
  <c r="E44" i="16"/>
  <c r="E39" i="16"/>
  <c r="E47" i="16"/>
  <c r="E47" i="17"/>
  <c r="E34" i="16"/>
  <c r="E34" i="17"/>
  <c r="E122" i="17"/>
  <c r="E122" i="16"/>
  <c r="E48" i="17"/>
  <c r="E48" i="16"/>
  <c r="E29" i="16"/>
  <c r="E29" i="17"/>
  <c r="E25" i="17"/>
  <c r="E25" i="16"/>
  <c r="E23" i="17"/>
  <c r="E23" i="16"/>
  <c r="E24" i="17"/>
  <c r="E24" i="16"/>
  <c r="C82" i="17"/>
  <c r="D58" i="19"/>
  <c r="C82" i="16" s="1"/>
  <c r="E118" i="16" l="1"/>
  <c r="E107" i="16"/>
  <c r="E127" i="16"/>
  <c r="E130" i="16"/>
  <c r="H41" i="2"/>
  <c r="E126" i="16"/>
  <c r="H37" i="2"/>
  <c r="E115" i="16"/>
  <c r="H26" i="2"/>
  <c r="E139" i="17"/>
  <c r="D50" i="2"/>
  <c r="D50" i="3" s="1"/>
  <c r="E114" i="16"/>
  <c r="H25" i="2"/>
  <c r="E119" i="16"/>
  <c r="H30" i="2"/>
  <c r="H22" i="15"/>
  <c r="H14" i="2"/>
  <c r="E138" i="17"/>
  <c r="D49" i="2"/>
  <c r="D49" i="3" s="1"/>
  <c r="E113" i="16"/>
  <c r="H24" i="2"/>
  <c r="E125" i="16"/>
  <c r="H36" i="2"/>
  <c r="V117" i="19"/>
  <c r="U49" i="17" l="1"/>
  <c r="U41" i="17"/>
  <c r="U57" i="17"/>
  <c r="U26" i="17"/>
  <c r="U30" i="17" s="1"/>
  <c r="U123" i="17"/>
  <c r="U132" i="17" s="1"/>
  <c r="U26" i="16"/>
  <c r="U30" i="16" s="1"/>
  <c r="U105" i="17"/>
  <c r="U141" i="17"/>
  <c r="V99" i="19"/>
  <c r="V108" i="19" s="1"/>
  <c r="U59" i="17" l="1"/>
  <c r="U109" i="17" s="1"/>
  <c r="U135" i="17" s="1"/>
  <c r="U145" i="17" s="1"/>
  <c r="E92" i="23"/>
  <c r="C47" i="16" l="1"/>
  <c r="C47" i="17"/>
  <c r="P23" i="22"/>
  <c r="N23" i="22"/>
  <c r="L23" i="22"/>
  <c r="J23" i="22"/>
  <c r="H23" i="22"/>
  <c r="F23" i="22"/>
  <c r="D23" i="22"/>
  <c r="L16" i="2" s="1"/>
  <c r="B23" i="22"/>
  <c r="R23" i="22" l="1"/>
  <c r="D43" i="40"/>
  <c r="D35" i="40"/>
  <c r="D22" i="40"/>
  <c r="D16" i="40"/>
  <c r="D47" i="39"/>
  <c r="D38" i="39"/>
  <c r="D28" i="39"/>
  <c r="D22" i="39"/>
  <c r="D30" i="39" l="1"/>
  <c r="D50" i="39" s="1"/>
  <c r="D24" i="40"/>
  <c r="D46" i="40" s="1"/>
  <c r="I12" i="44"/>
  <c r="W26" i="16" l="1"/>
  <c r="F44" i="15"/>
  <c r="AE21" i="16"/>
  <c r="AA23" i="22"/>
  <c r="G22" i="12" s="1"/>
  <c r="N44" i="15"/>
  <c r="X35" i="20"/>
  <c r="W26" i="17"/>
  <c r="X81" i="20"/>
  <c r="W141" i="17" l="1"/>
  <c r="L46" i="15"/>
  <c r="X23" i="22"/>
  <c r="Y28" i="23"/>
  <c r="Y23" i="23"/>
  <c r="N16" i="2"/>
  <c r="N17" i="3" s="1"/>
  <c r="Y96" i="23"/>
  <c r="W57" i="17"/>
  <c r="X28" i="20"/>
  <c r="X37" i="20" s="1"/>
  <c r="X85" i="20" s="1"/>
  <c r="X99" i="20"/>
  <c r="X106" i="20" s="1"/>
  <c r="V23" i="22"/>
  <c r="X44" i="15"/>
  <c r="X117" i="19"/>
  <c r="V16" i="15"/>
  <c r="Y31" i="23"/>
  <c r="W57" i="16" l="1"/>
  <c r="L17" i="3"/>
  <c r="AB47" i="17"/>
  <c r="V44" i="15"/>
  <c r="W105" i="17"/>
  <c r="X81" i="19"/>
  <c r="Y33" i="23"/>
  <c r="W30" i="17"/>
  <c r="AB47" i="16"/>
  <c r="AB82" i="17"/>
  <c r="W30" i="16"/>
  <c r="Y79" i="23"/>
  <c r="Y86" i="23" s="1"/>
  <c r="Y61" i="23"/>
  <c r="W41" i="17"/>
  <c r="W49" i="17"/>
  <c r="X109" i="20"/>
  <c r="AB82" i="16"/>
  <c r="AD58" i="19"/>
  <c r="X99" i="19"/>
  <c r="X108" i="19" s="1"/>
  <c r="W123" i="17"/>
  <c r="W132" i="17" s="1"/>
  <c r="X28" i="19"/>
  <c r="W41" i="16"/>
  <c r="W49" i="16"/>
  <c r="X35" i="19"/>
  <c r="Y26" i="16"/>
  <c r="Y65" i="23" l="1"/>
  <c r="Y89" i="23" s="1"/>
  <c r="Y101" i="23" s="1"/>
  <c r="W105" i="16"/>
  <c r="W123" i="16"/>
  <c r="W132" i="16" s="1"/>
  <c r="W59" i="17"/>
  <c r="W109" i="17" s="1"/>
  <c r="W135" i="17" s="1"/>
  <c r="W145" i="17" s="1"/>
  <c r="W59" i="16"/>
  <c r="X37" i="19"/>
  <c r="X85" i="19" s="1"/>
  <c r="X111" i="19" s="1"/>
  <c r="X121" i="19" s="1"/>
  <c r="W109" i="16" l="1"/>
  <c r="W135" i="16" s="1"/>
  <c r="E28" i="45" l="1"/>
  <c r="Z21" i="43" l="1"/>
  <c r="Z28" i="43"/>
  <c r="E24" i="45" l="1"/>
  <c r="K95" i="24" l="1"/>
  <c r="K78" i="24" l="1"/>
  <c r="K85" i="24" s="1"/>
  <c r="K60" i="24"/>
  <c r="K30" i="24"/>
  <c r="K27" i="24"/>
  <c r="K22" i="24"/>
  <c r="O31" i="23" l="1"/>
  <c r="M61" i="23"/>
  <c r="M79" i="23"/>
  <c r="M86" i="23" s="1"/>
  <c r="M96" i="23"/>
  <c r="M31" i="23"/>
  <c r="M28" i="23"/>
  <c r="M23" i="23"/>
  <c r="AC44" i="18" l="1"/>
  <c r="F18" i="2"/>
  <c r="AA20" i="22"/>
  <c r="Q26" i="14"/>
  <c r="T35" i="19"/>
  <c r="G35" i="9"/>
  <c r="U31" i="23"/>
  <c r="AA50" i="22"/>
  <c r="O28" i="23"/>
  <c r="O23" i="23"/>
  <c r="N35" i="19"/>
  <c r="M33" i="23"/>
  <c r="M65" i="23" s="1"/>
  <c r="M89" i="23" s="1"/>
  <c r="W31" i="23" l="1"/>
  <c r="U57" i="16"/>
  <c r="U41" i="16"/>
  <c r="W23" i="23"/>
  <c r="W28" i="23"/>
  <c r="Z25" i="37"/>
  <c r="AC136" i="18"/>
  <c r="U28" i="23"/>
  <c r="T28" i="19"/>
  <c r="O96" i="23"/>
  <c r="O79" i="23"/>
  <c r="O86" i="23" s="1"/>
  <c r="O61" i="23"/>
  <c r="O33" i="23"/>
  <c r="J115" i="20"/>
  <c r="J99" i="20"/>
  <c r="J106" i="20" s="1"/>
  <c r="J81" i="20"/>
  <c r="J35" i="20"/>
  <c r="J28" i="20"/>
  <c r="U49" i="16" l="1"/>
  <c r="U59" i="16" s="1"/>
  <c r="W96" i="23"/>
  <c r="U105" i="16"/>
  <c r="W79" i="23"/>
  <c r="W86" i="23" s="1"/>
  <c r="W61" i="23"/>
  <c r="W33" i="23"/>
  <c r="T81" i="20"/>
  <c r="S105" i="17"/>
  <c r="S141" i="17"/>
  <c r="S123" i="17"/>
  <c r="S132" i="17" s="1"/>
  <c r="S41" i="17"/>
  <c r="T99" i="19"/>
  <c r="T108" i="19" s="1"/>
  <c r="S49" i="17"/>
  <c r="U61" i="23"/>
  <c r="U79" i="23"/>
  <c r="U86" i="23" s="1"/>
  <c r="S57" i="17"/>
  <c r="S26" i="17"/>
  <c r="S30" i="17" s="1"/>
  <c r="T37" i="19"/>
  <c r="U96" i="23"/>
  <c r="T117" i="19"/>
  <c r="T81" i="19"/>
  <c r="O65" i="23"/>
  <c r="O89" i="23" s="1"/>
  <c r="O101" i="23" s="1"/>
  <c r="N81" i="19"/>
  <c r="J37" i="20"/>
  <c r="J85" i="20" s="1"/>
  <c r="J109" i="20" s="1"/>
  <c r="J119" i="20" s="1"/>
  <c r="J121" i="20" s="1"/>
  <c r="Z34" i="43"/>
  <c r="Z29" i="43"/>
  <c r="U123" i="16" l="1"/>
  <c r="U132" i="16" s="1"/>
  <c r="U109" i="16"/>
  <c r="W65" i="23"/>
  <c r="W89" i="23" s="1"/>
  <c r="W101" i="23" s="1"/>
  <c r="S59" i="17"/>
  <c r="S109" i="17" s="1"/>
  <c r="S135" i="17" s="1"/>
  <c r="S145" i="17" s="1"/>
  <c r="T85" i="19"/>
  <c r="T111" i="19" s="1"/>
  <c r="T121" i="19" s="1"/>
  <c r="L52" i="21"/>
  <c r="L56" i="21" s="1"/>
  <c r="L88" i="21"/>
  <c r="L70" i="21"/>
  <c r="L79" i="21" s="1"/>
  <c r="U135" i="16" l="1"/>
  <c r="L82" i="21"/>
  <c r="L92" i="21" s="1"/>
  <c r="D15" i="6"/>
  <c r="D14" i="6"/>
  <c r="D15" i="5"/>
  <c r="D14" i="5"/>
  <c r="AA71" i="22" l="1"/>
  <c r="N19" i="2"/>
  <c r="N50" i="2"/>
  <c r="AA62" i="22"/>
  <c r="AA27" i="22"/>
  <c r="AA29" i="22" s="1"/>
  <c r="F13" i="15"/>
  <c r="F12" i="15"/>
  <c r="P15" i="5" l="1"/>
  <c r="G123" i="17" l="1"/>
  <c r="G141" i="17"/>
  <c r="G132" i="17" l="1"/>
  <c r="Z40" i="43" l="1"/>
  <c r="K57" i="17" l="1"/>
  <c r="K41" i="17"/>
  <c r="K105" i="17"/>
  <c r="K49" i="17"/>
  <c r="K26" i="17"/>
  <c r="K30" i="17" s="1"/>
  <c r="K141" i="17"/>
  <c r="K123" i="17"/>
  <c r="K59" i="17" l="1"/>
  <c r="K109" i="17" s="1"/>
  <c r="Z33" i="43" l="1"/>
  <c r="C65" i="34" l="1"/>
  <c r="Z36" i="43" l="1"/>
  <c r="Z26" i="43"/>
  <c r="Z24" i="43"/>
  <c r="Z23" i="43"/>
  <c r="Z22" i="43"/>
  <c r="G26" i="34" l="1"/>
  <c r="G48" i="34"/>
  <c r="G53" i="34"/>
  <c r="G16" i="34"/>
  <c r="H24" i="45" l="1"/>
  <c r="H22" i="45"/>
  <c r="H21" i="45"/>
  <c r="H20" i="45"/>
  <c r="H19" i="45"/>
  <c r="H18" i="45"/>
  <c r="H17" i="45"/>
  <c r="H16" i="45"/>
  <c r="H15" i="45"/>
  <c r="H14" i="45"/>
  <c r="H11" i="45"/>
  <c r="H26" i="45" l="1"/>
  <c r="I15" i="45"/>
  <c r="I11" i="45"/>
  <c r="M42" i="25"/>
  <c r="M46" i="25" s="1"/>
  <c r="W10" i="41" l="1"/>
  <c r="Y10" i="41" s="1"/>
  <c r="I10" i="41"/>
  <c r="O10" i="41" s="1"/>
  <c r="G10" i="41"/>
  <c r="M10" i="41" s="1"/>
  <c r="S10" i="41" s="1"/>
  <c r="E10" i="41"/>
  <c r="K10" i="41" s="1"/>
  <c r="Q10" i="41" s="1"/>
  <c r="A6" i="41"/>
  <c r="I10" i="40"/>
  <c r="AA10" i="41" s="1"/>
  <c r="B5" i="36"/>
  <c r="A7" i="31" l="1"/>
  <c r="A6" i="32" s="1"/>
  <c r="A6" i="33" s="1"/>
  <c r="D18" i="32" l="1"/>
  <c r="D52" i="39"/>
  <c r="F12" i="39" s="1"/>
  <c r="F52" i="39" s="1"/>
  <c r="Z31" i="43"/>
  <c r="AI52" i="22" l="1"/>
  <c r="AG20" i="19"/>
  <c r="AL73" i="20"/>
  <c r="AK91" i="18"/>
  <c r="AD40" i="2"/>
  <c r="AK87" i="18"/>
  <c r="AL51" i="25"/>
  <c r="AI20" i="23"/>
  <c r="AI42" i="18"/>
  <c r="AE47" i="17"/>
  <c r="AH47" i="17" s="1"/>
  <c r="AJ47" i="17" s="1"/>
  <c r="AK42" i="18"/>
  <c r="AE47" i="16"/>
  <c r="AL56" i="25"/>
  <c r="AI48" i="22"/>
  <c r="AJ56" i="20"/>
  <c r="AL56" i="20" s="1"/>
  <c r="AL34" i="25"/>
  <c r="AG41" i="19"/>
  <c r="AL38" i="25"/>
  <c r="AL58" i="20"/>
  <c r="AE82" i="17"/>
  <c r="AJ82" i="17" s="1"/>
  <c r="AG58" i="19"/>
  <c r="AE82" i="16" s="1"/>
  <c r="AH82" i="16" s="1"/>
  <c r="AJ82" i="16" s="1"/>
  <c r="AJ58" i="20"/>
  <c r="AL76" i="21"/>
  <c r="AI41" i="22"/>
  <c r="AL74" i="25"/>
  <c r="AL73" i="25"/>
  <c r="AJ73" i="25"/>
  <c r="AI23" i="29"/>
  <c r="AL56" i="24"/>
  <c r="AL46" i="20"/>
  <c r="AD23" i="22"/>
  <c r="AG23" i="22" s="1"/>
  <c r="AG22" i="22"/>
  <c r="AI22" i="22"/>
  <c r="AL55" i="25"/>
  <c r="AD20" i="22"/>
  <c r="AG20" i="22" s="1"/>
  <c r="AI75" i="18"/>
  <c r="AK75" i="18" s="1"/>
  <c r="AL36" i="24"/>
  <c r="AJ59" i="20"/>
  <c r="AL59" i="20" s="1"/>
  <c r="AL62" i="24"/>
  <c r="AL50" i="25"/>
  <c r="AJ57" i="20"/>
  <c r="AL57" i="20" s="1"/>
  <c r="AF136" i="18"/>
  <c r="AJ21" i="21"/>
  <c r="AI84" i="23"/>
  <c r="AI92" i="23"/>
  <c r="AG21" i="19"/>
  <c r="AI21" i="23"/>
  <c r="AI27" i="23"/>
  <c r="AF22" i="18"/>
  <c r="AD16" i="15"/>
  <c r="AE25" i="16"/>
  <c r="AG35" i="20"/>
  <c r="F50" i="2"/>
  <c r="F28" i="2"/>
  <c r="AG27" i="24"/>
  <c r="X98" i="18"/>
  <c r="AI13" i="28" l="1"/>
  <c r="F57" i="2"/>
  <c r="K89" i="30"/>
  <c r="M16" i="34"/>
  <c r="K14" i="30"/>
  <c r="AI15" i="23"/>
  <c r="AI23" i="22"/>
  <c r="AJ58" i="19"/>
  <c r="AL58" i="19" s="1"/>
  <c r="AD44" i="15"/>
  <c r="AH47" i="16"/>
  <c r="AJ47" i="16" s="1"/>
  <c r="Q23" i="23"/>
  <c r="Q31" i="23"/>
  <c r="Q28" i="23"/>
  <c r="P35" i="19"/>
  <c r="P117" i="19"/>
  <c r="F49" i="2"/>
  <c r="I42" i="40"/>
  <c r="I39" i="40"/>
  <c r="I38" i="40"/>
  <c r="I34" i="40"/>
  <c r="I33" i="40"/>
  <c r="I32" i="40"/>
  <c r="I31" i="40"/>
  <c r="I29" i="40"/>
  <c r="I28" i="40"/>
  <c r="I21" i="40"/>
  <c r="I20" i="40"/>
  <c r="I19" i="40"/>
  <c r="I46" i="39"/>
  <c r="I45" i="39"/>
  <c r="I44" i="39"/>
  <c r="I42" i="39"/>
  <c r="I41" i="39"/>
  <c r="I37" i="39"/>
  <c r="I35" i="39"/>
  <c r="I34" i="39"/>
  <c r="I27" i="39"/>
  <c r="I26" i="39"/>
  <c r="I25" i="39"/>
  <c r="I16" i="39"/>
  <c r="I17" i="39"/>
  <c r="I18" i="39"/>
  <c r="I19" i="39"/>
  <c r="I20" i="39"/>
  <c r="I21" i="39"/>
  <c r="Q96" i="23" l="1"/>
  <c r="Q33" i="23"/>
  <c r="Q79" i="23"/>
  <c r="Q86" i="23" s="1"/>
  <c r="P28" i="19"/>
  <c r="P37" i="19" s="1"/>
  <c r="Q61" i="23"/>
  <c r="P99" i="19"/>
  <c r="P108" i="19" s="1"/>
  <c r="M191" i="42"/>
  <c r="Q65" i="23" l="1"/>
  <c r="Q89" i="23" s="1"/>
  <c r="P81" i="19"/>
  <c r="P85" i="19" s="1"/>
  <c r="P111" i="19" s="1"/>
  <c r="P121" i="19" s="1"/>
  <c r="Q60" i="25"/>
  <c r="I41" i="40" l="1"/>
  <c r="G7" i="45" l="1"/>
  <c r="C7" i="45"/>
  <c r="Z20" i="43" l="1"/>
  <c r="I23" i="45" l="1"/>
  <c r="I24" i="45"/>
  <c r="I19" i="45"/>
  <c r="I22" i="45"/>
  <c r="I21" i="45"/>
  <c r="I20" i="45"/>
  <c r="I18" i="45"/>
  <c r="I17" i="45"/>
  <c r="I16" i="45"/>
  <c r="I14" i="45"/>
  <c r="E19" i="45"/>
  <c r="E21" i="45"/>
  <c r="E20" i="45"/>
  <c r="E18" i="45"/>
  <c r="E17" i="45"/>
  <c r="E16" i="45"/>
  <c r="E15" i="45"/>
  <c r="E14" i="45"/>
  <c r="AD14" i="24" l="1"/>
  <c r="X95" i="18"/>
  <c r="I12" i="45"/>
  <c r="I26" i="45" l="1"/>
  <c r="E12" i="45"/>
  <c r="E11" i="45"/>
  <c r="I28" i="45"/>
  <c r="I32" i="44" l="1"/>
  <c r="I38" i="44"/>
  <c r="I33" i="44"/>
  <c r="I40" i="44"/>
  <c r="I28" i="44"/>
  <c r="I26" i="44"/>
  <c r="I22" i="44"/>
  <c r="I45" i="44"/>
  <c r="I44" i="44"/>
  <c r="I41" i="44"/>
  <c r="I36" i="44"/>
  <c r="I35" i="44"/>
  <c r="I34" i="44"/>
  <c r="I31" i="44"/>
  <c r="I30" i="44"/>
  <c r="I29" i="44"/>
  <c r="I27" i="44"/>
  <c r="I24" i="44"/>
  <c r="I23" i="44"/>
  <c r="I21" i="44"/>
  <c r="I20" i="44"/>
  <c r="I18" i="44"/>
  <c r="I17" i="44"/>
  <c r="I15" i="44"/>
  <c r="I13" i="44"/>
  <c r="I11" i="44"/>
  <c r="E40" i="44"/>
  <c r="E28" i="44"/>
  <c r="E26" i="44"/>
  <c r="E22" i="44"/>
  <c r="E49" i="44"/>
  <c r="E20" i="44"/>
  <c r="E33" i="44"/>
  <c r="E41" i="44"/>
  <c r="E45" i="44"/>
  <c r="E44" i="44"/>
  <c r="E38" i="44"/>
  <c r="E36" i="44"/>
  <c r="E35" i="44"/>
  <c r="E34" i="44"/>
  <c r="E31" i="44"/>
  <c r="E30" i="44"/>
  <c r="E29" i="44"/>
  <c r="E27" i="44"/>
  <c r="E24" i="44"/>
  <c r="E23" i="44"/>
  <c r="E21" i="44"/>
  <c r="E15" i="44"/>
  <c r="E17" i="44"/>
  <c r="E13" i="44"/>
  <c r="E12" i="44"/>
  <c r="E11" i="44"/>
  <c r="I14" i="44" l="1"/>
  <c r="E14" i="44"/>
  <c r="E37" i="44"/>
  <c r="E25" i="44"/>
  <c r="I37" i="44"/>
  <c r="E18" i="44"/>
  <c r="I43" i="40" l="1"/>
  <c r="L95" i="18" l="1"/>
  <c r="E41" i="10" l="1"/>
  <c r="C41" i="10" l="1"/>
  <c r="B17" i="43" l="1"/>
  <c r="P22" i="18" l="1"/>
  <c r="P26" i="18" l="1"/>
  <c r="P95" i="18"/>
  <c r="P36" i="18"/>
  <c r="P44" i="18"/>
  <c r="P52" i="18"/>
  <c r="P113" i="18"/>
  <c r="P119" i="18" s="1"/>
  <c r="P54" i="18" l="1"/>
  <c r="AC9" i="21" l="1"/>
  <c r="D26" i="32" l="1"/>
  <c r="C28" i="31"/>
  <c r="H30" i="45"/>
  <c r="D105" i="19" l="1"/>
  <c r="H51" i="44"/>
  <c r="D51" i="44"/>
  <c r="AF95" i="18" l="1"/>
  <c r="AK31" i="18"/>
  <c r="AE39" i="17"/>
  <c r="AG105" i="19"/>
  <c r="AK43" i="18"/>
  <c r="R32" i="11"/>
  <c r="AD105" i="19"/>
  <c r="J40" i="2" s="1"/>
  <c r="AJ76" i="21"/>
  <c r="P99" i="18"/>
  <c r="P122" i="18" s="1"/>
  <c r="AE129" i="16" l="1"/>
  <c r="AL105" i="19"/>
  <c r="G32" i="10"/>
  <c r="K32" i="10" s="1"/>
  <c r="AI46" i="23"/>
  <c r="AG44" i="22"/>
  <c r="AI44" i="22" s="1"/>
  <c r="AA54" i="22"/>
  <c r="AE56" i="16"/>
  <c r="AD54" i="15" s="1"/>
  <c r="AE87" i="17"/>
  <c r="AJ105" i="19"/>
  <c r="P136" i="18"/>
  <c r="P140" i="18" s="1"/>
  <c r="Z17" i="43"/>
  <c r="Z27" i="43"/>
  <c r="AA65" i="22" l="1"/>
  <c r="AA75" i="22" s="1"/>
  <c r="B6" i="24" l="1"/>
  <c r="R33" i="11" l="1"/>
  <c r="J33" i="37" l="1"/>
  <c r="P99" i="20" l="1"/>
  <c r="P106" i="20" s="1"/>
  <c r="P115" i="20"/>
  <c r="I123" i="17" l="1"/>
  <c r="I132" i="17" s="1"/>
  <c r="Y23" i="26" l="1"/>
  <c r="J55" i="15" l="1"/>
  <c r="H55" i="15"/>
  <c r="X27" i="22" l="1"/>
  <c r="V27" i="22"/>
  <c r="R27" i="22"/>
  <c r="Y57" i="16" l="1"/>
  <c r="Y57" i="17"/>
  <c r="Z52" i="18" l="1"/>
  <c r="X52" i="18" l="1"/>
  <c r="W33" i="26"/>
  <c r="I22" i="40"/>
  <c r="Z35" i="43"/>
  <c r="AI79" i="18" l="1"/>
  <c r="AK79" i="18" s="1"/>
  <c r="D21" i="19" l="1"/>
  <c r="D34" i="19"/>
  <c r="D59" i="19"/>
  <c r="T52" i="18" l="1"/>
  <c r="C25" i="16"/>
  <c r="I141" i="17" l="1"/>
  <c r="P27" i="22"/>
  <c r="S57" i="16" l="1"/>
  <c r="AC9" i="20"/>
  <c r="AE28" i="16" l="1"/>
  <c r="AE56" i="17"/>
  <c r="D27" i="22"/>
  <c r="L17" i="2" s="1"/>
  <c r="R21" i="15"/>
  <c r="P21" i="15"/>
  <c r="N21" i="15"/>
  <c r="L21" i="15"/>
  <c r="J21" i="15"/>
  <c r="H21" i="15"/>
  <c r="X22" i="18"/>
  <c r="T22" i="18"/>
  <c r="F52" i="18" l="1"/>
  <c r="D17" i="2" s="1"/>
  <c r="D18" i="3" s="1"/>
  <c r="Y95" i="24"/>
  <c r="M194" i="42" l="1"/>
  <c r="M192" i="42" l="1"/>
  <c r="AC36" i="18" l="1"/>
  <c r="D56" i="19"/>
  <c r="C80" i="16" s="1"/>
  <c r="D25" i="19"/>
  <c r="D60" i="19"/>
  <c r="AG27" i="19"/>
  <c r="AE39" i="16" s="1"/>
  <c r="D80" i="19"/>
  <c r="D73" i="19"/>
  <c r="D78" i="19"/>
  <c r="D114" i="19"/>
  <c r="D54" i="19"/>
  <c r="D47" i="32"/>
  <c r="D44" i="19"/>
  <c r="D32" i="19"/>
  <c r="D61" i="19"/>
  <c r="D27" i="19"/>
  <c r="AJ27" i="20"/>
  <c r="AL27" i="20" s="1"/>
  <c r="D69" i="19"/>
  <c r="D22" i="19"/>
  <c r="AI35" i="18"/>
  <c r="AK35" i="18" s="1"/>
  <c r="F36" i="15"/>
  <c r="X36" i="15" s="1"/>
  <c r="D43" i="19"/>
  <c r="D91" i="19"/>
  <c r="D31" i="19"/>
  <c r="D33" i="19"/>
  <c r="C56" i="16"/>
  <c r="AI34" i="18"/>
  <c r="F35" i="15"/>
  <c r="D48" i="19"/>
  <c r="D79" i="19"/>
  <c r="D52" i="19"/>
  <c r="D23" i="19"/>
  <c r="D96" i="19"/>
  <c r="D46" i="19"/>
  <c r="D26" i="19"/>
  <c r="D77" i="19"/>
  <c r="D89" i="19"/>
  <c r="AE40" i="17"/>
  <c r="AE40" i="16"/>
  <c r="AD36" i="15" s="1"/>
  <c r="D24" i="19"/>
  <c r="D53" i="19"/>
  <c r="D75" i="19"/>
  <c r="D63" i="19"/>
  <c r="D30" i="19"/>
  <c r="D64" i="19"/>
  <c r="D71" i="19"/>
  <c r="AD71" i="19" s="1"/>
  <c r="D41" i="19"/>
  <c r="D20" i="19"/>
  <c r="D106" i="19"/>
  <c r="D57" i="19"/>
  <c r="D66" i="19"/>
  <c r="AK34" i="18"/>
  <c r="D50" i="19"/>
  <c r="D76" i="19"/>
  <c r="D72" i="19"/>
  <c r="C22" i="17"/>
  <c r="D103" i="19"/>
  <c r="D102" i="19"/>
  <c r="D17" i="19"/>
  <c r="B27" i="22"/>
  <c r="D83" i="19"/>
  <c r="V22" i="18"/>
  <c r="V52" i="18"/>
  <c r="H21" i="36"/>
  <c r="AD114" i="19" l="1"/>
  <c r="AD20" i="19"/>
  <c r="J28" i="15" s="1"/>
  <c r="AD17" i="19"/>
  <c r="AD27" i="19"/>
  <c r="J35" i="15" s="1"/>
  <c r="X35" i="15" s="1"/>
  <c r="V35" i="15"/>
  <c r="AH36" i="15"/>
  <c r="AJ36" i="15" s="1"/>
  <c r="AD35" i="15"/>
  <c r="C39" i="17"/>
  <c r="AB39" i="17" s="1"/>
  <c r="AH39" i="17" s="1"/>
  <c r="AJ39" i="17" s="1"/>
  <c r="D50" i="32"/>
  <c r="D74" i="19"/>
  <c r="D94" i="19"/>
  <c r="D45" i="19"/>
  <c r="D98" i="19"/>
  <c r="D97" i="19"/>
  <c r="D93" i="19"/>
  <c r="C130" i="17"/>
  <c r="D51" i="19"/>
  <c r="D95" i="19"/>
  <c r="D65" i="19"/>
  <c r="C56" i="17"/>
  <c r="D52" i="18"/>
  <c r="D70" i="19"/>
  <c r="D115" i="19"/>
  <c r="D101" i="19"/>
  <c r="C44" i="26"/>
  <c r="D67" i="19"/>
  <c r="D90" i="19"/>
  <c r="D49" i="19"/>
  <c r="C40" i="16"/>
  <c r="C40" i="17"/>
  <c r="AB40" i="17" s="1"/>
  <c r="AH40" i="17" s="1"/>
  <c r="AJ40" i="17" s="1"/>
  <c r="V36" i="15"/>
  <c r="C39" i="16"/>
  <c r="K12" i="34"/>
  <c r="M12" i="34" s="1"/>
  <c r="S12" i="34" s="1"/>
  <c r="K11" i="34"/>
  <c r="S11" i="34" s="1"/>
  <c r="L11" i="32"/>
  <c r="J13" i="33" s="1"/>
  <c r="D11" i="32"/>
  <c r="K14" i="31"/>
  <c r="C14" i="31"/>
  <c r="A8" i="31"/>
  <c r="A7" i="32" s="1"/>
  <c r="A7" i="33" s="1"/>
  <c r="AD115" i="19" l="1"/>
  <c r="F18" i="32"/>
  <c r="H18" i="32"/>
  <c r="J18" i="32"/>
  <c r="L16" i="32"/>
  <c r="AJ27" i="19"/>
  <c r="AL27" i="19" s="1"/>
  <c r="AH35" i="15"/>
  <c r="AJ35" i="15" s="1"/>
  <c r="D13" i="33"/>
  <c r="N27" i="22" l="1"/>
  <c r="AB12" i="17"/>
  <c r="A40" i="14"/>
  <c r="A6" i="14"/>
  <c r="A6" i="13"/>
  <c r="A40" i="13"/>
  <c r="A40" i="12"/>
  <c r="A6" i="12"/>
  <c r="A6" i="11"/>
  <c r="A42" i="11"/>
  <c r="A42" i="10"/>
  <c r="A6" i="10"/>
  <c r="A50" i="9"/>
  <c r="A49" i="8"/>
  <c r="A6" i="9"/>
  <c r="A6" i="8"/>
  <c r="AD49" i="2" l="1"/>
  <c r="AE139" i="16" s="1"/>
  <c r="AD50" i="2"/>
  <c r="S26" i="16"/>
  <c r="AD11" i="2"/>
  <c r="X11" i="2"/>
  <c r="N11" i="2"/>
  <c r="J11" i="2"/>
  <c r="R11" i="2" s="1"/>
  <c r="X12" i="2"/>
  <c r="V12" i="2"/>
  <c r="P12" i="2"/>
  <c r="N12" i="2"/>
  <c r="L12" i="2"/>
  <c r="J12" i="2"/>
  <c r="R12" i="2" s="1"/>
  <c r="H12" i="2"/>
  <c r="X13" i="15" l="1"/>
  <c r="L15" i="6"/>
  <c r="L15" i="5"/>
  <c r="AA23" i="41"/>
  <c r="AI89" i="18" l="1"/>
  <c r="R22" i="18"/>
  <c r="Q26" i="16" l="1"/>
  <c r="H51" i="2"/>
  <c r="P62" i="22"/>
  <c r="R52" i="18"/>
  <c r="Q57" i="16" l="1"/>
  <c r="Q57" i="17"/>
  <c r="L27" i="22" l="1"/>
  <c r="O60" i="24"/>
  <c r="N52" i="18"/>
  <c r="N22" i="18"/>
  <c r="M44" i="26"/>
  <c r="O60" i="25"/>
  <c r="O67" i="25" s="1"/>
  <c r="O42" i="25"/>
  <c r="L71" i="22"/>
  <c r="N88" i="21"/>
  <c r="N99" i="20"/>
  <c r="N106" i="20" s="1"/>
  <c r="N35" i="20"/>
  <c r="N28" i="20"/>
  <c r="N136" i="18"/>
  <c r="N95" i="18"/>
  <c r="N44" i="18"/>
  <c r="O57" i="17" l="1"/>
  <c r="O57" i="16"/>
  <c r="M57" i="17"/>
  <c r="M57" i="16"/>
  <c r="L33" i="37"/>
  <c r="K57" i="16"/>
  <c r="M60" i="25"/>
  <c r="M67" i="25" s="1"/>
  <c r="M70" i="25" s="1"/>
  <c r="M60" i="24"/>
  <c r="L52" i="18"/>
  <c r="L22" i="18"/>
  <c r="J27" i="22"/>
  <c r="N37" i="20"/>
  <c r="N17" i="28" l="1"/>
  <c r="C64" i="17"/>
  <c r="AE95" i="17" l="1"/>
  <c r="AJ71" i="20"/>
  <c r="AL71" i="20" s="1"/>
  <c r="AG71" i="19"/>
  <c r="AE95" i="16" s="1"/>
  <c r="AB95" i="17"/>
  <c r="AJ95" i="17" l="1"/>
  <c r="N23" i="15" l="1"/>
  <c r="F22" i="18"/>
  <c r="E44" i="26"/>
  <c r="E57" i="16" l="1"/>
  <c r="E57" i="17"/>
  <c r="E49" i="16"/>
  <c r="R33" i="37" l="1"/>
  <c r="C126" i="17" l="1"/>
  <c r="I16" i="40"/>
  <c r="I35" i="40" l="1"/>
  <c r="I24" i="40"/>
  <c r="A42" i="12" l="1"/>
  <c r="W23" i="26" l="1"/>
  <c r="F20" i="15" l="1"/>
  <c r="AI51" i="18"/>
  <c r="AK51" i="18" s="1"/>
  <c r="F54" i="15"/>
  <c r="N54" i="15"/>
  <c r="AG26" i="22"/>
  <c r="AI26" i="22" s="1"/>
  <c r="Y22" i="24"/>
  <c r="Y27" i="24"/>
  <c r="Y30" i="24"/>
  <c r="Y60" i="24"/>
  <c r="Y78" i="24"/>
  <c r="Y85" i="24" s="1"/>
  <c r="J22" i="18" l="1"/>
  <c r="J52" i="18"/>
  <c r="X54" i="15"/>
  <c r="AH54" i="15" s="1"/>
  <c r="AJ54" i="15" s="1"/>
  <c r="H27" i="22"/>
  <c r="V54" i="15"/>
  <c r="AB56" i="17"/>
  <c r="AH56" i="17" s="1"/>
  <c r="AJ56" i="17" s="1"/>
  <c r="AB56" i="16"/>
  <c r="AH56" i="16" s="1"/>
  <c r="AJ56" i="16" s="1"/>
  <c r="Y32" i="24"/>
  <c r="Y64" i="24" s="1"/>
  <c r="Y88" i="24" s="1"/>
  <c r="I57" i="17" l="1"/>
  <c r="I57" i="16"/>
  <c r="Z42" i="37" l="1"/>
  <c r="AE22" i="16"/>
  <c r="F23" i="15"/>
  <c r="V23" i="15"/>
  <c r="AD27" i="22"/>
  <c r="AD29" i="22" s="1"/>
  <c r="AC52" i="18"/>
  <c r="AF52" i="18"/>
  <c r="AA42" i="3"/>
  <c r="J42" i="3"/>
  <c r="T42" i="3" s="1"/>
  <c r="F27" i="22"/>
  <c r="C21" i="17"/>
  <c r="AB21" i="17" s="1"/>
  <c r="C21" i="16"/>
  <c r="AB21" i="16" s="1"/>
  <c r="C35" i="41"/>
  <c r="C25" i="41"/>
  <c r="AA24" i="41"/>
  <c r="AA22" i="41"/>
  <c r="AA21" i="41"/>
  <c r="AA20" i="41"/>
  <c r="AA19" i="41"/>
  <c r="AA17" i="41"/>
  <c r="AA16" i="41"/>
  <c r="AA15" i="41"/>
  <c r="AA14" i="41"/>
  <c r="L55" i="15" l="1"/>
  <c r="H22" i="18"/>
  <c r="I60" i="24"/>
  <c r="AD42" i="3"/>
  <c r="AF42" i="3" s="1"/>
  <c r="AB130" i="17"/>
  <c r="R42" i="3"/>
  <c r="H52" i="18"/>
  <c r="AA25" i="41"/>
  <c r="C38" i="41"/>
  <c r="G57" i="17" l="1"/>
  <c r="D55" i="15"/>
  <c r="G57" i="16"/>
  <c r="C25" i="17"/>
  <c r="Q76" i="25"/>
  <c r="AA38" i="41"/>
  <c r="N42" i="37" l="1"/>
  <c r="N62" i="22"/>
  <c r="N50" i="22"/>
  <c r="P81" i="20"/>
  <c r="Q60" i="24"/>
  <c r="P52" i="21"/>
  <c r="P56" i="21" s="1"/>
  <c r="O44" i="26"/>
  <c r="N25" i="28"/>
  <c r="N28" i="28" s="1"/>
  <c r="P70" i="21"/>
  <c r="P79" i="21" s="1"/>
  <c r="N33" i="28"/>
  <c r="Q95" i="24"/>
  <c r="P82" i="21" l="1"/>
  <c r="N37" i="28"/>
  <c r="O26" i="17"/>
  <c r="O26" i="16"/>
  <c r="R44" i="18"/>
  <c r="O105" i="17"/>
  <c r="O141" i="17"/>
  <c r="Q26" i="17" l="1"/>
  <c r="A52" i="9"/>
  <c r="V44" i="18" l="1"/>
  <c r="V36" i="18"/>
  <c r="V95" i="18"/>
  <c r="V113" i="18"/>
  <c r="V119" i="18" s="1"/>
  <c r="V136" i="18" l="1"/>
  <c r="A42" i="14" l="1"/>
  <c r="A42" i="13"/>
  <c r="A44" i="11"/>
  <c r="A44" i="10"/>
  <c r="A51" i="8"/>
  <c r="M26" i="16" l="1"/>
  <c r="M26" i="17" l="1"/>
  <c r="T99" i="20"/>
  <c r="C24" i="16" l="1"/>
  <c r="C24" i="17"/>
  <c r="AA31" i="23" l="1"/>
  <c r="AA95" i="24" l="1"/>
  <c r="Z35" i="19"/>
  <c r="Z36" i="18"/>
  <c r="Z22" i="18"/>
  <c r="Z26" i="18" s="1"/>
  <c r="Z28" i="19"/>
  <c r="Z95" i="18"/>
  <c r="AA60" i="24"/>
  <c r="AA23" i="23"/>
  <c r="Z113" i="18"/>
  <c r="Z119" i="18" s="1"/>
  <c r="AA78" i="24"/>
  <c r="AA85" i="24" s="1"/>
  <c r="Z99" i="20"/>
  <c r="Z106" i="20" s="1"/>
  <c r="AA28" i="23"/>
  <c r="Z44" i="18"/>
  <c r="AA96" i="23" l="1"/>
  <c r="Y49" i="16"/>
  <c r="Y105" i="17"/>
  <c r="Y41" i="17"/>
  <c r="Z81" i="19"/>
  <c r="Z81" i="20"/>
  <c r="Y30" i="16"/>
  <c r="Y49" i="17"/>
  <c r="Y123" i="17"/>
  <c r="Y132" i="17" s="1"/>
  <c r="Y26" i="17"/>
  <c r="AA33" i="23"/>
  <c r="AA79" i="23"/>
  <c r="AA86" i="23" s="1"/>
  <c r="Y105" i="16"/>
  <c r="AA61" i="23"/>
  <c r="Z99" i="19"/>
  <c r="Z108" i="19" s="1"/>
  <c r="Y41" i="16"/>
  <c r="B37" i="43"/>
  <c r="AD115" i="20" l="1"/>
  <c r="AC22" i="18"/>
  <c r="AC26" i="18" s="1"/>
  <c r="G28" i="9"/>
  <c r="P18" i="6"/>
  <c r="C29" i="16"/>
  <c r="C72" i="17"/>
  <c r="C81" i="17"/>
  <c r="C103" i="17"/>
  <c r="C113" i="30"/>
  <c r="AG42" i="25"/>
  <c r="P18" i="5"/>
  <c r="C23" i="16"/>
  <c r="AA39" i="27"/>
  <c r="G39" i="9"/>
  <c r="C37" i="17"/>
  <c r="AL85" i="21"/>
  <c r="AG37" i="27"/>
  <c r="AI37" i="27" s="1"/>
  <c r="AE22" i="17"/>
  <c r="F19" i="6"/>
  <c r="C155" i="30"/>
  <c r="AD42" i="25"/>
  <c r="AD46" i="25" s="1"/>
  <c r="C53" i="17"/>
  <c r="C87" i="17"/>
  <c r="C35" i="17"/>
  <c r="C33" i="17"/>
  <c r="AD60" i="24"/>
  <c r="C96" i="17"/>
  <c r="B26" i="6"/>
  <c r="C120" i="17"/>
  <c r="C99" i="17"/>
  <c r="C98" i="17"/>
  <c r="AG95" i="24"/>
  <c r="AD60" i="25"/>
  <c r="AD67" i="25" s="1"/>
  <c r="C129" i="17"/>
  <c r="AC96" i="23"/>
  <c r="P25" i="5"/>
  <c r="AE98" i="17"/>
  <c r="L37" i="15"/>
  <c r="C104" i="17"/>
  <c r="AD50" i="22"/>
  <c r="AG102" i="19"/>
  <c r="C24" i="30"/>
  <c r="E94" i="23"/>
  <c r="B19" i="6"/>
  <c r="C101" i="17"/>
  <c r="D22" i="18"/>
  <c r="AD71" i="22"/>
  <c r="AG71" i="22" s="1"/>
  <c r="C83" i="17"/>
  <c r="AD62" i="22"/>
  <c r="C53" i="16"/>
  <c r="C117" i="17"/>
  <c r="C36" i="17"/>
  <c r="C23" i="17"/>
  <c r="C66" i="17"/>
  <c r="Y123" i="16"/>
  <c r="Y132" i="16" s="1"/>
  <c r="AA65" i="23"/>
  <c r="AA89" i="23" s="1"/>
  <c r="B29" i="6" l="1"/>
  <c r="AD70" i="25"/>
  <c r="AF94" i="23"/>
  <c r="AJ95" i="24"/>
  <c r="AI22" i="18"/>
  <c r="AK22" i="18" s="1"/>
  <c r="C73" i="17"/>
  <c r="C44" i="17"/>
  <c r="C69" i="17"/>
  <c r="B21" i="5"/>
  <c r="C93" i="17"/>
  <c r="C122" i="17"/>
  <c r="C100" i="17"/>
  <c r="C121" i="17"/>
  <c r="C75" i="17"/>
  <c r="C67" i="17"/>
  <c r="AB67" i="17" s="1"/>
  <c r="C45" i="17"/>
  <c r="C48" i="17"/>
  <c r="C89" i="17"/>
  <c r="C97" i="17"/>
  <c r="B29" i="5"/>
  <c r="D113" i="18"/>
  <c r="D119" i="18" s="1"/>
  <c r="E93" i="23"/>
  <c r="C139" i="17"/>
  <c r="C113" i="17"/>
  <c r="C88" i="17"/>
  <c r="C127" i="17"/>
  <c r="C90" i="17"/>
  <c r="C78" i="17"/>
  <c r="C102" i="17"/>
  <c r="C28" i="16"/>
  <c r="AB28" i="16" s="1"/>
  <c r="C107" i="17"/>
  <c r="C94" i="17"/>
  <c r="AE139" i="17"/>
  <c r="AA50" i="3"/>
  <c r="D136" i="18"/>
  <c r="C34" i="17"/>
  <c r="C27" i="17"/>
  <c r="C51" i="17"/>
  <c r="C28" i="17"/>
  <c r="C43" i="17"/>
  <c r="C129" i="16"/>
  <c r="C71" i="17"/>
  <c r="C71" i="16"/>
  <c r="C55" i="16"/>
  <c r="C55" i="17"/>
  <c r="C91" i="17"/>
  <c r="C84" i="17"/>
  <c r="C76" i="17"/>
  <c r="D95" i="18"/>
  <c r="C63" i="17"/>
  <c r="C38" i="17"/>
  <c r="C32" i="17"/>
  <c r="C51" i="16"/>
  <c r="C29" i="17"/>
  <c r="C68" i="17"/>
  <c r="C52" i="17"/>
  <c r="C52" i="16"/>
  <c r="C77" i="17"/>
  <c r="C74" i="17"/>
  <c r="C114" i="17"/>
  <c r="C115" i="17"/>
  <c r="C26" i="17"/>
  <c r="C22" i="16"/>
  <c r="C26" i="16" s="1"/>
  <c r="D21" i="15"/>
  <c r="D25" i="15" s="1"/>
  <c r="C46" i="17"/>
  <c r="C125" i="17"/>
  <c r="C54" i="17"/>
  <c r="C119" i="17"/>
  <c r="C118" i="17"/>
  <c r="C85" i="17"/>
  <c r="V17" i="29"/>
  <c r="V17" i="28"/>
  <c r="AF93" i="23" l="1"/>
  <c r="V49" i="2"/>
  <c r="E139" i="16" s="1"/>
  <c r="C41" i="17"/>
  <c r="C57" i="17"/>
  <c r="D34" i="2"/>
  <c r="D42" i="2" s="1"/>
  <c r="D37" i="15"/>
  <c r="D46" i="15"/>
  <c r="C138" i="17"/>
  <c r="G26" i="17"/>
  <c r="G30" i="17" s="1"/>
  <c r="G26" i="16"/>
  <c r="G30" i="16" s="1"/>
  <c r="G41" i="17"/>
  <c r="G41" i="16"/>
  <c r="G49" i="17"/>
  <c r="G105" i="17"/>
  <c r="G49" i="16"/>
  <c r="AB81" i="19"/>
  <c r="AB35" i="19"/>
  <c r="AB28" i="19"/>
  <c r="AB139" i="16" l="1"/>
  <c r="D57" i="15"/>
  <c r="AB37" i="19"/>
  <c r="AB85" i="19" s="1"/>
  <c r="G105" i="16"/>
  <c r="G123" i="16"/>
  <c r="G132" i="16" s="1"/>
  <c r="G59" i="17"/>
  <c r="G109" i="17" s="1"/>
  <c r="G135" i="17" s="1"/>
  <c r="G145" i="17" s="1"/>
  <c r="G59" i="16"/>
  <c r="G109" i="16" l="1"/>
  <c r="G135" i="16" s="1"/>
  <c r="AJ78" i="20" l="1"/>
  <c r="J70" i="21"/>
  <c r="J79" i="21" s="1"/>
  <c r="I34" i="10"/>
  <c r="P32" i="6"/>
  <c r="L25" i="37"/>
  <c r="L17" i="28"/>
  <c r="L20" i="22"/>
  <c r="L29" i="22" s="1"/>
  <c r="Q78" i="24"/>
  <c r="Q85" i="24" s="1"/>
  <c r="Q30" i="24"/>
  <c r="H25" i="29" l="1"/>
  <c r="J88" i="21"/>
  <c r="I26" i="17" l="1"/>
  <c r="I26" i="16"/>
  <c r="AB95" i="16"/>
  <c r="AH95" i="16" s="1"/>
  <c r="AJ95" i="16" s="1"/>
  <c r="AJ21" i="24"/>
  <c r="AL21" i="24" s="1"/>
  <c r="V50" i="22"/>
  <c r="V62" i="22"/>
  <c r="V33" i="29"/>
  <c r="V25" i="28"/>
  <c r="V28" i="28" s="1"/>
  <c r="V25" i="29"/>
  <c r="V28" i="29" s="1"/>
  <c r="P28" i="20"/>
  <c r="R50" i="2" l="1"/>
  <c r="L44" i="18"/>
  <c r="L113" i="18"/>
  <c r="L119" i="18" s="1"/>
  <c r="L26" i="18"/>
  <c r="L36" i="18"/>
  <c r="AL71" i="19"/>
  <c r="N70" i="21"/>
  <c r="N79" i="21" s="1"/>
  <c r="L25" i="29"/>
  <c r="L28" i="27"/>
  <c r="M23" i="26"/>
  <c r="O78" i="24"/>
  <c r="O85" i="24" s="1"/>
  <c r="L50" i="22"/>
  <c r="M33" i="26"/>
  <c r="L19" i="27"/>
  <c r="O30" i="24"/>
  <c r="L17" i="29"/>
  <c r="O27" i="24"/>
  <c r="L25" i="28"/>
  <c r="L28" i="28" s="1"/>
  <c r="N52" i="21"/>
  <c r="N56" i="21" s="1"/>
  <c r="V33" i="28"/>
  <c r="V37" i="28" s="1"/>
  <c r="V20" i="22"/>
  <c r="V71" i="22"/>
  <c r="V37" i="29"/>
  <c r="V29" i="22" l="1"/>
  <c r="N82" i="21"/>
  <c r="K26" i="16"/>
  <c r="H35" i="3"/>
  <c r="H43" i="3" s="1"/>
  <c r="L54" i="18"/>
  <c r="L99" i="18" s="1"/>
  <c r="AG48" i="22"/>
  <c r="G30" i="24"/>
  <c r="AE102" i="17"/>
  <c r="AK89" i="18"/>
  <c r="M30" i="16"/>
  <c r="L28" i="29"/>
  <c r="M37" i="26"/>
  <c r="M49" i="26" s="1"/>
  <c r="L32" i="27"/>
  <c r="M123" i="17"/>
  <c r="M30" i="17"/>
  <c r="L54" i="22"/>
  <c r="M41" i="17"/>
  <c r="M49" i="17"/>
  <c r="N28" i="19"/>
  <c r="M105" i="17"/>
  <c r="N81" i="20"/>
  <c r="L25" i="15"/>
  <c r="AG13" i="19" l="1"/>
  <c r="M49" i="16"/>
  <c r="L57" i="15"/>
  <c r="F28" i="19"/>
  <c r="H15" i="2" s="1"/>
  <c r="F35" i="19"/>
  <c r="H16" i="2" s="1"/>
  <c r="G23" i="23"/>
  <c r="P15" i="2" s="1"/>
  <c r="G28" i="23"/>
  <c r="P16" i="2" s="1"/>
  <c r="Y59" i="16"/>
  <c r="Y109" i="16" s="1"/>
  <c r="Y135" i="16" s="1"/>
  <c r="M105" i="16"/>
  <c r="M123" i="16"/>
  <c r="M59" i="17"/>
  <c r="M141" i="17"/>
  <c r="N85" i="20"/>
  <c r="N109" i="20" s="1"/>
  <c r="L34" i="2"/>
  <c r="Z54" i="18" l="1"/>
  <c r="Z99" i="18" s="1"/>
  <c r="Z122" i="18" s="1"/>
  <c r="G79" i="23"/>
  <c r="G86" i="23" s="1"/>
  <c r="G61" i="23"/>
  <c r="P18" i="2" s="1"/>
  <c r="G31" i="23"/>
  <c r="P17" i="2" s="1"/>
  <c r="F99" i="19"/>
  <c r="F108" i="19" s="1"/>
  <c r="G33" i="23" l="1"/>
  <c r="G65" i="23" s="1"/>
  <c r="G89" i="23" s="1"/>
  <c r="F81" i="19"/>
  <c r="H18" i="2" s="1"/>
  <c r="N57" i="2" l="1"/>
  <c r="S31" i="23"/>
  <c r="I22" i="39"/>
  <c r="I47" i="39"/>
  <c r="I38" i="39"/>
  <c r="I28" i="39"/>
  <c r="I30" i="39" l="1"/>
  <c r="I50" i="39" l="1"/>
  <c r="I52" i="39" s="1"/>
  <c r="C46" i="16"/>
  <c r="X115" i="20" l="1"/>
  <c r="X119" i="20" s="1"/>
  <c r="I46" i="40"/>
  <c r="I48" i="40" s="1"/>
  <c r="D48" i="40" l="1"/>
  <c r="F12" i="40" s="1"/>
  <c r="F48" i="40" s="1"/>
  <c r="E59" i="23"/>
  <c r="AF59" i="23" s="1"/>
  <c r="E60" i="23"/>
  <c r="AF60" i="23" s="1"/>
  <c r="AD54" i="19"/>
  <c r="C34" i="16" l="1"/>
  <c r="C102" i="16"/>
  <c r="AB102" i="16" s="1"/>
  <c r="AD21" i="19"/>
  <c r="E52" i="23"/>
  <c r="AF52" i="23" s="1"/>
  <c r="AK67" i="18"/>
  <c r="E70" i="23"/>
  <c r="E49" i="23"/>
  <c r="AE35" i="17"/>
  <c r="E58" i="23"/>
  <c r="E30" i="23"/>
  <c r="P23" i="6"/>
  <c r="C101" i="16"/>
  <c r="AC54" i="18"/>
  <c r="AC99" i="18" s="1"/>
  <c r="AG22" i="19"/>
  <c r="AI67" i="18"/>
  <c r="E22" i="23"/>
  <c r="E77" i="23"/>
  <c r="AE94" i="17"/>
  <c r="E26" i="23"/>
  <c r="AJ19" i="25"/>
  <c r="F30" i="2"/>
  <c r="AD28" i="20"/>
  <c r="G24" i="12"/>
  <c r="C81" i="16"/>
  <c r="AC113" i="18"/>
  <c r="AC119" i="18" s="1"/>
  <c r="C94" i="16"/>
  <c r="C103" i="16"/>
  <c r="AI43" i="23"/>
  <c r="AI74" i="23"/>
  <c r="E63" i="23"/>
  <c r="C72" i="16"/>
  <c r="P35" i="5"/>
  <c r="E69" i="23"/>
  <c r="E74" i="23"/>
  <c r="I25" i="10"/>
  <c r="C67" i="16"/>
  <c r="E25" i="23"/>
  <c r="C83" i="16"/>
  <c r="E57" i="23"/>
  <c r="E43" i="23"/>
  <c r="AF43" i="23" s="1"/>
  <c r="E20" i="23"/>
  <c r="E27" i="23"/>
  <c r="E54" i="23"/>
  <c r="E21" i="23"/>
  <c r="AJ33" i="25"/>
  <c r="E81" i="23"/>
  <c r="AC79" i="23"/>
  <c r="AC86" i="23" s="1"/>
  <c r="AC61" i="23"/>
  <c r="AC31" i="23"/>
  <c r="AC28" i="23"/>
  <c r="AC23" i="23"/>
  <c r="AF22" i="23" l="1"/>
  <c r="AF21" i="23"/>
  <c r="AF63" i="23"/>
  <c r="AF20" i="23"/>
  <c r="AC122" i="18"/>
  <c r="AC140" i="18" s="1"/>
  <c r="AF27" i="23"/>
  <c r="P46" i="15"/>
  <c r="P55" i="15"/>
  <c r="C54" i="16"/>
  <c r="C57" i="16" s="1"/>
  <c r="J50" i="2"/>
  <c r="C45" i="16"/>
  <c r="C35" i="16"/>
  <c r="AB35" i="16" s="1"/>
  <c r="C37" i="16"/>
  <c r="C32" i="16"/>
  <c r="AD101" i="19"/>
  <c r="C43" i="16"/>
  <c r="C87" i="16"/>
  <c r="C33" i="16"/>
  <c r="C38" i="16"/>
  <c r="C114" i="16"/>
  <c r="C100" i="16"/>
  <c r="C118" i="16"/>
  <c r="C48" i="16"/>
  <c r="C125" i="16"/>
  <c r="C44" i="16"/>
  <c r="C36" i="16"/>
  <c r="AD51" i="19"/>
  <c r="C75" i="16"/>
  <c r="AD60" i="19"/>
  <c r="E105" i="16"/>
  <c r="E105" i="17"/>
  <c r="AB23" i="16"/>
  <c r="E41" i="16"/>
  <c r="E41" i="17"/>
  <c r="E123" i="17"/>
  <c r="E132" i="17" s="1"/>
  <c r="E123" i="16"/>
  <c r="AB24" i="17"/>
  <c r="E49" i="17"/>
  <c r="E42" i="23"/>
  <c r="E82" i="23"/>
  <c r="C68" i="16"/>
  <c r="C104" i="16"/>
  <c r="C74" i="16"/>
  <c r="C91" i="16"/>
  <c r="C89" i="16"/>
  <c r="C88" i="16"/>
  <c r="E51" i="23"/>
  <c r="E73" i="23"/>
  <c r="E45" i="23"/>
  <c r="E41" i="23"/>
  <c r="C73" i="16" s="1"/>
  <c r="C63" i="16"/>
  <c r="D28" i="19"/>
  <c r="C98" i="16"/>
  <c r="D35" i="19"/>
  <c r="E56" i="23"/>
  <c r="E44" i="23"/>
  <c r="C77" i="16" s="1"/>
  <c r="E76" i="23"/>
  <c r="E39" i="23"/>
  <c r="C66" i="16" s="1"/>
  <c r="E84" i="23"/>
  <c r="AF84" i="23" s="1"/>
  <c r="E71" i="23"/>
  <c r="E37" i="23"/>
  <c r="C64" i="16" s="1"/>
  <c r="E50" i="23"/>
  <c r="E46" i="23"/>
  <c r="AF46" i="23" s="1"/>
  <c r="E83" i="23"/>
  <c r="C69" i="16"/>
  <c r="E55" i="23"/>
  <c r="C99" i="16"/>
  <c r="E78" i="23"/>
  <c r="E75" i="23"/>
  <c r="C93" i="16"/>
  <c r="C76" i="16"/>
  <c r="E47" i="23"/>
  <c r="AD43" i="19"/>
  <c r="AD102" i="19"/>
  <c r="AC33" i="23"/>
  <c r="AC65" i="23" s="1"/>
  <c r="AC89" i="23" s="1"/>
  <c r="AC101" i="23" s="1"/>
  <c r="C78" i="16" l="1"/>
  <c r="AF45" i="23"/>
  <c r="AF75" i="23"/>
  <c r="C41" i="16"/>
  <c r="AF78" i="23"/>
  <c r="D37" i="19"/>
  <c r="H46" i="15"/>
  <c r="H37" i="15"/>
  <c r="C117" i="16"/>
  <c r="C120" i="16"/>
  <c r="C127" i="16"/>
  <c r="C126" i="16"/>
  <c r="AF92" i="23"/>
  <c r="AF96" i="23" s="1"/>
  <c r="P51" i="2"/>
  <c r="C121" i="16"/>
  <c r="C113" i="16"/>
  <c r="C107" i="16"/>
  <c r="C97" i="16"/>
  <c r="AB22" i="17"/>
  <c r="E26" i="17"/>
  <c r="E30" i="17" s="1"/>
  <c r="E59" i="17" s="1"/>
  <c r="E109" i="17" s="1"/>
  <c r="AB22" i="16"/>
  <c r="E26" i="16"/>
  <c r="AB26" i="16" s="1"/>
  <c r="C90" i="16"/>
  <c r="C115" i="16"/>
  <c r="C96" i="16"/>
  <c r="C130" i="16"/>
  <c r="C84" i="16"/>
  <c r="C119" i="16"/>
  <c r="C85" i="16"/>
  <c r="C122" i="16"/>
  <c r="Z33" i="37"/>
  <c r="Z44" i="37" s="1"/>
  <c r="E132" i="16"/>
  <c r="D81" i="19"/>
  <c r="C141" i="17"/>
  <c r="D99" i="19"/>
  <c r="D108" i="19" s="1"/>
  <c r="D117" i="19"/>
  <c r="C123" i="17"/>
  <c r="C132" i="17" s="1"/>
  <c r="D20" i="33"/>
  <c r="E30" i="16" l="1"/>
  <c r="E59" i="16" s="1"/>
  <c r="E109" i="16" s="1"/>
  <c r="E135" i="16" s="1"/>
  <c r="E135" i="17"/>
  <c r="D85" i="19"/>
  <c r="D111" i="19" s="1"/>
  <c r="D121" i="19" s="1"/>
  <c r="P20" i="22"/>
  <c r="P29" i="22" s="1"/>
  <c r="H29" i="36"/>
  <c r="AB33" i="16" l="1"/>
  <c r="N37" i="19"/>
  <c r="B34" i="6"/>
  <c r="B39" i="6" s="1"/>
  <c r="AE107" i="17"/>
  <c r="P50" i="22"/>
  <c r="P71" i="22"/>
  <c r="R52" i="21"/>
  <c r="R56" i="21" s="1"/>
  <c r="A6" i="34"/>
  <c r="F34" i="6" l="1"/>
  <c r="S23" i="23"/>
  <c r="AA49" i="3"/>
  <c r="G30" i="9"/>
  <c r="R35" i="19"/>
  <c r="S28" i="23"/>
  <c r="L51" i="2"/>
  <c r="S61" i="23"/>
  <c r="A6" i="37"/>
  <c r="T9" i="37"/>
  <c r="B9" i="37"/>
  <c r="A5" i="44" l="1"/>
  <c r="A5" i="45" s="1"/>
  <c r="A6" i="38"/>
  <c r="A6" i="39" s="1"/>
  <c r="B6" i="40" s="1"/>
  <c r="S33" i="23"/>
  <c r="S65" i="23" s="1"/>
  <c r="R99" i="19"/>
  <c r="R108" i="19" s="1"/>
  <c r="R81"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B15" i="6"/>
  <c r="N15" i="5"/>
  <c r="B15" i="5"/>
  <c r="L122" i="18" l="1"/>
  <c r="B37" i="5"/>
  <c r="F29" i="15"/>
  <c r="AI51" i="23"/>
  <c r="AG17" i="19"/>
  <c r="AI86" i="18"/>
  <c r="AK86" i="18" s="1"/>
  <c r="AI56" i="23"/>
  <c r="AI60" i="23"/>
  <c r="AD99" i="20"/>
  <c r="AD106" i="20" s="1"/>
  <c r="AI26" i="23"/>
  <c r="AD35" i="20"/>
  <c r="AD37" i="20" s="1"/>
  <c r="Q49" i="17" l="1"/>
  <c r="Q33" i="26"/>
  <c r="P88" i="21"/>
  <c r="P92" i="21" s="1"/>
  <c r="Q41" i="17"/>
  <c r="N71" i="22"/>
  <c r="F29" i="5"/>
  <c r="V34" i="15"/>
  <c r="Q22" i="24"/>
  <c r="R26" i="18"/>
  <c r="F26" i="6"/>
  <c r="F29" i="6" s="1"/>
  <c r="F39" i="6" s="1"/>
  <c r="F37" i="5"/>
  <c r="AF57" i="23"/>
  <c r="M26" i="42" l="1"/>
  <c r="J17" i="33"/>
  <c r="G43" i="34"/>
  <c r="M43" i="34" s="1"/>
  <c r="M109" i="17"/>
  <c r="Q105" i="17"/>
  <c r="R88" i="21"/>
  <c r="R117" i="19"/>
  <c r="R85" i="19"/>
  <c r="R111" i="19" s="1"/>
  <c r="Q123" i="17"/>
  <c r="Q132" i="17" s="1"/>
  <c r="Q123" i="16"/>
  <c r="Q49" i="16"/>
  <c r="R121" i="19" l="1"/>
  <c r="Q141" i="17"/>
  <c r="AD17" i="29" l="1"/>
  <c r="AA17" i="28"/>
  <c r="AD25" i="29"/>
  <c r="AA25" i="28"/>
  <c r="AD33" i="29"/>
  <c r="AD76" i="25" l="1"/>
  <c r="AF58" i="23"/>
  <c r="AA28" i="27"/>
  <c r="AB44" i="26"/>
  <c r="AD27" i="24"/>
  <c r="AA19" i="27"/>
  <c r="AF77" i="23"/>
  <c r="AD30" i="24"/>
  <c r="AD81" i="20"/>
  <c r="AB33" i="26"/>
  <c r="AF56" i="23"/>
  <c r="AD52" i="21"/>
  <c r="AD56" i="21" s="1"/>
  <c r="AD22" i="24"/>
  <c r="AF41" i="23"/>
  <c r="AD70" i="21"/>
  <c r="AD79" i="21" s="1"/>
  <c r="AF44" i="23"/>
  <c r="AF69" i="23"/>
  <c r="AD78" i="24"/>
  <c r="AD85" i="24" s="1"/>
  <c r="AB23" i="26"/>
  <c r="AF74" i="23"/>
  <c r="AF30" i="23"/>
  <c r="AF31" i="23" s="1"/>
  <c r="AF54" i="23"/>
  <c r="AF49" i="23"/>
  <c r="AF39" i="23"/>
  <c r="AF51" i="23"/>
  <c r="AF76" i="23"/>
  <c r="AF42" i="23"/>
  <c r="AD28" i="29"/>
  <c r="AF55" i="23"/>
  <c r="AA28" i="28"/>
  <c r="H42" i="37"/>
  <c r="F42" i="37"/>
  <c r="D42" i="37"/>
  <c r="B42" i="37"/>
  <c r="H33" i="37"/>
  <c r="F33" i="37"/>
  <c r="D33" i="37"/>
  <c r="B33" i="37"/>
  <c r="H25" i="37"/>
  <c r="F25" i="37"/>
  <c r="D25" i="37"/>
  <c r="B25" i="37"/>
  <c r="AD37" i="29" l="1"/>
  <c r="AD80" i="25"/>
  <c r="AD82" i="21"/>
  <c r="AB37" i="26"/>
  <c r="AB49" i="26" s="1"/>
  <c r="AD85" i="20"/>
  <c r="AD109" i="20" s="1"/>
  <c r="AA32" i="27"/>
  <c r="AA44" i="27" s="1"/>
  <c r="N99" i="19"/>
  <c r="N108" i="19" s="1"/>
  <c r="AD32" i="24"/>
  <c r="AD64" i="24" s="1"/>
  <c r="AF26" i="23"/>
  <c r="AF50" i="23"/>
  <c r="AF81" i="23"/>
  <c r="AF47" i="23"/>
  <c r="AF70" i="23"/>
  <c r="AF73" i="23"/>
  <c r="AF71" i="23"/>
  <c r="AF83" i="23"/>
  <c r="AF82" i="23"/>
  <c r="D44" i="37"/>
  <c r="H44" i="37"/>
  <c r="F44" i="37"/>
  <c r="B44" i="37"/>
  <c r="AD88" i="24" l="1"/>
  <c r="AD100" i="24" s="1"/>
  <c r="AB99" i="19"/>
  <c r="N85" i="19" l="1"/>
  <c r="N111"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I78" i="24"/>
  <c r="I85" i="24" s="1"/>
  <c r="G78" i="24"/>
  <c r="G85" i="24" s="1"/>
  <c r="E78" i="24"/>
  <c r="E85" i="24" s="1"/>
  <c r="G60" i="24"/>
  <c r="E60" i="24"/>
  <c r="I30" i="24"/>
  <c r="E30" i="24"/>
  <c r="I27" i="24"/>
  <c r="G27" i="24"/>
  <c r="E27" i="24"/>
  <c r="I22" i="24"/>
  <c r="G22" i="24"/>
  <c r="E22" i="24"/>
  <c r="K31" i="23"/>
  <c r="I31" i="23"/>
  <c r="E31" i="23"/>
  <c r="K28" i="23"/>
  <c r="H62" i="22"/>
  <c r="F62" i="22"/>
  <c r="D62" i="22"/>
  <c r="B62" i="22"/>
  <c r="H50" i="22"/>
  <c r="F50" i="22"/>
  <c r="D50" i="22"/>
  <c r="L18" i="2" s="1"/>
  <c r="B50" i="22"/>
  <c r="H20" i="22"/>
  <c r="H29" i="22" s="1"/>
  <c r="F20" i="22"/>
  <c r="F29" i="22" s="1"/>
  <c r="D20" i="22"/>
  <c r="B20" i="22"/>
  <c r="H70" i="21"/>
  <c r="H79" i="21" s="1"/>
  <c r="F70" i="21"/>
  <c r="F79" i="21" s="1"/>
  <c r="D70" i="21"/>
  <c r="D79" i="21" s="1"/>
  <c r="J52" i="21"/>
  <c r="J56" i="21" s="1"/>
  <c r="J82" i="21" s="1"/>
  <c r="H52" i="21"/>
  <c r="H56" i="21" s="1"/>
  <c r="F52" i="21"/>
  <c r="F56" i="21" s="1"/>
  <c r="D52" i="21"/>
  <c r="D56" i="21" s="1"/>
  <c r="H99" i="20"/>
  <c r="H106" i="20" s="1"/>
  <c r="F99" i="20"/>
  <c r="F106" i="20" s="1"/>
  <c r="D99" i="20"/>
  <c r="D106" i="20" s="1"/>
  <c r="H81" i="20"/>
  <c r="F81" i="20"/>
  <c r="H19" i="3" s="1"/>
  <c r="D81" i="20"/>
  <c r="H35" i="20"/>
  <c r="F35" i="20"/>
  <c r="H17" i="3" s="1"/>
  <c r="D35" i="20"/>
  <c r="H28" i="20"/>
  <c r="F28" i="20"/>
  <c r="H16" i="3" s="1"/>
  <c r="D28" i="20"/>
  <c r="G111" i="19"/>
  <c r="J35" i="19"/>
  <c r="H35" i="19"/>
  <c r="J113" i="18"/>
  <c r="J119" i="18" s="1"/>
  <c r="H113" i="18"/>
  <c r="H119" i="18" s="1"/>
  <c r="F113" i="18"/>
  <c r="F119" i="18" s="1"/>
  <c r="J95" i="18"/>
  <c r="H95" i="18"/>
  <c r="F95" i="18"/>
  <c r="D18" i="2" s="1"/>
  <c r="D19" i="3" s="1"/>
  <c r="J44" i="18"/>
  <c r="H44" i="18"/>
  <c r="F44" i="18"/>
  <c r="D16" i="2" s="1"/>
  <c r="D17" i="3" s="1"/>
  <c r="D44" i="18"/>
  <c r="J36" i="18"/>
  <c r="H36" i="18"/>
  <c r="F36" i="18"/>
  <c r="D15" i="2" s="1"/>
  <c r="D16" i="3" s="1"/>
  <c r="D36" i="18"/>
  <c r="J26" i="18"/>
  <c r="H26" i="18"/>
  <c r="F26" i="18"/>
  <c r="D14" i="2" s="1"/>
  <c r="D15" i="3" s="1"/>
  <c r="D29" i="22" l="1"/>
  <c r="D54" i="22" s="1"/>
  <c r="D65" i="22" s="1"/>
  <c r="L15" i="2"/>
  <c r="B29" i="22"/>
  <c r="B54" i="22" s="1"/>
  <c r="B65" i="22" s="1"/>
  <c r="H82" i="21"/>
  <c r="F82" i="21"/>
  <c r="H37" i="20"/>
  <c r="H85" i="20" s="1"/>
  <c r="H109" i="20" s="1"/>
  <c r="C37" i="26"/>
  <c r="C49" i="26" s="1"/>
  <c r="F37" i="20"/>
  <c r="F85" i="20" s="1"/>
  <c r="F109" i="20" s="1"/>
  <c r="D37" i="20"/>
  <c r="D85" i="20" s="1"/>
  <c r="D109" i="20" s="1"/>
  <c r="G70" i="25"/>
  <c r="I70" i="25"/>
  <c r="D28" i="29"/>
  <c r="V54" i="22"/>
  <c r="V65" i="22" s="1"/>
  <c r="V75" i="22" s="1"/>
  <c r="F28" i="29"/>
  <c r="J54" i="18"/>
  <c r="J99" i="18" s="1"/>
  <c r="J122" i="18" s="1"/>
  <c r="H54" i="22"/>
  <c r="H65" i="22" s="1"/>
  <c r="Q30" i="17"/>
  <c r="Q59" i="17" s="1"/>
  <c r="Q109" i="17" s="1"/>
  <c r="Q135" i="17" s="1"/>
  <c r="Q145" i="17" s="1"/>
  <c r="F32" i="27"/>
  <c r="H28" i="29"/>
  <c r="K70" i="25"/>
  <c r="G37" i="26"/>
  <c r="D32" i="27"/>
  <c r="I37" i="26"/>
  <c r="D28" i="28"/>
  <c r="H32" i="27"/>
  <c r="H28" i="19"/>
  <c r="H99" i="19"/>
  <c r="H108" i="19" s="1"/>
  <c r="H54" i="18"/>
  <c r="H99" i="18" s="1"/>
  <c r="H122" i="18" s="1"/>
  <c r="J81" i="19"/>
  <c r="J28" i="19"/>
  <c r="I79" i="23"/>
  <c r="I86" i="23" s="1"/>
  <c r="F54" i="18"/>
  <c r="F99" i="18" s="1"/>
  <c r="F122" i="18" s="1"/>
  <c r="H81" i="19"/>
  <c r="B32" i="27"/>
  <c r="E70" i="25"/>
  <c r="E37" i="26"/>
  <c r="E49" i="26" s="1"/>
  <c r="K23" i="23"/>
  <c r="E79" i="23"/>
  <c r="E86" i="23" s="1"/>
  <c r="J99" i="19"/>
  <c r="J108" i="19" s="1"/>
  <c r="I23" i="23"/>
  <c r="E28" i="23"/>
  <c r="H28" i="28"/>
  <c r="F54" i="22"/>
  <c r="F65" i="22" s="1"/>
  <c r="B28" i="29"/>
  <c r="B28" i="28"/>
  <c r="F28" i="28"/>
  <c r="D82" i="21"/>
  <c r="I28" i="23"/>
  <c r="G32" i="24"/>
  <c r="G64" i="24" s="1"/>
  <c r="G88" i="24" s="1"/>
  <c r="I32" i="24"/>
  <c r="I64" i="24" s="1"/>
  <c r="I88" i="24" s="1"/>
  <c r="K32" i="24"/>
  <c r="K64" i="24" s="1"/>
  <c r="K88" i="24" s="1"/>
  <c r="K100" i="24" s="1"/>
  <c r="E32" i="24"/>
  <c r="E64" i="24" s="1"/>
  <c r="E88" i="24" s="1"/>
  <c r="K79" i="23"/>
  <c r="K86" i="23" s="1"/>
  <c r="I61" i="23"/>
  <c r="E61" i="23"/>
  <c r="K61" i="23"/>
  <c r="P54" i="22" l="1"/>
  <c r="P65" i="22" s="1"/>
  <c r="P75" i="22" s="1"/>
  <c r="AB39" i="16"/>
  <c r="AH39" i="16" s="1"/>
  <c r="AJ39" i="16" s="1"/>
  <c r="J37" i="19"/>
  <c r="J85" i="19" s="1"/>
  <c r="J111" i="19" s="1"/>
  <c r="H37" i="19"/>
  <c r="H85" i="19" s="1"/>
  <c r="H111" i="19" s="1"/>
  <c r="K33" i="23"/>
  <c r="K65" i="23" s="1"/>
  <c r="I33" i="23"/>
  <c r="I65" i="23" s="1"/>
  <c r="I89" i="23" s="1"/>
  <c r="A5" i="14"/>
  <c r="A5" i="13"/>
  <c r="A5" i="12"/>
  <c r="A5" i="11"/>
  <c r="A5" i="10"/>
  <c r="A5" i="9"/>
  <c r="A5" i="8"/>
  <c r="K89" i="23" l="1"/>
  <c r="AD49" i="18"/>
  <c r="R40" i="15" l="1"/>
  <c r="K138" i="30" l="1"/>
  <c r="K136" i="30"/>
  <c r="T95" i="18" l="1"/>
  <c r="R95" i="18"/>
  <c r="O123" i="17" l="1"/>
  <c r="O132" i="17" s="1"/>
  <c r="V81" i="19"/>
  <c r="O49" i="17"/>
  <c r="I49" i="17" l="1"/>
  <c r="O41" i="17" l="1"/>
  <c r="P42" i="37" l="1"/>
  <c r="V42" i="37"/>
  <c r="U60" i="24"/>
  <c r="X42" i="37"/>
  <c r="L42" i="37"/>
  <c r="L44" i="37" s="1"/>
  <c r="X33" i="37"/>
  <c r="V33" i="37"/>
  <c r="P33" i="37"/>
  <c r="S60" i="24"/>
  <c r="R42" i="37"/>
  <c r="T42" i="37"/>
  <c r="T33" i="37"/>
  <c r="N33" i="37"/>
  <c r="N44" i="37" s="1"/>
  <c r="U23" i="23"/>
  <c r="Y141" i="17"/>
  <c r="U33" i="23" l="1"/>
  <c r="U65" i="23" s="1"/>
  <c r="U89" i="23" s="1"/>
  <c r="U101" i="23" s="1"/>
  <c r="P44" i="37"/>
  <c r="I41" i="17"/>
  <c r="I30" i="17"/>
  <c r="I30" i="16"/>
  <c r="K96" i="23"/>
  <c r="B71" i="22"/>
  <c r="T44" i="37"/>
  <c r="S41" i="16"/>
  <c r="O41" i="16"/>
  <c r="S123" i="16"/>
  <c r="S132" i="16" s="1"/>
  <c r="R25" i="37"/>
  <c r="T25" i="37"/>
  <c r="V25" i="37"/>
  <c r="X25" i="37"/>
  <c r="N25" i="37"/>
  <c r="P25" i="37"/>
  <c r="V44" i="37"/>
  <c r="O49" i="16"/>
  <c r="R44" i="37"/>
  <c r="S49" i="16"/>
  <c r="X44" i="37"/>
  <c r="AA101" i="23" l="1"/>
  <c r="AI57" i="23"/>
  <c r="AN57" i="23" s="1"/>
  <c r="I123" i="16"/>
  <c r="I132" i="16" s="1"/>
  <c r="I49" i="16"/>
  <c r="I59" i="17"/>
  <c r="I41" i="16"/>
  <c r="I96" i="23"/>
  <c r="I105" i="16"/>
  <c r="I105" i="17"/>
  <c r="I109" i="17" l="1"/>
  <c r="I135" i="17" s="1"/>
  <c r="I145" i="17" s="1"/>
  <c r="K101" i="23"/>
  <c r="I59" i="16"/>
  <c r="I109" i="16" s="1"/>
  <c r="I135" i="16" s="1"/>
  <c r="P28" i="5" l="1"/>
  <c r="J49" i="3" l="1"/>
  <c r="G25" i="11"/>
  <c r="I42" i="10"/>
  <c r="I35" i="10"/>
  <c r="I40" i="13"/>
  <c r="N28" i="15" l="1"/>
  <c r="N37" i="15" s="1"/>
  <c r="G96" i="23" l="1"/>
  <c r="G101" i="23" l="1"/>
  <c r="AA51" i="3" l="1"/>
  <c r="R34" i="11" l="1"/>
  <c r="AG30" i="19"/>
  <c r="Q30" i="16" l="1"/>
  <c r="AI55" i="23" l="1"/>
  <c r="AG54" i="19"/>
  <c r="AG60" i="19"/>
  <c r="AI52" i="23"/>
  <c r="AG56" i="19"/>
  <c r="AG24" i="19"/>
  <c r="AI50" i="23"/>
  <c r="AI71" i="23"/>
  <c r="AI58" i="23"/>
  <c r="AI49" i="23"/>
  <c r="P33" i="6"/>
  <c r="AG61" i="19"/>
  <c r="AG76" i="19"/>
  <c r="AG95" i="19"/>
  <c r="AG44" i="19"/>
  <c r="AI82" i="23"/>
  <c r="AG75" i="19"/>
  <c r="AG48" i="19"/>
  <c r="AL48" i="19" s="1"/>
  <c r="AI30" i="23"/>
  <c r="AG97" i="19"/>
  <c r="AI45" i="23"/>
  <c r="AI39" i="23"/>
  <c r="AI37" i="23"/>
  <c r="AN37" i="23" s="1"/>
  <c r="AG72" i="19"/>
  <c r="AG74" i="19"/>
  <c r="AE98" i="16" s="1"/>
  <c r="AG89" i="19"/>
  <c r="AI70" i="23"/>
  <c r="AG31" i="19"/>
  <c r="AG98" i="19"/>
  <c r="AG53" i="19"/>
  <c r="AI83" i="23"/>
  <c r="AG59" i="19"/>
  <c r="AG25" i="19"/>
  <c r="P24" i="6"/>
  <c r="AG23" i="19"/>
  <c r="AE35" i="16" s="1"/>
  <c r="AG96" i="19"/>
  <c r="AG51" i="19"/>
  <c r="P26" i="5"/>
  <c r="AG80" i="19"/>
  <c r="AG63" i="19"/>
  <c r="AG32" i="19"/>
  <c r="AG79" i="19"/>
  <c r="AI76" i="23"/>
  <c r="AG94" i="19"/>
  <c r="AG50" i="19"/>
  <c r="AG34" i="19"/>
  <c r="AG52" i="19"/>
  <c r="AI73" i="23"/>
  <c r="AI22" i="23"/>
  <c r="AI59" i="23"/>
  <c r="AI47" i="23"/>
  <c r="AN47" i="23" s="1"/>
  <c r="AE63" i="16"/>
  <c r="AI54" i="23"/>
  <c r="P20" i="5"/>
  <c r="AG101" i="19"/>
  <c r="AG33" i="19"/>
  <c r="AE46" i="16" s="1"/>
  <c r="AI69" i="23"/>
  <c r="P36" i="5"/>
  <c r="AG57" i="19"/>
  <c r="AG49" i="19"/>
  <c r="AG90" i="19"/>
  <c r="AI78" i="23"/>
  <c r="AG43" i="19"/>
  <c r="AI81" i="23"/>
  <c r="AI41" i="23"/>
  <c r="AI75" i="23"/>
  <c r="AG73" i="19"/>
  <c r="AL73" i="19" s="1"/>
  <c r="AG69" i="19"/>
  <c r="AG65" i="19"/>
  <c r="AI25" i="23"/>
  <c r="AG46" i="19"/>
  <c r="AL46" i="19" s="1"/>
  <c r="AI63" i="23"/>
  <c r="AI77" i="23"/>
  <c r="AG26" i="19"/>
  <c r="P25" i="6"/>
  <c r="AG91" i="19"/>
  <c r="AG83" i="19"/>
  <c r="AG66" i="19"/>
  <c r="P19" i="5"/>
  <c r="AG106" i="19"/>
  <c r="AE130" i="17" s="1"/>
  <c r="AG103" i="19"/>
  <c r="P27" i="5"/>
  <c r="AI42" i="23"/>
  <c r="AG64" i="19"/>
  <c r="AG78" i="19"/>
  <c r="AI44" i="23"/>
  <c r="AG93" i="19"/>
  <c r="AG77" i="19"/>
  <c r="AG45" i="19"/>
  <c r="AG67" i="19"/>
  <c r="AD54" i="22" l="1"/>
  <c r="AD65" i="22" s="1"/>
  <c r="AI96" i="23"/>
  <c r="AL96" i="23" s="1"/>
  <c r="AE87" i="16"/>
  <c r="AI31" i="23"/>
  <c r="AE54" i="16"/>
  <c r="AH130" i="17"/>
  <c r="AJ130" i="17" s="1"/>
  <c r="AE97" i="16"/>
  <c r="AL22" i="23"/>
  <c r="AN22" i="23" s="1"/>
  <c r="AE102" i="16"/>
  <c r="I26" i="13"/>
  <c r="I27" i="13" s="1"/>
  <c r="I32" i="13"/>
  <c r="I33" i="13" s="1"/>
  <c r="AD31" i="15"/>
  <c r="AI23" i="23"/>
  <c r="AI28" i="23"/>
  <c r="AI79" i="23"/>
  <c r="AI86" i="23" s="1"/>
  <c r="AI61" i="23"/>
  <c r="AD41" i="2"/>
  <c r="AD28" i="2"/>
  <c r="P26" i="6"/>
  <c r="AD30" i="2"/>
  <c r="AD33" i="2"/>
  <c r="AD29" i="2"/>
  <c r="AD25" i="2"/>
  <c r="AD38" i="2"/>
  <c r="AD36" i="2"/>
  <c r="AD32" i="2"/>
  <c r="AD37" i="2"/>
  <c r="AD24" i="2"/>
  <c r="AD31" i="2"/>
  <c r="AG70" i="19"/>
  <c r="AE138" i="17"/>
  <c r="AD19" i="2"/>
  <c r="AD48" i="2"/>
  <c r="AD26" i="2"/>
  <c r="AD51" i="2" l="1"/>
  <c r="AE138" i="16"/>
  <c r="AC103" i="23"/>
  <c r="AG81" i="19"/>
  <c r="AD18" i="2" s="1"/>
  <c r="AE94" i="16"/>
  <c r="AI33" i="23"/>
  <c r="AI65" i="23" s="1"/>
  <c r="AI89" i="23" s="1"/>
  <c r="AI101" i="23" s="1"/>
  <c r="V35" i="19"/>
  <c r="V28" i="19"/>
  <c r="V37" i="19" l="1"/>
  <c r="V85" i="19" s="1"/>
  <c r="V111" i="19" s="1"/>
  <c r="V121" i="19" s="1"/>
  <c r="F32" i="15"/>
  <c r="F34" i="15"/>
  <c r="AI63" i="18"/>
  <c r="J42" i="37"/>
  <c r="N52" i="15"/>
  <c r="N55" i="15" s="1"/>
  <c r="F33" i="15"/>
  <c r="AJ74" i="25"/>
  <c r="J44" i="37" l="1"/>
  <c r="J25" i="37"/>
  <c r="K30" i="16"/>
  <c r="L35" i="19"/>
  <c r="L81" i="19"/>
  <c r="L28" i="19"/>
  <c r="L99" i="19"/>
  <c r="L108" i="19" s="1"/>
  <c r="L37" i="19" l="1"/>
  <c r="L85" i="19" s="1"/>
  <c r="L111" i="19" s="1"/>
  <c r="M101" i="23"/>
  <c r="K123" i="16"/>
  <c r="K41" i="16"/>
  <c r="K49" i="16"/>
  <c r="K105" i="16"/>
  <c r="AB35" i="17"/>
  <c r="AH35" i="17" s="1"/>
  <c r="AJ35" i="17" s="1"/>
  <c r="AJ23" i="20"/>
  <c r="AL23" i="20" s="1"/>
  <c r="V31" i="15"/>
  <c r="K59" i="16" l="1"/>
  <c r="K109" i="16" s="1"/>
  <c r="AD23" i="19"/>
  <c r="AJ23" i="19" l="1"/>
  <c r="AL23" i="19" s="1"/>
  <c r="J31" i="15"/>
  <c r="AH35" i="16"/>
  <c r="AJ35" i="16" s="1"/>
  <c r="AE72" i="17" l="1"/>
  <c r="AJ72" i="17" s="1"/>
  <c r="AB72" i="17" l="1"/>
  <c r="AH72" i="17" s="1"/>
  <c r="AJ48" i="20" l="1"/>
  <c r="AE72" i="16" l="1"/>
  <c r="AJ72" i="16" s="1"/>
  <c r="AD48" i="19"/>
  <c r="AJ48" i="19" s="1"/>
  <c r="AB72" i="16"/>
  <c r="AH72" i="16" l="1"/>
  <c r="U95" i="24" l="1"/>
  <c r="U78" i="24"/>
  <c r="U85" i="24" s="1"/>
  <c r="U30" i="24"/>
  <c r="U27" i="24"/>
  <c r="U22" i="24"/>
  <c r="U76" i="25"/>
  <c r="U60" i="25"/>
  <c r="U67" i="25" s="1"/>
  <c r="U32" i="24" l="1"/>
  <c r="U64" i="24" l="1"/>
  <c r="U88" i="24" s="1"/>
  <c r="U100" i="24" s="1"/>
  <c r="M193" i="42" l="1"/>
  <c r="M198" i="42"/>
  <c r="V13" i="15"/>
  <c r="R13" i="15"/>
  <c r="P13" i="15"/>
  <c r="N13" i="15"/>
  <c r="L13" i="15"/>
  <c r="J13" i="15"/>
  <c r="H13" i="15"/>
  <c r="AD12" i="15"/>
  <c r="X12" i="15"/>
  <c r="R12" i="15"/>
  <c r="N12" i="15"/>
  <c r="J12" i="15"/>
  <c r="M197" i="42" l="1"/>
  <c r="AJ55" i="24"/>
  <c r="AL55" i="24" s="1"/>
  <c r="AJ38" i="25"/>
  <c r="AL56" i="23" l="1"/>
  <c r="AN56" i="23" s="1"/>
  <c r="R28" i="20" l="1"/>
  <c r="U25" i="14" l="1"/>
  <c r="V21" i="11"/>
  <c r="E22" i="8"/>
  <c r="U21" i="14"/>
  <c r="V32" i="11"/>
  <c r="V33" i="11"/>
  <c r="E32" i="10"/>
  <c r="O32" i="10" s="1"/>
  <c r="K32" i="11"/>
  <c r="V20" i="11"/>
  <c r="V22" i="11"/>
  <c r="U20" i="14"/>
  <c r="U22" i="14"/>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3" i="15"/>
  <c r="V52" i="15"/>
  <c r="V51" i="15"/>
  <c r="V50" i="15"/>
  <c r="V49" i="15"/>
  <c r="N46" i="15"/>
  <c r="V45" i="15"/>
  <c r="V43" i="15"/>
  <c r="V42" i="15"/>
  <c r="V41" i="15"/>
  <c r="V40" i="15"/>
  <c r="V33" i="15"/>
  <c r="V32" i="15"/>
  <c r="V30" i="15"/>
  <c r="V28" i="15"/>
  <c r="V24" i="15"/>
  <c r="R25" i="15"/>
  <c r="P25" i="15"/>
  <c r="N25" i="15"/>
  <c r="V55" i="15" l="1"/>
  <c r="V46" i="15"/>
  <c r="N57" i="15"/>
  <c r="AE44" i="26" l="1"/>
  <c r="J18" i="6" l="1"/>
  <c r="F16" i="15"/>
  <c r="F17" i="15"/>
  <c r="F18" i="15"/>
  <c r="F19" i="15"/>
  <c r="F22" i="15"/>
  <c r="X23" i="15"/>
  <c r="F24" i="15"/>
  <c r="F28" i="15"/>
  <c r="F30" i="15"/>
  <c r="F40" i="15"/>
  <c r="F41" i="15"/>
  <c r="F42" i="15"/>
  <c r="F43" i="15"/>
  <c r="F50" i="15"/>
  <c r="X50" i="15" s="1"/>
  <c r="F51" i="15"/>
  <c r="X51" i="15" s="1"/>
  <c r="F53" i="15"/>
  <c r="X53" i="15" s="1"/>
  <c r="X16" i="15" l="1"/>
  <c r="F21" i="15"/>
  <c r="F25" i="15" s="1"/>
  <c r="X18" i="15"/>
  <c r="X24" i="15"/>
  <c r="X19" i="15"/>
  <c r="X17" i="15"/>
  <c r="X20" i="15"/>
  <c r="X21" i="15" l="1"/>
  <c r="J33" i="28"/>
  <c r="AI131" i="18" l="1"/>
  <c r="K39" i="30" l="1"/>
  <c r="Z41" i="43"/>
  <c r="B43" i="43" l="1"/>
  <c r="B45" i="43" s="1"/>
  <c r="D12" i="43" s="1"/>
  <c r="D45" i="43" s="1"/>
  <c r="G28" i="31" l="1"/>
  <c r="AL57" i="23" l="1"/>
  <c r="M200" i="42" l="1"/>
  <c r="AJ56" i="24"/>
  <c r="AJ49" i="21" l="1"/>
  <c r="AL49" i="21" s="1"/>
  <c r="AD75" i="22" l="1"/>
  <c r="X71" i="22" l="1"/>
  <c r="X62" i="22"/>
  <c r="X50" i="22"/>
  <c r="X20" i="22"/>
  <c r="R71" i="22"/>
  <c r="R62" i="22"/>
  <c r="R50" i="22"/>
  <c r="R20" i="22"/>
  <c r="N20" i="22"/>
  <c r="N29" i="22" s="1"/>
  <c r="J71" i="22"/>
  <c r="J50" i="22"/>
  <c r="J20" i="22"/>
  <c r="J29" i="22" s="1"/>
  <c r="H71" i="22"/>
  <c r="F71" i="22"/>
  <c r="X29" i="22" l="1"/>
  <c r="X54" i="22" s="1"/>
  <c r="X65" i="22" s="1"/>
  <c r="X75" i="22" s="1"/>
  <c r="L20" i="2"/>
  <c r="T75" i="22"/>
  <c r="R29" i="22"/>
  <c r="R54" i="22" s="1"/>
  <c r="R65" i="22" s="1"/>
  <c r="R75" i="22" s="1"/>
  <c r="J54" i="22"/>
  <c r="H75" i="22"/>
  <c r="F75" i="22"/>
  <c r="P17" i="29"/>
  <c r="G25" i="14" l="1"/>
  <c r="K25" i="14" l="1"/>
  <c r="G25" i="13"/>
  <c r="G40" i="7"/>
  <c r="AN42" i="23" l="1"/>
  <c r="AJ24" i="25"/>
  <c r="AJ41" i="24"/>
  <c r="AL42" i="23" l="1"/>
  <c r="AA34" i="3" l="1"/>
  <c r="AI90" i="18" l="1"/>
  <c r="AK90" i="18" s="1"/>
  <c r="AI91" i="18"/>
  <c r="AE103" i="17"/>
  <c r="AE67" i="17"/>
  <c r="AG49" i="22" l="1"/>
  <c r="AI49" i="22" s="1"/>
  <c r="AG33" i="22"/>
  <c r="AI33" i="22" s="1"/>
  <c r="AE99" i="17" l="1"/>
  <c r="AN50" i="23" l="1"/>
  <c r="AJ32" i="25"/>
  <c r="AJ49" i="24"/>
  <c r="AL49" i="24" s="1"/>
  <c r="AL50" i="23" l="1"/>
  <c r="R81" i="20" l="1"/>
  <c r="AL25" i="23" l="1"/>
  <c r="AA42" i="25" l="1"/>
  <c r="Y42" i="25"/>
  <c r="S42" i="25"/>
  <c r="A39" i="13" l="1"/>
  <c r="A41" i="11"/>
  <c r="A41" i="10"/>
  <c r="A49" i="9"/>
  <c r="Q31" i="14" l="1"/>
  <c r="AL59" i="25"/>
  <c r="Q24" i="14"/>
  <c r="G32" i="14"/>
  <c r="R31" i="11"/>
  <c r="G33" i="11"/>
  <c r="G31" i="11"/>
  <c r="G24" i="11"/>
  <c r="AJ76" i="20"/>
  <c r="AL76" i="20" s="1"/>
  <c r="AJ64" i="20"/>
  <c r="AL64" i="20" s="1"/>
  <c r="G20" i="11"/>
  <c r="AE27" i="17"/>
  <c r="AE28" i="17"/>
  <c r="AE141" i="17"/>
  <c r="AE77" i="17"/>
  <c r="AE76" i="17"/>
  <c r="AE75" i="17"/>
  <c r="AE74" i="17"/>
  <c r="AE73" i="17"/>
  <c r="AE71" i="17"/>
  <c r="AE71" i="16"/>
  <c r="AG40" i="22"/>
  <c r="AI40" i="22" s="1"/>
  <c r="AG39" i="22"/>
  <c r="AI39" i="22" s="1"/>
  <c r="AG38" i="22"/>
  <c r="AI38" i="22" s="1"/>
  <c r="AG37" i="22"/>
  <c r="AI37" i="22" s="1"/>
  <c r="AG35" i="22"/>
  <c r="AI35" i="22" s="1"/>
  <c r="AE55" i="17"/>
  <c r="AJ55" i="17" s="1"/>
  <c r="AE54" i="17"/>
  <c r="AE55" i="16"/>
  <c r="AJ55" i="16" s="1"/>
  <c r="AE53" i="16"/>
  <c r="AE52" i="16"/>
  <c r="AE103" i="16"/>
  <c r="AE99" i="16"/>
  <c r="AE75" i="16"/>
  <c r="AE74" i="16"/>
  <c r="AE67" i="16"/>
  <c r="AG28" i="20"/>
  <c r="K33" i="11" l="1"/>
  <c r="K20" i="11"/>
  <c r="K24" i="11"/>
  <c r="G33" i="8"/>
  <c r="AD23" i="15"/>
  <c r="AH23" i="15" s="1"/>
  <c r="AJ23" i="15" s="1"/>
  <c r="AD51" i="15"/>
  <c r="AH51" i="15" s="1"/>
  <c r="AJ51" i="15" s="1"/>
  <c r="AD53" i="15"/>
  <c r="AD50" i="15"/>
  <c r="AH50" i="15" s="1"/>
  <c r="AJ50" i="15" s="1"/>
  <c r="G30" i="11"/>
  <c r="R30" i="11"/>
  <c r="AL54" i="21"/>
  <c r="R24" i="11"/>
  <c r="G24" i="14"/>
  <c r="G26" i="14"/>
  <c r="G31" i="14"/>
  <c r="AJ93" i="24"/>
  <c r="AL93" i="24" s="1"/>
  <c r="Q32" i="14"/>
  <c r="R23" i="11"/>
  <c r="N14" i="2"/>
  <c r="AE73" i="16"/>
  <c r="AE76" i="16"/>
  <c r="AG16" i="22"/>
  <c r="Q23" i="14"/>
  <c r="G20" i="12"/>
  <c r="AE77" i="16"/>
  <c r="AG36" i="22"/>
  <c r="AI36" i="22" s="1"/>
  <c r="G34" i="11"/>
  <c r="AJ31" i="21"/>
  <c r="AL31" i="21" s="1"/>
  <c r="AH53" i="15" l="1"/>
  <c r="AJ53" i="15"/>
  <c r="AI16" i="22"/>
  <c r="U32" i="14"/>
  <c r="U23" i="14"/>
  <c r="K24" i="14"/>
  <c r="G32" i="13"/>
  <c r="G31" i="13"/>
  <c r="G24" i="13"/>
  <c r="J28" i="5" l="1"/>
  <c r="J19" i="5"/>
  <c r="H14" i="5"/>
  <c r="P14" i="5" s="1"/>
  <c r="L14" i="5"/>
  <c r="F15" i="5"/>
  <c r="H15" i="5"/>
  <c r="J15" i="5"/>
  <c r="J20" i="5"/>
  <c r="P21" i="5"/>
  <c r="P29" i="5"/>
  <c r="P37" i="5"/>
  <c r="P32" i="5" l="1"/>
  <c r="P42" i="5" s="1"/>
  <c r="J27" i="5"/>
  <c r="J26" i="5"/>
  <c r="J36" i="5"/>
  <c r="J35" i="5"/>
  <c r="J25" i="5"/>
  <c r="L117" i="19"/>
  <c r="G11" i="42" l="1"/>
  <c r="J37" i="5"/>
  <c r="J29" i="5"/>
  <c r="L121" i="19" l="1"/>
  <c r="AE140" i="16" l="1"/>
  <c r="Z35" i="20"/>
  <c r="T35" i="20"/>
  <c r="R35" i="20"/>
  <c r="P35" i="20"/>
  <c r="L35" i="20"/>
  <c r="Z28" i="20"/>
  <c r="L28" i="20"/>
  <c r="AG37" i="20"/>
  <c r="AA13" i="28" l="1"/>
  <c r="M196" i="42"/>
  <c r="K201" i="42"/>
  <c r="G201" i="42"/>
  <c r="R37" i="20"/>
  <c r="P37" i="20"/>
  <c r="P85" i="20" s="1"/>
  <c r="P109" i="20" s="1"/>
  <c r="P119" i="20" s="1"/>
  <c r="T37" i="20"/>
  <c r="L37" i="20"/>
  <c r="AE104" i="17" l="1"/>
  <c r="AE101" i="17"/>
  <c r="AE100" i="17"/>
  <c r="AE97" i="17"/>
  <c r="AE96" i="17"/>
  <c r="AE93" i="17"/>
  <c r="AE91" i="17"/>
  <c r="AE85" i="17"/>
  <c r="AE90" i="17"/>
  <c r="AE89" i="17"/>
  <c r="AE88" i="17"/>
  <c r="AE84" i="17"/>
  <c r="AE83" i="17"/>
  <c r="AE81" i="17"/>
  <c r="AE80" i="17"/>
  <c r="AE78" i="17"/>
  <c r="AE69" i="17"/>
  <c r="AE68" i="17"/>
  <c r="AE66" i="17"/>
  <c r="AE64" i="17"/>
  <c r="AE33" i="17"/>
  <c r="AE38" i="17"/>
  <c r="AE36" i="17"/>
  <c r="AE48" i="17"/>
  <c r="AE44" i="17"/>
  <c r="AE129" i="17"/>
  <c r="AE126" i="17"/>
  <c r="AE127" i="17"/>
  <c r="AE125" i="17"/>
  <c r="AE122" i="17"/>
  <c r="AE121" i="17"/>
  <c r="AE120" i="17"/>
  <c r="AE119" i="17"/>
  <c r="AE118" i="17"/>
  <c r="AE117" i="17"/>
  <c r="AE115" i="17"/>
  <c r="AE114" i="17"/>
  <c r="AE113" i="17"/>
  <c r="AE64" i="16" l="1"/>
  <c r="AE63" i="17"/>
  <c r="AE123" i="17"/>
  <c r="AE132" i="17" s="1"/>
  <c r="L15" i="32" l="1"/>
  <c r="L18" i="32" s="1"/>
  <c r="G23" i="11"/>
  <c r="AF44" i="18" l="1"/>
  <c r="X44" i="18"/>
  <c r="T44" i="18"/>
  <c r="AD17" i="2" l="1"/>
  <c r="AA18" i="3"/>
  <c r="AG30" i="24"/>
  <c r="AA30" i="24"/>
  <c r="S30" i="24"/>
  <c r="M30" i="24"/>
  <c r="AG22" i="24"/>
  <c r="AA22" i="24"/>
  <c r="S22" i="24"/>
  <c r="M22" i="24"/>
  <c r="AA27" i="24"/>
  <c r="S27" i="24"/>
  <c r="Q27" i="24"/>
  <c r="Q32" i="24" s="1"/>
  <c r="M27" i="24"/>
  <c r="AE51" i="16"/>
  <c r="AE29" i="16"/>
  <c r="AE24" i="16"/>
  <c r="AE23" i="16"/>
  <c r="AE53" i="17"/>
  <c r="AE52" i="17"/>
  <c r="AE51" i="17"/>
  <c r="AE46" i="17"/>
  <c r="AE45" i="17"/>
  <c r="AE43" i="17"/>
  <c r="AE37" i="17"/>
  <c r="AE34" i="17"/>
  <c r="AE32" i="17"/>
  <c r="AE29" i="17"/>
  <c r="AE25" i="17"/>
  <c r="AE24" i="17"/>
  <c r="AH24" i="17" s="1"/>
  <c r="AE23" i="17"/>
  <c r="AJ25" i="24"/>
  <c r="AL25" i="24" s="1"/>
  <c r="AJ24" i="24"/>
  <c r="AE57" i="16" l="1"/>
  <c r="AE57" i="17"/>
  <c r="AD49" i="15"/>
  <c r="AD17" i="15"/>
  <c r="AD24" i="15"/>
  <c r="AH24" i="15" s="1"/>
  <c r="AJ24" i="15" s="1"/>
  <c r="AD18" i="15"/>
  <c r="AH18" i="15" s="1"/>
  <c r="AJ18" i="15" s="1"/>
  <c r="AD52" i="15"/>
  <c r="AD19" i="15"/>
  <c r="AH19" i="15" s="1"/>
  <c r="AJ19" i="15" s="1"/>
  <c r="AD20" i="15"/>
  <c r="AH20" i="15" s="1"/>
  <c r="AJ20" i="15" s="1"/>
  <c r="G22" i="14"/>
  <c r="AE49" i="17"/>
  <c r="AG32" i="24"/>
  <c r="C49" i="17"/>
  <c r="Q64" i="24"/>
  <c r="S32" i="24"/>
  <c r="S64" i="24" s="1"/>
  <c r="AA32" i="24"/>
  <c r="AA64" i="24" s="1"/>
  <c r="AJ29" i="24"/>
  <c r="AL29" i="24" s="1"/>
  <c r="M32" i="24"/>
  <c r="M64" i="24" s="1"/>
  <c r="AE41" i="17"/>
  <c r="C30" i="17"/>
  <c r="K22" i="14" l="1"/>
  <c r="AH17" i="15"/>
  <c r="AJ17" i="15" s="1"/>
  <c r="G22" i="13"/>
  <c r="K22" i="13" s="1"/>
  <c r="AJ30" i="24"/>
  <c r="AL30" i="24" s="1"/>
  <c r="R41" i="15"/>
  <c r="R52" i="15"/>
  <c r="R55"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7" i="16"/>
  <c r="AE93" i="16"/>
  <c r="AE69" i="16"/>
  <c r="AG115"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5" i="15"/>
  <c r="R46" i="15" s="1"/>
  <c r="AL21" i="23"/>
  <c r="AN21" i="23" s="1"/>
  <c r="R32" i="15"/>
  <c r="R34" i="15"/>
  <c r="B75" i="22"/>
  <c r="AJ42" i="25"/>
  <c r="AL42" i="25" s="1"/>
  <c r="AB27" i="16"/>
  <c r="AE27" i="16"/>
  <c r="AD22" i="15" s="1"/>
  <c r="C49" i="16"/>
  <c r="AL30" i="23"/>
  <c r="AN30" i="23" s="1"/>
  <c r="AE68" i="16"/>
  <c r="AE80" i="16"/>
  <c r="AE85" i="16"/>
  <c r="AE96" i="16"/>
  <c r="AE104" i="16"/>
  <c r="AJ30" i="20"/>
  <c r="AE78" i="16"/>
  <c r="AE84" i="16"/>
  <c r="AE33" i="16"/>
  <c r="AE38" i="16"/>
  <c r="AE45" i="16"/>
  <c r="AE66" i="16"/>
  <c r="AE83" i="16"/>
  <c r="AE89" i="16"/>
  <c r="AE32" i="16"/>
  <c r="AE37" i="16"/>
  <c r="AE44" i="16"/>
  <c r="AE100" i="16"/>
  <c r="AE34" i="16"/>
  <c r="AE90" i="16"/>
  <c r="AE81" i="16"/>
  <c r="AE88" i="16"/>
  <c r="AE91" i="16"/>
  <c r="AE101" i="16"/>
  <c r="AE36" i="16"/>
  <c r="AE48" i="16"/>
  <c r="AH44" i="15" s="1"/>
  <c r="AJ44" i="15" s="1"/>
  <c r="AD25" i="19"/>
  <c r="C59" i="17"/>
  <c r="AD24" i="19"/>
  <c r="AD34" i="19"/>
  <c r="AD26" i="19"/>
  <c r="AD22" i="19"/>
  <c r="AD33" i="19"/>
  <c r="AG35" i="19"/>
  <c r="AD16" i="2" s="1"/>
  <c r="AE43" i="16"/>
  <c r="AD32" i="19"/>
  <c r="AG117" i="19"/>
  <c r="AD30" i="19"/>
  <c r="AG99" i="19"/>
  <c r="AG108" i="19" s="1"/>
  <c r="AD31" i="19"/>
  <c r="AG28" i="19"/>
  <c r="AF28" i="23"/>
  <c r="AL26" i="23"/>
  <c r="AN26" i="23" s="1"/>
  <c r="AJ59" i="24"/>
  <c r="AL59" i="24" s="1"/>
  <c r="AJ43" i="24"/>
  <c r="AL43" i="24" s="1"/>
  <c r="AJ48" i="24"/>
  <c r="AL48" i="24" s="1"/>
  <c r="AJ46" i="24"/>
  <c r="AJ40" i="24"/>
  <c r="AL40" i="24" s="1"/>
  <c r="AJ36" i="24"/>
  <c r="AJ38" i="24"/>
  <c r="AL38" i="24" s="1"/>
  <c r="AJ17" i="20"/>
  <c r="AL17" i="20" s="1"/>
  <c r="AJ20" i="20"/>
  <c r="J15" i="3"/>
  <c r="AI50" i="18"/>
  <c r="AI48" i="18"/>
  <c r="AK48" i="18" s="1"/>
  <c r="AI47" i="18"/>
  <c r="AK47" i="18" s="1"/>
  <c r="F49" i="15"/>
  <c r="AI41" i="18"/>
  <c r="AK41" i="18" s="1"/>
  <c r="AI40" i="18"/>
  <c r="AK40" i="18" s="1"/>
  <c r="AI39" i="18"/>
  <c r="AK39" i="18" s="1"/>
  <c r="AI38" i="18"/>
  <c r="AK38" i="18" s="1"/>
  <c r="AI32" i="18"/>
  <c r="AK32" i="18" s="1"/>
  <c r="AI30" i="18"/>
  <c r="AK30" i="18" s="1"/>
  <c r="AI28" i="18"/>
  <c r="AK28" i="18" s="1"/>
  <c r="AI23" i="18"/>
  <c r="AK23" i="18" s="1"/>
  <c r="AI21" i="18"/>
  <c r="AK21" i="18" s="1"/>
  <c r="AI20" i="18"/>
  <c r="AK20" i="18" s="1"/>
  <c r="AI19" i="18"/>
  <c r="AK19" i="18" s="1"/>
  <c r="AI18" i="18"/>
  <c r="AK18" i="18" s="1"/>
  <c r="AF36" i="18"/>
  <c r="X36" i="18"/>
  <c r="T36" i="18"/>
  <c r="R36" i="18"/>
  <c r="X26" i="18"/>
  <c r="AA13" i="3"/>
  <c r="Y13" i="3"/>
  <c r="F13" i="3"/>
  <c r="F12" i="3"/>
  <c r="D13" i="3"/>
  <c r="AB104" i="17"/>
  <c r="AE105" i="17"/>
  <c r="AG52" i="21"/>
  <c r="Z52" i="21"/>
  <c r="Z56" i="21" s="1"/>
  <c r="X52" i="21"/>
  <c r="T52" i="21"/>
  <c r="T56" i="21" s="1"/>
  <c r="AG81" i="20"/>
  <c r="AG85" i="20" s="1"/>
  <c r="L81" i="20"/>
  <c r="AA46" i="25"/>
  <c r="Y46" i="25"/>
  <c r="S46" i="25"/>
  <c r="O46" i="25"/>
  <c r="AG60" i="24"/>
  <c r="L85" i="20" l="1"/>
  <c r="AD15" i="2"/>
  <c r="AA19" i="3"/>
  <c r="AE41" i="16"/>
  <c r="AG37" i="19"/>
  <c r="AG85" i="19" s="1"/>
  <c r="AG111" i="19" s="1"/>
  <c r="AG121" i="19" s="1"/>
  <c r="R54" i="18"/>
  <c r="R99" i="18" s="1"/>
  <c r="Q105" i="16" s="1"/>
  <c r="AD40" i="15"/>
  <c r="AD45" i="15"/>
  <c r="AD41" i="15"/>
  <c r="AD42" i="15"/>
  <c r="AD43" i="15"/>
  <c r="AD55" i="15"/>
  <c r="AD32" i="15"/>
  <c r="AD33" i="15"/>
  <c r="AD34" i="15"/>
  <c r="AD30" i="15"/>
  <c r="AD28" i="15"/>
  <c r="AD29" i="15"/>
  <c r="AA16" i="3"/>
  <c r="AJ33" i="19"/>
  <c r="AL33" i="19" s="1"/>
  <c r="J43" i="15"/>
  <c r="X43" i="15" s="1"/>
  <c r="AJ34" i="19"/>
  <c r="AL34" i="19" s="1"/>
  <c r="J45"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X49" i="15"/>
  <c r="AI29" i="18"/>
  <c r="AK29" i="18" s="1"/>
  <c r="AI33" i="18"/>
  <c r="AK33" i="18" s="1"/>
  <c r="AI31" i="18"/>
  <c r="X31" i="15"/>
  <c r="AH31" i="15" s="1"/>
  <c r="AJ31" i="15" s="1"/>
  <c r="AI43" i="18"/>
  <c r="F45" i="15"/>
  <c r="AI49" i="18"/>
  <c r="AK49" i="18" s="1"/>
  <c r="F52" i="15"/>
  <c r="X52" i="15" s="1"/>
  <c r="AH52" i="15" s="1"/>
  <c r="AJ52" i="15" s="1"/>
  <c r="J17" i="3"/>
  <c r="G22" i="11"/>
  <c r="J16" i="3"/>
  <c r="G21" i="11"/>
  <c r="G23" i="14"/>
  <c r="AJ35" i="20"/>
  <c r="AL35" i="20" s="1"/>
  <c r="AL30" i="20"/>
  <c r="AJ28" i="20"/>
  <c r="AL28" i="20" s="1"/>
  <c r="AL20" i="20"/>
  <c r="AG56" i="21"/>
  <c r="AL52" i="21"/>
  <c r="G20" i="10"/>
  <c r="K20" i="10" s="1"/>
  <c r="X56" i="21"/>
  <c r="AI25" i="18"/>
  <c r="AK25" i="18" s="1"/>
  <c r="AH27" i="16"/>
  <c r="AJ27" i="16" s="1"/>
  <c r="C59" i="16"/>
  <c r="AI24" i="18"/>
  <c r="AK24" i="18" s="1"/>
  <c r="AE49" i="16"/>
  <c r="AG46" i="25"/>
  <c r="AL46" i="25" s="1"/>
  <c r="X54" i="18"/>
  <c r="X99" i="18" s="1"/>
  <c r="AI46" i="18"/>
  <c r="G23" i="9"/>
  <c r="G22" i="9"/>
  <c r="T85" i="20"/>
  <c r="AG27" i="22"/>
  <c r="G23" i="12"/>
  <c r="N17" i="2"/>
  <c r="AI20" i="22"/>
  <c r="G21" i="12"/>
  <c r="N15" i="2"/>
  <c r="AD35" i="19"/>
  <c r="J16" i="2" s="1"/>
  <c r="R85" i="20"/>
  <c r="AL31" i="23"/>
  <c r="AN31" i="23" s="1"/>
  <c r="R17" i="2"/>
  <c r="R16" i="2"/>
  <c r="AG64" i="24"/>
  <c r="AL28" i="23"/>
  <c r="AN28" i="23" s="1"/>
  <c r="AE105" i="16"/>
  <c r="AJ60" i="24"/>
  <c r="AL60" i="24" s="1"/>
  <c r="AD28" i="19"/>
  <c r="AB80" i="17"/>
  <c r="AB83" i="17"/>
  <c r="AB98" i="17"/>
  <c r="AB81" i="17"/>
  <c r="AA41" i="3"/>
  <c r="AA39" i="3"/>
  <c r="AA38" i="3"/>
  <c r="AA37" i="3"/>
  <c r="AA33" i="3"/>
  <c r="AA32" i="3"/>
  <c r="AA31" i="3"/>
  <c r="AA30" i="3"/>
  <c r="AI27" i="22" l="1"/>
  <c r="AG29" i="22"/>
  <c r="AI29" i="22" s="1"/>
  <c r="AB40" i="16"/>
  <c r="AH40" i="16" s="1"/>
  <c r="AJ40" i="16" s="1"/>
  <c r="Q41" i="16"/>
  <c r="Q59" i="16" s="1"/>
  <c r="Q109" i="16" s="1"/>
  <c r="F55" i="15"/>
  <c r="AK46" i="18"/>
  <c r="AI52" i="18"/>
  <c r="AK52" i="18" s="1"/>
  <c r="G23" i="7"/>
  <c r="AJ37" i="20"/>
  <c r="AL37" i="20" s="1"/>
  <c r="J15" i="2"/>
  <c r="AD37" i="15"/>
  <c r="AH30" i="15"/>
  <c r="AJ30" i="15" s="1"/>
  <c r="AH41" i="15"/>
  <c r="AJ41" i="15" s="1"/>
  <c r="AH32" i="15"/>
  <c r="AJ32" i="15" s="1"/>
  <c r="AH43" i="15"/>
  <c r="AJ43" i="15" s="1"/>
  <c r="AH42" i="15"/>
  <c r="AJ42" i="15" s="1"/>
  <c r="AD46" i="15"/>
  <c r="G23" i="13"/>
  <c r="AI44" i="18"/>
  <c r="AJ35" i="19"/>
  <c r="AL35" i="19" s="1"/>
  <c r="J46" i="15"/>
  <c r="X40" i="15"/>
  <c r="AH40" i="15" s="1"/>
  <c r="AJ40" i="15" s="1"/>
  <c r="X33" i="15"/>
  <c r="AH33" i="15" s="1"/>
  <c r="AJ33" i="15" s="1"/>
  <c r="X34" i="15"/>
  <c r="AH34" i="15" s="1"/>
  <c r="AJ34" i="15" s="1"/>
  <c r="AJ28" i="19"/>
  <c r="AL28" i="19" s="1"/>
  <c r="J37" i="15"/>
  <c r="X28" i="15"/>
  <c r="AH28" i="15" s="1"/>
  <c r="AJ28" i="15" s="1"/>
  <c r="AI36" i="18"/>
  <c r="AH49" i="15"/>
  <c r="AJ49" i="15" s="1"/>
  <c r="X45" i="15"/>
  <c r="F46" i="15"/>
  <c r="G21" i="9"/>
  <c r="G22" i="10"/>
  <c r="K22" i="10" s="1"/>
  <c r="G20" i="9"/>
  <c r="G21" i="10"/>
  <c r="K21" i="10" s="1"/>
  <c r="X55" i="15" l="1"/>
  <c r="AH55" i="15" s="1"/>
  <c r="AJ55" i="15" s="1"/>
  <c r="K23" i="13"/>
  <c r="AH45" i="15"/>
  <c r="AJ45" i="15" s="1"/>
  <c r="X46" i="15"/>
  <c r="AH46" i="15" s="1"/>
  <c r="AJ46" i="15" s="1"/>
  <c r="F37" i="15"/>
  <c r="F57" i="15" s="1"/>
  <c r="G20" i="7"/>
  <c r="AJ113" i="20"/>
  <c r="AL113" i="20" s="1"/>
  <c r="J50" i="3"/>
  <c r="N29" i="5" l="1"/>
  <c r="AA29" i="3"/>
  <c r="AA27" i="3"/>
  <c r="AA26" i="3"/>
  <c r="AA25" i="3"/>
  <c r="AA20" i="3"/>
  <c r="AH104" i="17"/>
  <c r="AJ104" i="17" s="1"/>
  <c r="AH98" i="17"/>
  <c r="AJ98" i="17" s="1"/>
  <c r="AH83" i="17"/>
  <c r="AJ83" i="17" s="1"/>
  <c r="AH81" i="17"/>
  <c r="AJ81" i="17" s="1"/>
  <c r="AH80" i="17"/>
  <c r="AJ80" i="17" s="1"/>
  <c r="AJ51" i="21" l="1"/>
  <c r="AL51" i="21" s="1"/>
  <c r="AJ50" i="21"/>
  <c r="AL50" i="21" s="1"/>
  <c r="AJ48" i="21"/>
  <c r="AL48" i="21" s="1"/>
  <c r="AJ47" i="21"/>
  <c r="AL47" i="21" s="1"/>
  <c r="AJ46" i="21"/>
  <c r="AL46" i="21" s="1"/>
  <c r="AJ45" i="21"/>
  <c r="AL45" i="21" s="1"/>
  <c r="AJ44" i="21"/>
  <c r="AL44" i="21" s="1"/>
  <c r="AJ43" i="2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0" i="20"/>
  <c r="AL80" i="20" s="1"/>
  <c r="AJ79" i="20"/>
  <c r="AL79" i="20" s="1"/>
  <c r="AL78" i="20"/>
  <c r="AJ77" i="20"/>
  <c r="AL77" i="20" s="1"/>
  <c r="AJ75" i="20"/>
  <c r="AL75" i="20" s="1"/>
  <c r="AJ74" i="20"/>
  <c r="AL74" i="20" s="1"/>
  <c r="AJ73" i="20"/>
  <c r="AJ72" i="20"/>
  <c r="AL72" i="20" s="1"/>
  <c r="AJ70" i="20"/>
  <c r="AL70" i="20" s="1"/>
  <c r="AJ67" i="20"/>
  <c r="AL67" i="20" s="1"/>
  <c r="AJ61" i="20"/>
  <c r="AL61" i="20" s="1"/>
  <c r="AJ66" i="20"/>
  <c r="AL66" i="20" s="1"/>
  <c r="AJ65" i="20"/>
  <c r="AL65" i="20" s="1"/>
  <c r="AJ63" i="20"/>
  <c r="AL63" i="20" s="1"/>
  <c r="AJ60" i="20"/>
  <c r="AL60" i="20" s="1"/>
  <c r="AJ54" i="20"/>
  <c r="AL54" i="20" s="1"/>
  <c r="AJ53" i="20"/>
  <c r="AL53" i="20" s="1"/>
  <c r="AJ52" i="20"/>
  <c r="AL52" i="20" s="1"/>
  <c r="AJ51" i="20"/>
  <c r="AL51" i="20" s="1"/>
  <c r="AJ50" i="20"/>
  <c r="AL50" i="20" s="1"/>
  <c r="AJ49" i="20"/>
  <c r="AL49" i="20" s="1"/>
  <c r="AJ46" i="20"/>
  <c r="AJ45" i="20"/>
  <c r="AL45" i="20" s="1"/>
  <c r="AJ44" i="20"/>
  <c r="AL44" i="20" s="1"/>
  <c r="AJ43" i="20"/>
  <c r="AL43" i="20" s="1"/>
  <c r="AJ41" i="20"/>
  <c r="AL41" i="20" s="1"/>
  <c r="J117" i="19"/>
  <c r="AJ86" i="21" l="1"/>
  <c r="AL86" i="21" s="1"/>
  <c r="AL56" i="21"/>
  <c r="AJ19" i="21"/>
  <c r="AL19" i="21" s="1"/>
  <c r="AJ69" i="20"/>
  <c r="AL69" i="20" s="1"/>
  <c r="AB98" i="16"/>
  <c r="AB81" i="16"/>
  <c r="AB80" i="16"/>
  <c r="AB83" i="16"/>
  <c r="AB104" i="16"/>
  <c r="J121" i="19" l="1"/>
  <c r="AH104" i="16"/>
  <c r="AJ104" i="16" s="1"/>
  <c r="AH98" i="16"/>
  <c r="AJ98" i="16" s="1"/>
  <c r="AH83" i="16"/>
  <c r="AJ83" i="16" s="1"/>
  <c r="AH81" i="16"/>
  <c r="AJ81" i="16" s="1"/>
  <c r="AH80" i="16"/>
  <c r="AJ80" i="16" s="1"/>
  <c r="AJ52" i="21"/>
  <c r="J19" i="3"/>
  <c r="AJ81" i="20"/>
  <c r="J18" i="33" l="1"/>
  <c r="G26" i="11"/>
  <c r="G23" i="10"/>
  <c r="K23" i="10" s="1"/>
  <c r="AL81"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9"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5" i="22"/>
  <c r="AI45" i="22" s="1"/>
  <c r="AG42" i="22"/>
  <c r="AI42" i="22" s="1"/>
  <c r="U37" i="5" l="1"/>
  <c r="AG47" i="22"/>
  <c r="AI47" i="22" s="1"/>
  <c r="AL39" i="23"/>
  <c r="AN39" i="23" s="1"/>
  <c r="AL58" i="23"/>
  <c r="AN58" i="23" s="1"/>
  <c r="AL43" i="23"/>
  <c r="AN43" i="23" s="1"/>
  <c r="AL47" i="23"/>
  <c r="AL41" i="23"/>
  <c r="AN41" i="23" s="1"/>
  <c r="AL52" i="23"/>
  <c r="AN52" i="23" s="1"/>
  <c r="AL59" i="23"/>
  <c r="AN59" i="23" s="1"/>
  <c r="AL45" i="23"/>
  <c r="AN45" i="23" s="1"/>
  <c r="AH49" i="26"/>
  <c r="AJ49" i="26" s="1"/>
  <c r="U25" i="5"/>
  <c r="S29" i="5"/>
  <c r="U29" i="5" s="1"/>
  <c r="L32" i="5"/>
  <c r="L42" i="5" s="1"/>
  <c r="S21" i="5"/>
  <c r="U21" i="5" s="1"/>
  <c r="U18" i="5"/>
  <c r="AG41" i="22"/>
  <c r="AG44" i="27"/>
  <c r="AI44" i="27" s="1"/>
  <c r="S32" i="5" l="1"/>
  <c r="AG50" i="22"/>
  <c r="AI50" i="22" s="1"/>
  <c r="U32" i="5" l="1"/>
  <c r="S42" i="5"/>
  <c r="U42" i="5" s="1"/>
  <c r="U26" i="14"/>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E141" i="17"/>
  <c r="K25" i="13" l="1"/>
  <c r="E145" i="17"/>
  <c r="AA35" i="3"/>
  <c r="AA43" i="3" s="1"/>
  <c r="AJ43" i="19" l="1"/>
  <c r="AL43" i="19" s="1"/>
  <c r="AD44" i="19"/>
  <c r="AJ44" i="19" s="1"/>
  <c r="AL44" i="19" s="1"/>
  <c r="AD46" i="19"/>
  <c r="AJ46" i="19" s="1"/>
  <c r="AD50" i="19"/>
  <c r="AJ50" i="19" s="1"/>
  <c r="AL50" i="19" s="1"/>
  <c r="AJ51" i="19"/>
  <c r="AL51" i="19" s="1"/>
  <c r="AD53" i="19"/>
  <c r="AJ53" i="19" s="1"/>
  <c r="AL53" i="19" s="1"/>
  <c r="AD57" i="19"/>
  <c r="AJ57" i="19" s="1"/>
  <c r="AL57" i="19" s="1"/>
  <c r="AD64" i="19"/>
  <c r="AJ64" i="19" s="1"/>
  <c r="AL64" i="19" s="1"/>
  <c r="AD66" i="19"/>
  <c r="AJ66" i="19" s="1"/>
  <c r="AL66" i="19" s="1"/>
  <c r="AD61" i="19"/>
  <c r="AJ61" i="19" s="1"/>
  <c r="AL61" i="19" s="1"/>
  <c r="AD67" i="19"/>
  <c r="AJ67" i="19" s="1"/>
  <c r="AL67" i="19" s="1"/>
  <c r="AD70" i="19"/>
  <c r="AJ70" i="19" s="1"/>
  <c r="AL70" i="19" s="1"/>
  <c r="AD73" i="19"/>
  <c r="AJ73" i="19" s="1"/>
  <c r="AD74" i="19"/>
  <c r="AJ74" i="19" s="1"/>
  <c r="AL74" i="19" s="1"/>
  <c r="AD75" i="19"/>
  <c r="AJ75" i="19" s="1"/>
  <c r="AL75" i="19" s="1"/>
  <c r="AD77" i="19"/>
  <c r="AJ77" i="19" s="1"/>
  <c r="AL77" i="19" s="1"/>
  <c r="AD80" i="19"/>
  <c r="AJ80" i="19" s="1"/>
  <c r="AL80" i="19" s="1"/>
  <c r="AD79" i="19"/>
  <c r="AJ79" i="19" s="1"/>
  <c r="AL79" i="19" s="1"/>
  <c r="AD59" i="19"/>
  <c r="AJ59" i="19" s="1"/>
  <c r="AL59" i="19" s="1"/>
  <c r="AD49" i="19"/>
  <c r="AJ49" i="19" s="1"/>
  <c r="AL49" i="19" s="1"/>
  <c r="AD63" i="19"/>
  <c r="AJ63" i="19" s="1"/>
  <c r="AL63" i="19" s="1"/>
  <c r="AD56" i="19"/>
  <c r="AJ56" i="19" s="1"/>
  <c r="AL56" i="19" s="1"/>
  <c r="AI93" i="18"/>
  <c r="AK93" i="18" s="1"/>
  <c r="AI77" i="18"/>
  <c r="AK77" i="18" s="1"/>
  <c r="AI76" i="18"/>
  <c r="AK76" i="18" s="1"/>
  <c r="AI62" i="18"/>
  <c r="AK62" i="18" s="1"/>
  <c r="AI61" i="18"/>
  <c r="AK61" i="18" s="1"/>
  <c r="AB87" i="17" l="1"/>
  <c r="AH87" i="17" s="1"/>
  <c r="AJ87" i="17" s="1"/>
  <c r="AI64" i="18"/>
  <c r="AK64" i="18" s="1"/>
  <c r="AK63" i="18"/>
  <c r="AI82" i="18"/>
  <c r="AK82" i="18" s="1"/>
  <c r="AI85" i="18"/>
  <c r="AK85" i="18" s="1"/>
  <c r="AB87" i="16"/>
  <c r="AI94" i="18"/>
  <c r="AK94" i="18" s="1"/>
  <c r="AD78" i="19"/>
  <c r="AJ78" i="19" s="1"/>
  <c r="AL78" i="19" s="1"/>
  <c r="AD76" i="19"/>
  <c r="AJ76" i="19" s="1"/>
  <c r="AL76" i="19" s="1"/>
  <c r="AD72" i="19"/>
  <c r="AJ72" i="19" s="1"/>
  <c r="AL72" i="19" s="1"/>
  <c r="AD69" i="19"/>
  <c r="AJ69" i="19" s="1"/>
  <c r="AL69" i="19" s="1"/>
  <c r="AD65" i="19"/>
  <c r="AJ65" i="19" s="1"/>
  <c r="AL65" i="19" s="1"/>
  <c r="AJ60" i="19"/>
  <c r="AL60" i="19" s="1"/>
  <c r="AJ54" i="19"/>
  <c r="AL54" i="19" s="1"/>
  <c r="AD52" i="19"/>
  <c r="AJ52" i="19" s="1"/>
  <c r="AL52" i="19" s="1"/>
  <c r="AD45" i="19"/>
  <c r="AJ45" i="19" s="1"/>
  <c r="AL45" i="19" s="1"/>
  <c r="AD41" i="19"/>
  <c r="AI92" i="18"/>
  <c r="AK92" i="18" s="1"/>
  <c r="AI88" i="18"/>
  <c r="AK88" i="18" s="1"/>
  <c r="AI87" i="18"/>
  <c r="AI83" i="18"/>
  <c r="AK83" i="18" s="1"/>
  <c r="AI81" i="18"/>
  <c r="AK81" i="18" s="1"/>
  <c r="AI80" i="18"/>
  <c r="AK80" i="18" s="1"/>
  <c r="AI73" i="18"/>
  <c r="AK73" i="18" s="1"/>
  <c r="AI72" i="18"/>
  <c r="AK72" i="18" s="1"/>
  <c r="AI71" i="18"/>
  <c r="AK71" i="18" s="1"/>
  <c r="AI70" i="18"/>
  <c r="AK70" i="18" s="1"/>
  <c r="AI69" i="18"/>
  <c r="AK69" i="18" s="1"/>
  <c r="AI68" i="18"/>
  <c r="AK68" i="18" s="1"/>
  <c r="AI66" i="18"/>
  <c r="AK66" i="18" s="1"/>
  <c r="AI59" i="18"/>
  <c r="AK59" i="18" s="1"/>
  <c r="AI58" i="18"/>
  <c r="AK58" i="18" s="1"/>
  <c r="AD81" i="19" l="1"/>
  <c r="AH87" i="16"/>
  <c r="AJ87" i="16" s="1"/>
  <c r="C105" i="17"/>
  <c r="C109" i="17" s="1"/>
  <c r="C135" i="17" s="1"/>
  <c r="C145" i="17" s="1"/>
  <c r="C105" i="16"/>
  <c r="AJ41" i="19"/>
  <c r="AL41" i="19" s="1"/>
  <c r="AI95" i="18"/>
  <c r="AK95" i="18" s="1"/>
  <c r="G24" i="9"/>
  <c r="AJ81" i="19" l="1"/>
  <c r="F19" i="3" l="1"/>
  <c r="L50" i="3" l="1"/>
  <c r="L49" i="3"/>
  <c r="L19" i="3"/>
  <c r="L18" i="3"/>
  <c r="L16" i="3"/>
  <c r="L51" i="3" l="1"/>
  <c r="G25" i="10" l="1"/>
  <c r="L20" i="3"/>
  <c r="AG99" i="20"/>
  <c r="AG106" i="20" l="1"/>
  <c r="F15" i="6"/>
  <c r="AI127" i="18" l="1"/>
  <c r="AK127" i="18" s="1"/>
  <c r="AI128" i="18"/>
  <c r="AK128" i="18" s="1"/>
  <c r="G29" i="9"/>
  <c r="AI129" i="18"/>
  <c r="AK129" i="18" s="1"/>
  <c r="X28" i="27" l="1"/>
  <c r="J38" i="3"/>
  <c r="J34" i="3"/>
  <c r="J33" i="3"/>
  <c r="J32" i="3"/>
  <c r="J31" i="3"/>
  <c r="J30" i="3"/>
  <c r="J29" i="3"/>
  <c r="J27" i="3"/>
  <c r="J26" i="3"/>
  <c r="J25" i="3"/>
  <c r="J20" i="3" l="1"/>
  <c r="AL85" i="20"/>
  <c r="J39" i="3"/>
  <c r="J37" i="3"/>
  <c r="J35" i="3"/>
  <c r="AJ82" i="24"/>
  <c r="AL82" i="24" s="1"/>
  <c r="AJ81" i="24"/>
  <c r="AL81" i="24" s="1"/>
  <c r="AJ80" i="24"/>
  <c r="AL80" i="24" s="1"/>
  <c r="AJ77" i="24"/>
  <c r="AL77" i="24" s="1"/>
  <c r="AJ75" i="24"/>
  <c r="AL75" i="24" s="1"/>
  <c r="AJ74" i="24"/>
  <c r="AL74" i="24" s="1"/>
  <c r="AJ73" i="24"/>
  <c r="AL73" i="24" s="1"/>
  <c r="AJ72" i="24"/>
  <c r="AL72" i="24" s="1"/>
  <c r="AG76" i="25"/>
  <c r="AL76" i="25" s="1"/>
  <c r="AA76" i="25"/>
  <c r="Y76" i="25"/>
  <c r="S76" i="25"/>
  <c r="O76" i="25"/>
  <c r="M76" i="25"/>
  <c r="M80" i="25" s="1"/>
  <c r="K76" i="25"/>
  <c r="I76" i="25"/>
  <c r="G76" i="25"/>
  <c r="E76" i="25"/>
  <c r="AG60" i="25"/>
  <c r="AA60" i="25"/>
  <c r="AA67" i="25" s="1"/>
  <c r="Y60" i="25"/>
  <c r="Y67" i="25" s="1"/>
  <c r="S60" i="25"/>
  <c r="S67" i="25" s="1"/>
  <c r="AJ64" i="25"/>
  <c r="AL64" i="25" s="1"/>
  <c r="AJ63" i="25"/>
  <c r="AL63" i="25" s="1"/>
  <c r="AJ62" i="25"/>
  <c r="AL62" i="25" s="1"/>
  <c r="AJ58" i="25"/>
  <c r="AL58" i="25" s="1"/>
  <c r="AJ57" i="25"/>
  <c r="AL57" i="25" s="1"/>
  <c r="AJ56" i="25"/>
  <c r="AJ55" i="25"/>
  <c r="AJ54" i="25"/>
  <c r="AL54" i="25" s="1"/>
  <c r="AJ52" i="25"/>
  <c r="AJ50" i="25"/>
  <c r="S95" i="24"/>
  <c r="O95" i="24"/>
  <c r="M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G22" i="29"/>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2" i="31"/>
  <c r="AG78" i="24"/>
  <c r="AG85" i="24" s="1"/>
  <c r="S78" i="24"/>
  <c r="S85" i="24" s="1"/>
  <c r="M78" i="24"/>
  <c r="M85" i="24" s="1"/>
  <c r="E95" i="24"/>
  <c r="G32" i="12"/>
  <c r="G26" i="12"/>
  <c r="G30" i="12"/>
  <c r="D71" i="22"/>
  <c r="D75" i="22" s="1"/>
  <c r="AG88" i="21"/>
  <c r="AG70" i="21"/>
  <c r="Z88" i="21"/>
  <c r="X88" i="21"/>
  <c r="T88" i="21"/>
  <c r="H88" i="21"/>
  <c r="F88" i="21"/>
  <c r="D88" i="21"/>
  <c r="G29" i="11"/>
  <c r="Z115" i="20"/>
  <c r="T115" i="20"/>
  <c r="R115" i="20"/>
  <c r="N115" i="20"/>
  <c r="N119" i="20" s="1"/>
  <c r="L115" i="20"/>
  <c r="H115" i="20"/>
  <c r="F115" i="20"/>
  <c r="T106" i="20"/>
  <c r="T109" i="20" s="1"/>
  <c r="R99" i="20"/>
  <c r="R106" i="20" s="1"/>
  <c r="L99" i="20"/>
  <c r="L106" i="20" s="1"/>
  <c r="D115" i="20"/>
  <c r="Z117" i="19"/>
  <c r="N117" i="19"/>
  <c r="H117" i="19"/>
  <c r="F117" i="19"/>
  <c r="AF113" i="18"/>
  <c r="AF119" i="18" s="1"/>
  <c r="AJ76" i="25" l="1"/>
  <c r="S37" i="26"/>
  <c r="S49" i="26" s="1"/>
  <c r="E29" i="8"/>
  <c r="E31" i="10"/>
  <c r="E35" i="11"/>
  <c r="E29" i="10"/>
  <c r="E21" i="8"/>
  <c r="E32" i="8"/>
  <c r="E24" i="10"/>
  <c r="E30" i="8"/>
  <c r="E23" i="13"/>
  <c r="E25" i="13"/>
  <c r="O25" i="13" s="1"/>
  <c r="E40" i="7"/>
  <c r="K40" i="7" s="1"/>
  <c r="E21" i="13"/>
  <c r="E20" i="13"/>
  <c r="E27" i="14"/>
  <c r="E21" i="10"/>
  <c r="E24" i="13"/>
  <c r="E31" i="13"/>
  <c r="E23" i="10"/>
  <c r="E25" i="8"/>
  <c r="E24" i="8"/>
  <c r="E22" i="13"/>
  <c r="O22" i="13" s="1"/>
  <c r="E30" i="10"/>
  <c r="P26" i="11"/>
  <c r="O33" i="14"/>
  <c r="E25" i="10"/>
  <c r="E26" i="13"/>
  <c r="E33" i="10"/>
  <c r="E33" i="8"/>
  <c r="K33" i="8" s="1"/>
  <c r="E30" i="13"/>
  <c r="E33" i="14"/>
  <c r="E23" i="8"/>
  <c r="O27" i="14"/>
  <c r="P35" i="11"/>
  <c r="E34" i="10"/>
  <c r="E31" i="8"/>
  <c r="E27" i="12"/>
  <c r="E20" i="8"/>
  <c r="E26" i="11"/>
  <c r="E20" i="10"/>
  <c r="O20" i="10" s="1"/>
  <c r="E32" i="13"/>
  <c r="E22" i="10"/>
  <c r="E33" i="12"/>
  <c r="J43" i="3"/>
  <c r="Q67" i="25"/>
  <c r="J28" i="29"/>
  <c r="J37" i="29" s="1"/>
  <c r="V32" i="27"/>
  <c r="V44" i="27" s="1"/>
  <c r="T32" i="27"/>
  <c r="T44" i="27" s="1"/>
  <c r="Q37" i="26"/>
  <c r="Q49" i="26" s="1"/>
  <c r="J32" i="27"/>
  <c r="J44" i="27" s="1"/>
  <c r="Y37" i="26"/>
  <c r="Y49" i="26" s="1"/>
  <c r="R32" i="27"/>
  <c r="R44" i="27" s="1"/>
  <c r="N32" i="27"/>
  <c r="N44" i="27" s="1"/>
  <c r="X28" i="28"/>
  <c r="X37" i="28" s="1"/>
  <c r="B37" i="28"/>
  <c r="G21" i="14"/>
  <c r="R28" i="28"/>
  <c r="R37" i="28" s="1"/>
  <c r="AL99" i="20"/>
  <c r="AG79" i="21"/>
  <c r="AG82" i="21" s="1"/>
  <c r="T28" i="28"/>
  <c r="T37" i="28" s="1"/>
  <c r="G31" i="10"/>
  <c r="K31" i="10" s="1"/>
  <c r="G33" i="10"/>
  <c r="F44" i="27"/>
  <c r="H37" i="28"/>
  <c r="G24" i="10"/>
  <c r="K24" i="10" s="1"/>
  <c r="H121" i="19"/>
  <c r="E100" i="24"/>
  <c r="E80" i="25"/>
  <c r="W37" i="26"/>
  <c r="W49" i="26" s="1"/>
  <c r="T28" i="29"/>
  <c r="T37" i="29" s="1"/>
  <c r="T119" i="20"/>
  <c r="X44" i="27"/>
  <c r="P28" i="28"/>
  <c r="P37" i="28" s="1"/>
  <c r="D44" i="27"/>
  <c r="N28" i="29"/>
  <c r="N37" i="29" s="1"/>
  <c r="B37" i="29"/>
  <c r="H37" i="29"/>
  <c r="P28" i="29"/>
  <c r="P37" i="29" s="1"/>
  <c r="X28" i="29"/>
  <c r="X37" i="29" s="1"/>
  <c r="R28" i="29"/>
  <c r="R37" i="29" s="1"/>
  <c r="F37" i="29"/>
  <c r="J28" i="28"/>
  <c r="J37" i="28" s="1"/>
  <c r="G30" i="10"/>
  <c r="K30" i="10" s="1"/>
  <c r="N121" i="19"/>
  <c r="D119" i="20"/>
  <c r="AG52" i="22"/>
  <c r="G25" i="12"/>
  <c r="AG33" i="29"/>
  <c r="AI33" i="29" s="1"/>
  <c r="AG25" i="29"/>
  <c r="AI25" i="29" s="1"/>
  <c r="L109" i="20"/>
  <c r="L119" i="20" s="1"/>
  <c r="R109" i="20"/>
  <c r="R119" i="20" s="1"/>
  <c r="AJ91" i="24"/>
  <c r="AL91" i="24" s="1"/>
  <c r="J21" i="3"/>
  <c r="Q88" i="24"/>
  <c r="Q100" i="24" s="1"/>
  <c r="S88" i="24"/>
  <c r="S100" i="24" s="1"/>
  <c r="AA88" i="24"/>
  <c r="AA100" i="24" s="1"/>
  <c r="W100" i="24"/>
  <c r="M88" i="24"/>
  <c r="Y100" i="24"/>
  <c r="AJ62" i="24"/>
  <c r="AJ83" i="24"/>
  <c r="AL83" i="24" s="1"/>
  <c r="O70" i="25"/>
  <c r="O80" i="25" s="1"/>
  <c r="K80" i="25"/>
  <c r="S70" i="25"/>
  <c r="S80" i="25" s="1"/>
  <c r="AA70" i="25"/>
  <c r="AA80" i="25" s="1"/>
  <c r="Y70" i="25"/>
  <c r="Y80" i="25" s="1"/>
  <c r="AJ51" i="25"/>
  <c r="I49" i="26"/>
  <c r="K37" i="26"/>
  <c r="K49" i="26" s="1"/>
  <c r="H44" i="27"/>
  <c r="B44" i="27"/>
  <c r="D37" i="29"/>
  <c r="AG60" i="22"/>
  <c r="AI60" i="22" s="1"/>
  <c r="G31" i="12"/>
  <c r="G49" i="26"/>
  <c r="AG69" i="22"/>
  <c r="AI69" i="22" s="1"/>
  <c r="AG68" i="22"/>
  <c r="AI68" i="22" s="1"/>
  <c r="F37" i="28"/>
  <c r="H119" i="20"/>
  <c r="I101" i="23"/>
  <c r="AJ65" i="25"/>
  <c r="AL65" i="25" s="1"/>
  <c r="I80" i="25"/>
  <c r="AJ70" i="24"/>
  <c r="AL70" i="24" s="1"/>
  <c r="I100" i="24"/>
  <c r="AJ19" i="24"/>
  <c r="AL19" i="24" s="1"/>
  <c r="AJ26" i="24"/>
  <c r="AL26" i="24" s="1"/>
  <c r="AJ92" i="24"/>
  <c r="AL92" i="24" s="1"/>
  <c r="AJ20" i="24"/>
  <c r="AL20" i="24" s="1"/>
  <c r="D37" i="28"/>
  <c r="AJ76" i="24"/>
  <c r="AL76" i="24" s="1"/>
  <c r="AJ69" i="24"/>
  <c r="AL69" i="24" s="1"/>
  <c r="G100" i="24"/>
  <c r="AJ68" i="24"/>
  <c r="AL68" i="24" s="1"/>
  <c r="AJ59" i="25"/>
  <c r="Q30" i="14"/>
  <c r="G80" i="25"/>
  <c r="AJ44" i="25"/>
  <c r="AL44" i="25" s="1"/>
  <c r="AG58" i="22"/>
  <c r="AI58" i="22" s="1"/>
  <c r="AG109" i="20"/>
  <c r="AG119" i="20" s="1"/>
  <c r="AJ99" i="20"/>
  <c r="F119" i="20"/>
  <c r="AL106" i="20"/>
  <c r="C45" i="31"/>
  <c r="AA33" i="29"/>
  <c r="AA25" i="29"/>
  <c r="N19" i="6"/>
  <c r="N34" i="2"/>
  <c r="C101" i="30"/>
  <c r="C91" i="30"/>
  <c r="K25" i="12" l="1"/>
  <c r="K27" i="12" s="1"/>
  <c r="E22" i="7"/>
  <c r="C103" i="30"/>
  <c r="C157" i="30" s="1"/>
  <c r="AJ82" i="21"/>
  <c r="AG92" i="21"/>
  <c r="K33" i="12"/>
  <c r="E37" i="14"/>
  <c r="E40" i="14" s="1"/>
  <c r="M100" i="24"/>
  <c r="U33" i="14"/>
  <c r="U37" i="14" s="1"/>
  <c r="G32" i="7"/>
  <c r="E30" i="7"/>
  <c r="E20" i="7"/>
  <c r="E31" i="7"/>
  <c r="E37" i="12"/>
  <c r="E40" i="12" s="1"/>
  <c r="O37" i="14"/>
  <c r="O40" i="14" s="1"/>
  <c r="E35" i="10"/>
  <c r="E34" i="8"/>
  <c r="E39" i="11"/>
  <c r="E42" i="11" s="1"/>
  <c r="E24" i="7"/>
  <c r="E25" i="7"/>
  <c r="K26" i="11"/>
  <c r="K35" i="11"/>
  <c r="E29" i="7"/>
  <c r="E21" i="7"/>
  <c r="E26" i="10"/>
  <c r="E31" i="9"/>
  <c r="E43" i="9"/>
  <c r="E33" i="13"/>
  <c r="E26" i="8"/>
  <c r="P39" i="11"/>
  <c r="E33" i="7"/>
  <c r="E40" i="8"/>
  <c r="E41" i="7"/>
  <c r="E41" i="8"/>
  <c r="E42" i="7"/>
  <c r="E27" i="13"/>
  <c r="E23" i="7"/>
  <c r="K33" i="10"/>
  <c r="G33" i="7"/>
  <c r="O123" i="16"/>
  <c r="O132" i="16" s="1"/>
  <c r="AF79" i="23"/>
  <c r="AF86" i="23" s="1"/>
  <c r="G21" i="13"/>
  <c r="G22" i="7" s="1"/>
  <c r="K32" i="13"/>
  <c r="G30" i="14"/>
  <c r="G20" i="14"/>
  <c r="G35" i="11"/>
  <c r="AL60" i="25"/>
  <c r="G33" i="12"/>
  <c r="G26" i="10"/>
  <c r="G27" i="12"/>
  <c r="K24" i="13"/>
  <c r="Q27" i="14"/>
  <c r="AI71" i="22"/>
  <c r="K31" i="13"/>
  <c r="AJ46" i="25"/>
  <c r="G24" i="7"/>
  <c r="AJ27" i="24"/>
  <c r="AL27" i="24" s="1"/>
  <c r="AJ22" i="24"/>
  <c r="AL22" i="24" s="1"/>
  <c r="AG54" i="22"/>
  <c r="AI54" i="22" s="1"/>
  <c r="J46" i="3"/>
  <c r="AJ60" i="25"/>
  <c r="AJ78" i="24"/>
  <c r="AL78" i="24" s="1"/>
  <c r="AL95" i="24"/>
  <c r="AG62" i="22"/>
  <c r="AI62" i="22" s="1"/>
  <c r="AJ106" i="20"/>
  <c r="AG88" i="24"/>
  <c r="H24" i="6"/>
  <c r="AK36" i="18"/>
  <c r="G25" i="9"/>
  <c r="AI104" i="18"/>
  <c r="AK104" i="18" s="1"/>
  <c r="AI107" i="18"/>
  <c r="AK107" i="18" s="1"/>
  <c r="AI108" i="18"/>
  <c r="AK108" i="18" s="1"/>
  <c r="AI109" i="18"/>
  <c r="AK109" i="18" s="1"/>
  <c r="AI110" i="18"/>
  <c r="AK110" i="18" s="1"/>
  <c r="AI111" i="18"/>
  <c r="AK111" i="18" s="1"/>
  <c r="AI112" i="18"/>
  <c r="AK112" i="18" s="1"/>
  <c r="R113" i="18"/>
  <c r="R119" i="18" s="1"/>
  <c r="Q132" i="16" s="1"/>
  <c r="Q135" i="16" s="1"/>
  <c r="T113" i="18"/>
  <c r="AI115" i="18"/>
  <c r="AK115" i="18" s="1"/>
  <c r="G27" i="9"/>
  <c r="AI133" i="18"/>
  <c r="AK133" i="18" s="1"/>
  <c r="F136" i="18"/>
  <c r="H136" i="18"/>
  <c r="J136" i="18"/>
  <c r="L136" i="18"/>
  <c r="R136" i="18"/>
  <c r="T136" i="18"/>
  <c r="X136" i="18"/>
  <c r="Z136" i="18"/>
  <c r="Z70" i="21"/>
  <c r="Z79" i="21" s="1"/>
  <c r="X70" i="21"/>
  <c r="X79" i="21" s="1"/>
  <c r="X82" i="21" s="1"/>
  <c r="T70" i="21"/>
  <c r="T79" i="21" s="1"/>
  <c r="R70" i="21"/>
  <c r="R79" i="21" s="1"/>
  <c r="O33" i="10" l="1"/>
  <c r="G31" i="9"/>
  <c r="T82" i="21"/>
  <c r="T92" i="21" s="1"/>
  <c r="R82" i="21"/>
  <c r="K27" i="14"/>
  <c r="K33" i="14"/>
  <c r="P42" i="11"/>
  <c r="K37" i="12"/>
  <c r="G37" i="12"/>
  <c r="E39" i="10"/>
  <c r="E42" i="10" s="1"/>
  <c r="E37" i="8"/>
  <c r="E37" i="13"/>
  <c r="E47" i="9"/>
  <c r="E26" i="7"/>
  <c r="E42" i="8"/>
  <c r="E46" i="8" s="1"/>
  <c r="T119" i="18"/>
  <c r="K21" i="13"/>
  <c r="G20" i="13"/>
  <c r="G30" i="13"/>
  <c r="G27" i="14"/>
  <c r="AG100" i="24"/>
  <c r="D92" i="21"/>
  <c r="G25" i="7"/>
  <c r="Q33" i="14"/>
  <c r="Q37" i="14" s="1"/>
  <c r="AJ32" i="24"/>
  <c r="AL32" i="24" s="1"/>
  <c r="AI97" i="18"/>
  <c r="AK97" i="18" s="1"/>
  <c r="X92" i="21"/>
  <c r="N92" i="21"/>
  <c r="J92" i="21"/>
  <c r="AI132" i="18"/>
  <c r="AK132" i="18" s="1"/>
  <c r="G38" i="9"/>
  <c r="AI130" i="18"/>
  <c r="AK130" i="18" s="1"/>
  <c r="AI117" i="18"/>
  <c r="AK117" i="18" s="1"/>
  <c r="G36" i="9"/>
  <c r="AI116" i="18"/>
  <c r="AK116" i="18" s="1"/>
  <c r="G33" i="14"/>
  <c r="AK44" i="18"/>
  <c r="H92" i="21"/>
  <c r="AJ85" i="24"/>
  <c r="AL85" i="24" s="1"/>
  <c r="AI126" i="18"/>
  <c r="AK126" i="18" s="1"/>
  <c r="F92" i="21"/>
  <c r="AJ109" i="20"/>
  <c r="AL109" i="20" s="1"/>
  <c r="R122" i="18"/>
  <c r="AI103" i="18"/>
  <c r="AK103" i="18" s="1"/>
  <c r="R92" i="21" l="1"/>
  <c r="Z82" i="21"/>
  <c r="Z92" i="21" s="1"/>
  <c r="K31" i="9"/>
  <c r="F49" i="3"/>
  <c r="K30" i="13"/>
  <c r="G37" i="14"/>
  <c r="AI136" i="18"/>
  <c r="AK136" i="18" s="1"/>
  <c r="G31" i="7"/>
  <c r="G30" i="7"/>
  <c r="AJ64" i="24"/>
  <c r="AL64" i="24" s="1"/>
  <c r="AG65" i="22"/>
  <c r="AJ88" i="24"/>
  <c r="AL88" i="24" s="1"/>
  <c r="H33" i="6"/>
  <c r="H32" i="6"/>
  <c r="D33" i="6"/>
  <c r="D32" i="6"/>
  <c r="L32" i="6" l="1"/>
  <c r="S32" i="6" s="1"/>
  <c r="U32" i="6" s="1"/>
  <c r="O33" i="13"/>
  <c r="K33" i="13"/>
  <c r="G33" i="13"/>
  <c r="K20" i="13"/>
  <c r="G27" i="13"/>
  <c r="G21" i="7"/>
  <c r="AG75" i="22"/>
  <c r="AI75" i="22" s="1"/>
  <c r="AI65" i="22"/>
  <c r="AJ100" i="24"/>
  <c r="D34" i="6"/>
  <c r="L33" i="6"/>
  <c r="S33" i="6" s="1"/>
  <c r="U33" i="6" s="1"/>
  <c r="P34" i="6"/>
  <c r="J32" i="6"/>
  <c r="J33" i="6"/>
  <c r="H34" i="6"/>
  <c r="G34" i="10"/>
  <c r="K26" i="7" l="1"/>
  <c r="U34" i="6"/>
  <c r="K34" i="10"/>
  <c r="AL100" i="24"/>
  <c r="G37" i="13"/>
  <c r="G26" i="7"/>
  <c r="S34" i="6"/>
  <c r="L34" i="6"/>
  <c r="J34" i="6"/>
  <c r="G42" i="7" l="1"/>
  <c r="AE130" i="16" l="1"/>
  <c r="AJ74" i="21"/>
  <c r="AL74" i="21" s="1"/>
  <c r="AJ68" i="21"/>
  <c r="AL68" i="21" s="1"/>
  <c r="AJ95" i="20"/>
  <c r="AL95" i="20" s="1"/>
  <c r="R25" i="1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4" i="20"/>
  <c r="AL104" i="20" s="1"/>
  <c r="AJ103" i="20"/>
  <c r="AL103" i="20" s="1"/>
  <c r="AJ102" i="20"/>
  <c r="AL102" i="20" s="1"/>
  <c r="AJ101" i="20"/>
  <c r="AL101" i="20" s="1"/>
  <c r="AJ98" i="20"/>
  <c r="AL98" i="20" s="1"/>
  <c r="AJ97" i="20"/>
  <c r="AL97" i="20" s="1"/>
  <c r="AJ96" i="20"/>
  <c r="AL96" i="20" s="1"/>
  <c r="AJ94" i="20"/>
  <c r="AL94" i="20" s="1"/>
  <c r="AJ93" i="20"/>
  <c r="AL93" i="20" s="1"/>
  <c r="AJ91" i="20"/>
  <c r="AL91" i="20" s="1"/>
  <c r="AJ90" i="20"/>
  <c r="AL90" i="20" s="1"/>
  <c r="AJ89" i="20"/>
  <c r="AL89" i="20" s="1"/>
  <c r="AJ83" i="20"/>
  <c r="AL83" i="20" s="1"/>
  <c r="V25" i="11" l="1"/>
  <c r="V26" i="11" s="1"/>
  <c r="AE120" i="16"/>
  <c r="AE118" i="16"/>
  <c r="AE115" i="16"/>
  <c r="AE114" i="16"/>
  <c r="AE113" i="16"/>
  <c r="R26" i="11"/>
  <c r="AE121" i="16"/>
  <c r="AE122" i="16"/>
  <c r="AE126" i="16"/>
  <c r="AE119" i="16"/>
  <c r="AE125" i="16"/>
  <c r="AE117" i="16"/>
  <c r="AE127" i="16"/>
  <c r="AJ85" i="20"/>
  <c r="J51" i="3"/>
  <c r="J55" i="3" s="1"/>
  <c r="AD88" i="21"/>
  <c r="AL88" i="21" s="1"/>
  <c r="AJ85" i="21"/>
  <c r="AJ112" i="20"/>
  <c r="AL112" i="20" s="1"/>
  <c r="AJ60" i="21"/>
  <c r="AL60" i="21" s="1"/>
  <c r="R29" i="11"/>
  <c r="V35" i="11" l="1"/>
  <c r="K59" i="30"/>
  <c r="I26" i="10"/>
  <c r="K25" i="10"/>
  <c r="AL70" i="21"/>
  <c r="AD119" i="20"/>
  <c r="AL115" i="20"/>
  <c r="AE123" i="16"/>
  <c r="AJ88" i="21"/>
  <c r="AJ115" i="20"/>
  <c r="AJ119" i="20" s="1"/>
  <c r="G39" i="11"/>
  <c r="AL79" i="21"/>
  <c r="AJ70" i="21"/>
  <c r="O26" i="10" l="1"/>
  <c r="K26" i="10"/>
  <c r="AL119" i="20"/>
  <c r="G29" i="10"/>
  <c r="R35" i="11"/>
  <c r="R39" i="11" s="1"/>
  <c r="AJ79" i="21"/>
  <c r="AL82" i="21"/>
  <c r="K29" i="10" l="1"/>
  <c r="G35" i="10"/>
  <c r="G39" i="10" s="1"/>
  <c r="AD92" i="21"/>
  <c r="AJ92" i="21"/>
  <c r="J15" i="6"/>
  <c r="O35" i="10" l="1"/>
  <c r="O39" i="10" s="1"/>
  <c r="AL92" i="21"/>
  <c r="K35" i="10"/>
  <c r="K39"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4" i="19"/>
  <c r="AJ94" i="19" s="1"/>
  <c r="AL94" i="19" s="1"/>
  <c r="AD106" i="19"/>
  <c r="AJ106" i="19" s="1"/>
  <c r="AL106" i="19" s="1"/>
  <c r="AD97" i="19"/>
  <c r="AD91" i="19"/>
  <c r="AJ91" i="19" s="1"/>
  <c r="AL91" i="19" s="1"/>
  <c r="AD89" i="19"/>
  <c r="AD98" i="19"/>
  <c r="AJ98" i="19" s="1"/>
  <c r="AL98" i="19" s="1"/>
  <c r="AD103" i="19"/>
  <c r="AD90" i="19"/>
  <c r="J25" i="2" s="1"/>
  <c r="AD95" i="19"/>
  <c r="AJ95" i="19" s="1"/>
  <c r="AL95" i="19" s="1"/>
  <c r="AJ101" i="19"/>
  <c r="AL101" i="19" s="1"/>
  <c r="AD83" i="19"/>
  <c r="AJ102" i="19"/>
  <c r="AL102" i="19" s="1"/>
  <c r="AD96" i="19"/>
  <c r="AJ96" i="19" s="1"/>
  <c r="AL96" i="19" s="1"/>
  <c r="AJ115" i="19"/>
  <c r="AL115" i="19" s="1"/>
  <c r="AD93" i="19"/>
  <c r="AB34" i="2"/>
  <c r="AB20" i="2"/>
  <c r="V48" i="2"/>
  <c r="Z140" i="18"/>
  <c r="R140" i="18"/>
  <c r="L140" i="18"/>
  <c r="J140" i="18"/>
  <c r="H140" i="18"/>
  <c r="F140" i="18"/>
  <c r="AC12" i="18" l="1"/>
  <c r="AC142" i="18" s="1"/>
  <c r="AJ103" i="19"/>
  <c r="AL103" i="19" s="1"/>
  <c r="J38" i="2"/>
  <c r="AJ90" i="19"/>
  <c r="AL90" i="19" s="1"/>
  <c r="AJ97" i="19"/>
  <c r="AL97" i="19" s="1"/>
  <c r="J32" i="2"/>
  <c r="AJ93" i="19"/>
  <c r="AL93" i="19" s="1"/>
  <c r="AD99" i="19"/>
  <c r="C109" i="16"/>
  <c r="AL94" i="23"/>
  <c r="AN94" i="23" s="1"/>
  <c r="AJ83" i="19"/>
  <c r="AL83" i="19" s="1"/>
  <c r="AL63" i="23"/>
  <c r="AN63" i="23" s="1"/>
  <c r="AL81" i="19"/>
  <c r="AJ114" i="19"/>
  <c r="AL114" i="19" s="1"/>
  <c r="AD117" i="19"/>
  <c r="AJ89" i="19"/>
  <c r="AL89" i="19" s="1"/>
  <c r="AL84" i="23"/>
  <c r="AN84" i="23" s="1"/>
  <c r="AL71" i="23"/>
  <c r="AN71" i="23" s="1"/>
  <c r="AN96" i="23"/>
  <c r="P34" i="2"/>
  <c r="H34" i="2"/>
  <c r="H42" i="2" s="1"/>
  <c r="M199" i="42" l="1"/>
  <c r="I20" i="11"/>
  <c r="G188" i="42"/>
  <c r="AJ117" i="19"/>
  <c r="AL117" i="19" s="1"/>
  <c r="P42" i="2"/>
  <c r="AL79" i="23"/>
  <c r="AJ99" i="19"/>
  <c r="AD108" i="19"/>
  <c r="AN79" i="23" l="1"/>
  <c r="AL86" i="23"/>
  <c r="N37" i="5"/>
  <c r="AJ108" i="19"/>
  <c r="AL108" i="19" s="1"/>
  <c r="AL99" i="19"/>
  <c r="AG67" i="25"/>
  <c r="AG70" i="25" l="1"/>
  <c r="AL70" i="25" s="1"/>
  <c r="AL67" i="25"/>
  <c r="AJ67" i="25"/>
  <c r="AJ70" i="25" l="1"/>
  <c r="AG80" i="25"/>
  <c r="AL80" i="25" l="1"/>
  <c r="AJ80" i="25"/>
  <c r="E43" i="7" l="1"/>
  <c r="E34" i="7"/>
  <c r="G102" i="42" l="1"/>
  <c r="G211" i="42"/>
  <c r="G258" i="42"/>
  <c r="G206" i="42"/>
  <c r="E37" i="7"/>
  <c r="E47" i="7"/>
  <c r="G261" i="42" l="1"/>
  <c r="AD34" i="2"/>
  <c r="AD42" i="2" s="1"/>
  <c r="AE142" i="16" l="1"/>
  <c r="N26" i="6" l="1"/>
  <c r="N29" i="6" s="1"/>
  <c r="H25" i="6" l="1"/>
  <c r="H23" i="6" l="1"/>
  <c r="H26" i="6" s="1"/>
  <c r="H26" i="32" l="1"/>
  <c r="F20" i="33"/>
  <c r="F26" i="32"/>
  <c r="E28" i="31"/>
  <c r="K18" i="31"/>
  <c r="M33" i="42"/>
  <c r="G30" i="34"/>
  <c r="M30" i="34" s="1"/>
  <c r="M71" i="42"/>
  <c r="M53" i="34"/>
  <c r="M226" i="42"/>
  <c r="M53" i="42"/>
  <c r="I21" i="11"/>
  <c r="M48" i="42"/>
  <c r="I29" i="11"/>
  <c r="I20" i="12"/>
  <c r="M50" i="42"/>
  <c r="T23" i="11"/>
  <c r="T20" i="11"/>
  <c r="M81" i="42"/>
  <c r="K148" i="30"/>
  <c r="M195" i="42"/>
  <c r="O201" i="42"/>
  <c r="I22" i="9"/>
  <c r="C22" i="8"/>
  <c r="M42" i="42"/>
  <c r="I30" i="14"/>
  <c r="M32" i="42"/>
  <c r="I23" i="11"/>
  <c r="K50" i="30"/>
  <c r="S25" i="14"/>
  <c r="T34" i="11"/>
  <c r="I31" i="14"/>
  <c r="K116" i="30"/>
  <c r="M92" i="42"/>
  <c r="M48" i="34"/>
  <c r="M111" i="42"/>
  <c r="G35" i="34"/>
  <c r="M35" i="34" s="1"/>
  <c r="M238" i="42"/>
  <c r="S30" i="14"/>
  <c r="M74" i="42"/>
  <c r="J16" i="33"/>
  <c r="H20" i="33"/>
  <c r="Z12" i="37"/>
  <c r="M23" i="42"/>
  <c r="M127" i="42"/>
  <c r="I29" i="9"/>
  <c r="G39" i="34"/>
  <c r="M39" i="34" s="1"/>
  <c r="M65" i="42"/>
  <c r="I25" i="14"/>
  <c r="I41" i="9"/>
  <c r="I25" i="11"/>
  <c r="M73" i="42"/>
  <c r="I31" i="12"/>
  <c r="M51" i="42"/>
  <c r="M222" i="42"/>
  <c r="M90" i="42"/>
  <c r="S22" i="14"/>
  <c r="M45" i="42"/>
  <c r="M58" i="42"/>
  <c r="K15" i="30"/>
  <c r="I28" i="31"/>
  <c r="G23" i="34"/>
  <c r="M23" i="34" s="1"/>
  <c r="K85" i="30"/>
  <c r="M98" i="42"/>
  <c r="G21" i="34"/>
  <c r="M21" i="34" s="1"/>
  <c r="M56" i="42"/>
  <c r="M34" i="42"/>
  <c r="I39" i="9"/>
  <c r="I21" i="12"/>
  <c r="M175" i="42"/>
  <c r="I22" i="11"/>
  <c r="G50" i="34"/>
  <c r="M50" i="34" s="1"/>
  <c r="I24" i="9"/>
  <c r="M66" i="42"/>
  <c r="I20" i="14"/>
  <c r="M35" i="42"/>
  <c r="L22" i="32"/>
  <c r="I22" i="12"/>
  <c r="M27" i="42"/>
  <c r="M227" i="42"/>
  <c r="G51" i="34"/>
  <c r="M51" i="34" s="1"/>
  <c r="I38" i="9"/>
  <c r="K95" i="30"/>
  <c r="M232" i="42"/>
  <c r="M57" i="42"/>
  <c r="I34" i="11"/>
  <c r="I40" i="9"/>
  <c r="G38" i="34"/>
  <c r="M38" i="34" s="1"/>
  <c r="I24" i="11"/>
  <c r="M87" i="42"/>
  <c r="G29" i="34"/>
  <c r="M29" i="34" s="1"/>
  <c r="I20" i="9"/>
  <c r="M47" i="42"/>
  <c r="K141" i="30"/>
  <c r="M18" i="42"/>
  <c r="G57" i="34"/>
  <c r="M57" i="34" s="1"/>
  <c r="K88" i="30"/>
  <c r="T25" i="11"/>
  <c r="M46" i="42"/>
  <c r="M22" i="42"/>
  <c r="T33" i="11"/>
  <c r="M28" i="42"/>
  <c r="M38" i="42"/>
  <c r="G20" i="34"/>
  <c r="I31" i="11"/>
  <c r="G59" i="34"/>
  <c r="M59" i="34" s="1"/>
  <c r="M43" i="42"/>
  <c r="I27" i="9"/>
  <c r="K64" i="30"/>
  <c r="M26" i="34"/>
  <c r="S21" i="14"/>
  <c r="S23" i="14"/>
  <c r="T32" i="11"/>
  <c r="I23" i="12"/>
  <c r="M100" i="42"/>
  <c r="M21" i="42"/>
  <c r="M49" i="42"/>
  <c r="S26" i="14"/>
  <c r="G56" i="34"/>
  <c r="M56" i="34" s="1"/>
  <c r="M29" i="42"/>
  <c r="T22" i="11"/>
  <c r="M69" i="42"/>
  <c r="T31" i="11"/>
  <c r="T24" i="11"/>
  <c r="S32" i="14"/>
  <c r="M55" i="42"/>
  <c r="I23" i="9"/>
  <c r="M218" i="42"/>
  <c r="I32" i="12"/>
  <c r="K117" i="30"/>
  <c r="I30" i="11"/>
  <c r="M39" i="42"/>
  <c r="I26" i="14"/>
  <c r="M88" i="42"/>
  <c r="M44" i="42"/>
  <c r="I23" i="14"/>
  <c r="S24" i="14"/>
  <c r="I21" i="9"/>
  <c r="M60" i="42"/>
  <c r="M64" i="42"/>
  <c r="M25" i="42"/>
  <c r="M16" i="42"/>
  <c r="M215" i="42"/>
  <c r="M31" i="42"/>
  <c r="M20" i="42"/>
  <c r="M37" i="42"/>
  <c r="G62" i="34"/>
  <c r="M62" i="34" s="1"/>
  <c r="M52" i="42"/>
  <c r="K27" i="31"/>
  <c r="T29" i="11"/>
  <c r="M67" i="42"/>
  <c r="K112" i="30"/>
  <c r="M59" i="42"/>
  <c r="M126" i="42"/>
  <c r="M40" i="42"/>
  <c r="I30" i="12"/>
  <c r="M63" i="42"/>
  <c r="I25" i="12"/>
  <c r="I33" i="11"/>
  <c r="J19" i="33"/>
  <c r="T21" i="11"/>
  <c r="G52" i="34"/>
  <c r="M52" i="34" s="1"/>
  <c r="G34" i="34"/>
  <c r="M34" i="34" s="1"/>
  <c r="C32" i="10"/>
  <c r="M32" i="10" s="1"/>
  <c r="I32" i="11"/>
  <c r="M10" i="42"/>
  <c r="G63" i="34"/>
  <c r="I28" i="9"/>
  <c r="I21" i="14"/>
  <c r="G41" i="34"/>
  <c r="M17" i="42"/>
  <c r="I24" i="14"/>
  <c r="M19" i="42"/>
  <c r="M61" i="42"/>
  <c r="M231" i="42"/>
  <c r="G45" i="34"/>
  <c r="M54" i="42"/>
  <c r="I24" i="12"/>
  <c r="G22" i="34"/>
  <c r="M22" i="34" s="1"/>
  <c r="M41" i="42"/>
  <c r="I35" i="9"/>
  <c r="M36" i="42"/>
  <c r="M228" i="42"/>
  <c r="I36" i="9"/>
  <c r="T30" i="11"/>
  <c r="G19" i="34"/>
  <c r="M19" i="34" s="1"/>
  <c r="E65" i="34"/>
  <c r="S20" i="14"/>
  <c r="I25" i="9"/>
  <c r="M68" i="42"/>
  <c r="M24" i="42"/>
  <c r="I32" i="14"/>
  <c r="G49" i="34"/>
  <c r="M49" i="34" s="1"/>
  <c r="G31" i="34"/>
  <c r="M31" i="34" s="1"/>
  <c r="I22" i="14"/>
  <c r="S31" i="14"/>
  <c r="I26" i="12"/>
  <c r="M30" i="42"/>
  <c r="M72" i="42"/>
  <c r="D25" i="6"/>
  <c r="L25" i="6" s="1"/>
  <c r="S25" i="6" s="1"/>
  <c r="U25" i="6" s="1"/>
  <c r="D24" i="6"/>
  <c r="L24" i="6" s="1"/>
  <c r="D23" i="6"/>
  <c r="D18" i="6"/>
  <c r="J20" i="33" l="1"/>
  <c r="I30" i="9"/>
  <c r="I42" i="9"/>
  <c r="D19" i="6"/>
  <c r="D26" i="6"/>
  <c r="D29" i="6" l="1"/>
  <c r="D39" i="6" s="1"/>
  <c r="W28" i="27"/>
  <c r="R48" i="2" l="1"/>
  <c r="R30" i="2"/>
  <c r="R37" i="2"/>
  <c r="R36" i="2"/>
  <c r="R28" i="2"/>
  <c r="R38" i="2"/>
  <c r="R41" i="2"/>
  <c r="R33" i="2"/>
  <c r="R32" i="2"/>
  <c r="R31" i="2"/>
  <c r="R29" i="2"/>
  <c r="R26" i="2"/>
  <c r="R24" i="2"/>
  <c r="R19" i="2"/>
  <c r="X48" i="2" l="1"/>
  <c r="R49" i="2"/>
  <c r="R51" i="2" s="1"/>
  <c r="R25" i="2"/>
  <c r="R34" i="2" s="1"/>
  <c r="R42" i="2" s="1"/>
  <c r="AB138" i="16" l="1"/>
  <c r="AN86" i="23" l="1"/>
  <c r="AH138" i="16"/>
  <c r="AJ138" i="16" s="1"/>
  <c r="N50" i="3" l="1"/>
  <c r="N49" i="2"/>
  <c r="N49" i="3" s="1"/>
  <c r="T49" i="3" s="1"/>
  <c r="N40" i="2"/>
  <c r="N37" i="2"/>
  <c r="N38" i="3" s="1"/>
  <c r="N20" i="3"/>
  <c r="N18" i="2"/>
  <c r="N18" i="3"/>
  <c r="N16" i="3"/>
  <c r="N15" i="3"/>
  <c r="N19" i="3" l="1"/>
  <c r="T19" i="3" s="1"/>
  <c r="G24" i="8" s="1"/>
  <c r="N20" i="2"/>
  <c r="X40" i="2"/>
  <c r="AI40" i="2" s="1"/>
  <c r="N41" i="3"/>
  <c r="T41" i="3" s="1"/>
  <c r="N51" i="3"/>
  <c r="N42" i="2"/>
  <c r="N51" i="2"/>
  <c r="N21" i="3" l="1"/>
  <c r="AD19" i="3"/>
  <c r="AF19" i="3" s="1"/>
  <c r="N43" i="3"/>
  <c r="AG40" i="2"/>
  <c r="G40" i="8"/>
  <c r="AD49" i="3"/>
  <c r="G32" i="8"/>
  <c r="AD41" i="3"/>
  <c r="AF41" i="3" s="1"/>
  <c r="N45" i="2"/>
  <c r="N55" i="2" s="1"/>
  <c r="N46" i="3" l="1"/>
  <c r="N55" i="3" s="1"/>
  <c r="Y51" i="3"/>
  <c r="AF49" i="3"/>
  <c r="J49" i="2" l="1"/>
  <c r="X49" i="2" s="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T50" i="3" s="1"/>
  <c r="AG36" i="2" l="1"/>
  <c r="AI36" i="2"/>
  <c r="AG32" i="2"/>
  <c r="AI32" i="2"/>
  <c r="AG31" i="2"/>
  <c r="AI31" i="2"/>
  <c r="AG30" i="2"/>
  <c r="AI30" i="2"/>
  <c r="AG29" i="2"/>
  <c r="AI29" i="2"/>
  <c r="AG28" i="2"/>
  <c r="AI28" i="2"/>
  <c r="AG33" i="2"/>
  <c r="AD16" i="3"/>
  <c r="AF16" i="3" s="1"/>
  <c r="G21" i="8"/>
  <c r="F51" i="3"/>
  <c r="AD50" i="3"/>
  <c r="AD51" i="3" s="1"/>
  <c r="AF51" i="3" s="1"/>
  <c r="T25" i="3"/>
  <c r="AD18" i="3"/>
  <c r="AF18" i="3" s="1"/>
  <c r="G23" i="8"/>
  <c r="AG37" i="2"/>
  <c r="AD20" i="3"/>
  <c r="AF20" i="3" s="1"/>
  <c r="G25" i="8"/>
  <c r="F17" i="3"/>
  <c r="T17" i="3" s="1"/>
  <c r="AD37" i="3"/>
  <c r="AF37" i="3" s="1"/>
  <c r="G30" i="8"/>
  <c r="F51" i="2"/>
  <c r="X24" i="2"/>
  <c r="AI24" i="2" s="1"/>
  <c r="AG19" i="2"/>
  <c r="X50" i="2"/>
  <c r="AG49" i="2"/>
  <c r="AG38" i="2"/>
  <c r="X25" i="2"/>
  <c r="AI25" i="2" s="1"/>
  <c r="AG17" i="2"/>
  <c r="X16" i="2"/>
  <c r="AI16" i="2" s="1"/>
  <c r="X51" i="2" l="1"/>
  <c r="AI50" i="2"/>
  <c r="AI49" i="2"/>
  <c r="AD25" i="3"/>
  <c r="AF25" i="3" s="1"/>
  <c r="G22" i="8"/>
  <c r="I22" i="8" s="1"/>
  <c r="AD17" i="3"/>
  <c r="AF17" i="3" s="1"/>
  <c r="G41" i="8"/>
  <c r="T51" i="3"/>
  <c r="AG24" i="2"/>
  <c r="AG50" i="2"/>
  <c r="AG25" i="2"/>
  <c r="AG16" i="2"/>
  <c r="K42" i="8" l="1"/>
  <c r="G42" i="8"/>
  <c r="AF50" i="3"/>
  <c r="AE132" i="16"/>
  <c r="J25" i="6" l="1"/>
  <c r="S24" i="6"/>
  <c r="U24" i="6" s="1"/>
  <c r="J24" i="6"/>
  <c r="L23" i="6"/>
  <c r="S23" i="6" s="1"/>
  <c r="U23" i="6" s="1"/>
  <c r="J23" i="6"/>
  <c r="J19" i="6"/>
  <c r="H15" i="6"/>
  <c r="L14" i="6"/>
  <c r="H14" i="6"/>
  <c r="P14" i="6" s="1"/>
  <c r="S26" i="6" l="1"/>
  <c r="U26" i="6" s="1"/>
  <c r="J26" i="6"/>
  <c r="J29" i="6" s="1"/>
  <c r="J39" i="6" s="1"/>
  <c r="L26" i="6"/>
  <c r="AG48" i="2" l="1"/>
  <c r="AI48" i="2" s="1"/>
  <c r="AB130" i="16"/>
  <c r="AA12" i="3"/>
  <c r="AG51" i="2" l="1"/>
  <c r="AI51" i="2" s="1"/>
  <c r="C123" i="16"/>
  <c r="C132" i="16" s="1"/>
  <c r="AH130" i="16"/>
  <c r="AJ130" i="16" s="1"/>
  <c r="F14" i="2" l="1"/>
  <c r="F15" i="3" l="1"/>
  <c r="F20" i="2"/>
  <c r="F21" i="3" l="1"/>
  <c r="T15" i="3"/>
  <c r="C135" i="16"/>
  <c r="G20" i="8" l="1"/>
  <c r="T21" i="3"/>
  <c r="G26" i="8" l="1"/>
  <c r="K26" i="8"/>
  <c r="L37" i="29" l="1"/>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I28" i="28" s="1"/>
  <c r="AG28" i="28" l="1"/>
  <c r="AD37" i="28"/>
  <c r="AI37" i="28" s="1"/>
  <c r="AI17" i="28"/>
  <c r="AI16" i="28"/>
  <c r="P39" i="6"/>
  <c r="S29" i="6"/>
  <c r="U29" i="6" s="1"/>
  <c r="S18" i="6"/>
  <c r="S39" i="6" l="1"/>
  <c r="S19" i="6"/>
  <c r="U19" i="6" s="1"/>
  <c r="U18" i="6"/>
  <c r="AG37" i="28"/>
  <c r="U39" i="6" l="1"/>
  <c r="AE26" i="16"/>
  <c r="AH26" i="16" s="1"/>
  <c r="AI17" i="18"/>
  <c r="AK17" i="18" s="1"/>
  <c r="AE21" i="17"/>
  <c r="AE26" i="17" s="1"/>
  <c r="AF26" i="18"/>
  <c r="AD14" i="2" s="1"/>
  <c r="AA15" i="3" l="1"/>
  <c r="AF54" i="18"/>
  <c r="AF99" i="18" s="1"/>
  <c r="AD21" i="15"/>
  <c r="AH21" i="15" s="1"/>
  <c r="AE30" i="17"/>
  <c r="AE59" i="17" s="1"/>
  <c r="AE109" i="17" s="1"/>
  <c r="AF122" i="18" l="1"/>
  <c r="K110" i="30"/>
  <c r="AH16" i="15"/>
  <c r="AJ16" i="15" s="1"/>
  <c r="AJ21" i="15"/>
  <c r="AD25" i="15"/>
  <c r="AE30" i="16"/>
  <c r="AE59" i="16" s="1"/>
  <c r="AI26" i="18"/>
  <c r="AD20" i="2"/>
  <c r="AD15" i="3"/>
  <c r="AA21" i="3"/>
  <c r="AA46" i="3" s="1"/>
  <c r="AA55" i="3" s="1"/>
  <c r="AE135" i="17"/>
  <c r="AE145" i="17" s="1"/>
  <c r="AF140" i="18" l="1"/>
  <c r="AF142" i="18" s="1"/>
  <c r="AD57" i="15"/>
  <c r="AE109" i="16"/>
  <c r="AF15" i="3"/>
  <c r="AD21" i="3"/>
  <c r="AI54" i="18"/>
  <c r="AK26" i="18"/>
  <c r="AD45" i="2"/>
  <c r="AD55" i="2" s="1"/>
  <c r="AI140" i="18" l="1"/>
  <c r="AK140" i="18" s="1"/>
  <c r="AD38" i="28"/>
  <c r="AE135" i="16"/>
  <c r="AI99" i="18"/>
  <c r="AK99" i="18" s="1"/>
  <c r="AK54" i="18"/>
  <c r="AF21" i="3"/>
  <c r="AE146" i="16" l="1"/>
  <c r="Z25" i="43" l="1"/>
  <c r="Z32" i="43"/>
  <c r="Z30" i="43"/>
  <c r="Z37" i="43" l="1"/>
  <c r="AB37" i="15"/>
  <c r="F26" i="2" l="1"/>
  <c r="X26" i="2" s="1"/>
  <c r="X34" i="2" s="1"/>
  <c r="G34" i="9"/>
  <c r="I34" i="9" s="1"/>
  <c r="AI105" i="18"/>
  <c r="AK105" i="18" s="1"/>
  <c r="K43" i="9" l="1"/>
  <c r="K47" i="9" s="1"/>
  <c r="G43" i="9"/>
  <c r="G47" i="9" s="1"/>
  <c r="AI34" i="2"/>
  <c r="X42" i="2"/>
  <c r="X113" i="18"/>
  <c r="X119" i="18" s="1"/>
  <c r="F34" i="2"/>
  <c r="F42" i="2" s="1"/>
  <c r="F45" i="2" s="1"/>
  <c r="F27" i="3"/>
  <c r="AI122" i="18"/>
  <c r="AK122" i="18" s="1"/>
  <c r="AI26" i="2"/>
  <c r="AG26" i="2"/>
  <c r="AG34" i="2" s="1"/>
  <c r="AG42" i="2" s="1"/>
  <c r="G29" i="7"/>
  <c r="AI113" i="18"/>
  <c r="K34" i="7" l="1"/>
  <c r="K37" i="7" s="1"/>
  <c r="F55" i="2"/>
  <c r="AI42" i="2"/>
  <c r="F35" i="3"/>
  <c r="T27" i="3"/>
  <c r="AK113" i="18"/>
  <c r="AI119" i="18"/>
  <c r="AK119" i="18" s="1"/>
  <c r="G34" i="7"/>
  <c r="F43" i="3" l="1"/>
  <c r="F46" i="3" s="1"/>
  <c r="F55" i="3" s="1"/>
  <c r="V50" i="2"/>
  <c r="AD27" i="3"/>
  <c r="T35" i="3"/>
  <c r="T43" i="3" s="1"/>
  <c r="G37" i="7"/>
  <c r="E140" i="16" l="1"/>
  <c r="U142" i="16"/>
  <c r="U146" i="16" s="1"/>
  <c r="Q142" i="16"/>
  <c r="Q146" i="16" s="1"/>
  <c r="S142" i="16"/>
  <c r="V51" i="2"/>
  <c r="G29" i="8"/>
  <c r="T46" i="3"/>
  <c r="T55" i="3" s="1"/>
  <c r="AF27" i="3"/>
  <c r="AD35" i="3"/>
  <c r="AD43" i="3" s="1"/>
  <c r="AB140" i="16" l="1"/>
  <c r="W142" i="16"/>
  <c r="W146" i="16" s="1"/>
  <c r="AF43" i="3"/>
  <c r="AD46" i="3"/>
  <c r="AF46" i="3" s="1"/>
  <c r="G34" i="8"/>
  <c r="K34" i="8"/>
  <c r="K46" i="8" s="1"/>
  <c r="AF35" i="3"/>
  <c r="AD55" i="3" l="1"/>
  <c r="AF55" i="3" s="1"/>
  <c r="G46" i="8"/>
  <c r="G37" i="8"/>
  <c r="K37" i="8"/>
  <c r="D26" i="18" l="1"/>
  <c r="V14" i="2" s="1"/>
  <c r="K94" i="30" l="1"/>
  <c r="E101" i="30"/>
  <c r="D54" i="18"/>
  <c r="D99" i="18" s="1"/>
  <c r="D122" i="18" s="1"/>
  <c r="D140" i="18" s="1"/>
  <c r="N21" i="5" l="1"/>
  <c r="N32" i="5" l="1"/>
  <c r="N42" i="5" s="1"/>
  <c r="E23" i="23"/>
  <c r="E33" i="23" l="1"/>
  <c r="E65" i="23" s="1"/>
  <c r="E89" i="23" s="1"/>
  <c r="E101" i="23" s="1"/>
  <c r="AB117" i="19" l="1"/>
  <c r="AB121" i="19" s="1"/>
  <c r="AB123" i="19" s="1"/>
  <c r="N26" i="18" l="1"/>
  <c r="N36" i="18" l="1"/>
  <c r="N54" i="18" l="1"/>
  <c r="N99" i="18" s="1"/>
  <c r="N113" i="18" l="1"/>
  <c r="N119" i="18" s="1"/>
  <c r="N122" i="18" l="1"/>
  <c r="N140" i="18" l="1"/>
  <c r="V20" i="15" l="1"/>
  <c r="V18" i="15"/>
  <c r="V17" i="15"/>
  <c r="V19" i="15"/>
  <c r="T26" i="18"/>
  <c r="V21" i="15" l="1"/>
  <c r="T54" i="18"/>
  <c r="T99" i="18" s="1"/>
  <c r="T122" i="18" s="1"/>
  <c r="T140" i="18" s="1"/>
  <c r="S30" i="16" l="1"/>
  <c r="S59" i="16" l="1"/>
  <c r="U42" i="25" l="1"/>
  <c r="U46" i="25" s="1"/>
  <c r="U70" i="25" s="1"/>
  <c r="U80" i="25" s="1"/>
  <c r="S105" i="16" l="1"/>
  <c r="S109" i="16" s="1"/>
  <c r="S135" i="16" s="1"/>
  <c r="S146" i="16" s="1"/>
  <c r="R34" i="3" l="1"/>
  <c r="AB43" i="17"/>
  <c r="AH43" i="17" s="1"/>
  <c r="V30" i="2"/>
  <c r="V16" i="2"/>
  <c r="V31" i="2"/>
  <c r="AB54" i="17"/>
  <c r="AH54" i="17" s="1"/>
  <c r="AJ54" i="17" s="1"/>
  <c r="AB138" i="17"/>
  <c r="AH138" i="17" s="1"/>
  <c r="AB103" i="17"/>
  <c r="AH103" i="17" s="1"/>
  <c r="AJ103" i="17" s="1"/>
  <c r="AB63" i="16"/>
  <c r="R33" i="3"/>
  <c r="AB97" i="16"/>
  <c r="AH97" i="16" s="1"/>
  <c r="AJ97" i="16" s="1"/>
  <c r="AB114" i="16"/>
  <c r="AH114" i="16" s="1"/>
  <c r="AJ114" i="16" s="1"/>
  <c r="AB67" i="16"/>
  <c r="AH67" i="16" s="1"/>
  <c r="AJ67" i="16" s="1"/>
  <c r="AB37" i="16"/>
  <c r="AH37" i="16" s="1"/>
  <c r="AJ37" i="16" s="1"/>
  <c r="AB63" i="17"/>
  <c r="AH63" i="17" s="1"/>
  <c r="AJ63" i="17" s="1"/>
  <c r="AB96" i="17"/>
  <c r="AH96" i="17" s="1"/>
  <c r="AJ96" i="17" s="1"/>
  <c r="AB85" i="17"/>
  <c r="AH85" i="17" s="1"/>
  <c r="AJ85" i="17" s="1"/>
  <c r="AB44" i="16"/>
  <c r="AH44" i="16" s="1"/>
  <c r="AJ44" i="16" s="1"/>
  <c r="AB115" i="16"/>
  <c r="AH115" i="16" s="1"/>
  <c r="AJ115" i="16" s="1"/>
  <c r="AB53" i="17"/>
  <c r="AH53" i="17" s="1"/>
  <c r="AJ53" i="17" s="1"/>
  <c r="AB100" i="17"/>
  <c r="AH100" i="17" s="1"/>
  <c r="AJ100" i="17" s="1"/>
  <c r="AB68" i="16"/>
  <c r="AH68" i="16" s="1"/>
  <c r="AJ68" i="16" s="1"/>
  <c r="AB125" i="16"/>
  <c r="AH125" i="16" s="1"/>
  <c r="AJ125" i="16" s="1"/>
  <c r="AB34" i="16"/>
  <c r="AH34" i="16" s="1"/>
  <c r="AJ34" i="16" s="1"/>
  <c r="AB45" i="16"/>
  <c r="AH45" i="16" s="1"/>
  <c r="AJ45" i="16" s="1"/>
  <c r="AB68" i="17"/>
  <c r="AH68" i="17" s="1"/>
  <c r="AJ68" i="17" s="1"/>
  <c r="AB34" i="17"/>
  <c r="AH34" i="17" s="1"/>
  <c r="AJ34" i="17" s="1"/>
  <c r="AB101" i="16"/>
  <c r="AH101" i="16" s="1"/>
  <c r="AJ101" i="16" s="1"/>
  <c r="AB78" i="17"/>
  <c r="AH78" i="17" s="1"/>
  <c r="AJ78" i="17" s="1"/>
  <c r="V29" i="2"/>
  <c r="AB84" i="17"/>
  <c r="AH84" i="17" s="1"/>
  <c r="AJ84" i="17" s="1"/>
  <c r="AB46" i="16"/>
  <c r="AH46" i="16" s="1"/>
  <c r="AJ46" i="16" s="1"/>
  <c r="V25" i="2"/>
  <c r="AB90" i="16"/>
  <c r="AH90" i="16" s="1"/>
  <c r="AJ90" i="16" s="1"/>
  <c r="AB122" i="16"/>
  <c r="AH122" i="16" s="1"/>
  <c r="AJ122" i="16" s="1"/>
  <c r="AB85" i="16"/>
  <c r="AH85" i="16" s="1"/>
  <c r="AJ85" i="16" s="1"/>
  <c r="AB66" i="17"/>
  <c r="AH66" i="17" s="1"/>
  <c r="AJ66" i="17" s="1"/>
  <c r="AB55" i="17"/>
  <c r="AH55" i="17" s="1"/>
  <c r="AB24" i="16"/>
  <c r="AB23" i="17"/>
  <c r="AB94" i="16"/>
  <c r="AH94" i="16" s="1"/>
  <c r="AJ94" i="16" s="1"/>
  <c r="AB113" i="16"/>
  <c r="AB74" i="17"/>
  <c r="AH74" i="17" s="1"/>
  <c r="AJ74" i="17" s="1"/>
  <c r="AB71" i="17"/>
  <c r="AH71" i="17" s="1"/>
  <c r="AJ71" i="17" s="1"/>
  <c r="AB73" i="17"/>
  <c r="AH73" i="17" s="1"/>
  <c r="AJ73" i="17" s="1"/>
  <c r="AB121" i="16"/>
  <c r="AH121" i="16" s="1"/>
  <c r="AJ121" i="16" s="1"/>
  <c r="AB100" i="16"/>
  <c r="AH100" i="16" s="1"/>
  <c r="AJ100" i="16" s="1"/>
  <c r="AJ24" i="17"/>
  <c r="AB99" i="17"/>
  <c r="AH99" i="17" s="1"/>
  <c r="AJ99" i="17" s="1"/>
  <c r="AB76" i="16"/>
  <c r="AH76" i="16" s="1"/>
  <c r="AJ76" i="16" s="1"/>
  <c r="AB101" i="17"/>
  <c r="AH101" i="17" s="1"/>
  <c r="AJ101" i="17" s="1"/>
  <c r="AB125" i="17"/>
  <c r="AH125" i="17" s="1"/>
  <c r="AJ125" i="17" s="1"/>
  <c r="AB84" i="16"/>
  <c r="AH84" i="16" s="1"/>
  <c r="AJ84" i="16" s="1"/>
  <c r="AB90" i="17"/>
  <c r="AH90" i="17" s="1"/>
  <c r="AJ90" i="17" s="1"/>
  <c r="AB29" i="16"/>
  <c r="AH29" i="16" s="1"/>
  <c r="AJ29" i="16" s="1"/>
  <c r="AB69" i="16"/>
  <c r="AH69" i="16" s="1"/>
  <c r="AJ69" i="16" s="1"/>
  <c r="AB139" i="17"/>
  <c r="AH139" i="17" s="1"/>
  <c r="AJ139" i="17" s="1"/>
  <c r="AB43" i="16"/>
  <c r="AB127" i="17"/>
  <c r="AH127" i="17" s="1"/>
  <c r="AJ127" i="17" s="1"/>
  <c r="AB91" i="17"/>
  <c r="AH91" i="17" s="1"/>
  <c r="AJ91" i="17" s="1"/>
  <c r="AH67" i="17"/>
  <c r="AJ67" i="17" s="1"/>
  <c r="AB118" i="16"/>
  <c r="AH118" i="16" s="1"/>
  <c r="AJ118" i="16" s="1"/>
  <c r="AB74" i="16"/>
  <c r="AH74" i="16" s="1"/>
  <c r="AJ74" i="16" s="1"/>
  <c r="AB75" i="17"/>
  <c r="AH75" i="17" s="1"/>
  <c r="AJ75" i="17" s="1"/>
  <c r="AB93" i="16"/>
  <c r="AH93" i="16" s="1"/>
  <c r="AJ93" i="16" s="1"/>
  <c r="AB52" i="16"/>
  <c r="AH52" i="16" s="1"/>
  <c r="AJ52" i="16" s="1"/>
  <c r="AH22" i="16"/>
  <c r="AJ22" i="16" s="1"/>
  <c r="AB117" i="16"/>
  <c r="AH117" i="16" s="1"/>
  <c r="AJ117" i="16" s="1"/>
  <c r="AB102" i="17"/>
  <c r="AH102" i="17" s="1"/>
  <c r="AJ102" i="17" s="1"/>
  <c r="AB36" i="16"/>
  <c r="AH36" i="16" s="1"/>
  <c r="AJ36" i="16" s="1"/>
  <c r="AB88" i="16"/>
  <c r="AH88" i="16" s="1"/>
  <c r="AJ88" i="16" s="1"/>
  <c r="AB66" i="16"/>
  <c r="AH66" i="16" s="1"/>
  <c r="AJ66" i="16" s="1"/>
  <c r="AH21" i="16"/>
  <c r="AJ21" i="16" s="1"/>
  <c r="AH22" i="17"/>
  <c r="AJ22" i="17" s="1"/>
  <c r="AH21" i="17"/>
  <c r="AJ21" i="17" s="1"/>
  <c r="AB44" i="17"/>
  <c r="AH44" i="17" s="1"/>
  <c r="AJ44" i="17" s="1"/>
  <c r="AB76" i="17"/>
  <c r="AH76" i="17" s="1"/>
  <c r="AJ76" i="17" s="1"/>
  <c r="AB37" i="17"/>
  <c r="AH37" i="17" s="1"/>
  <c r="AJ37" i="17" s="1"/>
  <c r="AB32" i="16"/>
  <c r="R50" i="3"/>
  <c r="AB89" i="17"/>
  <c r="AH89" i="17" s="1"/>
  <c r="AJ89" i="17" s="1"/>
  <c r="AB48" i="17"/>
  <c r="AH48" i="17" s="1"/>
  <c r="AJ48" i="17" s="1"/>
  <c r="AB73" i="16"/>
  <c r="AH73" i="16" s="1"/>
  <c r="AJ73" i="16" s="1"/>
  <c r="AB114" i="17"/>
  <c r="AH114" i="17" s="1"/>
  <c r="AJ114" i="17" s="1"/>
  <c r="AB77" i="17"/>
  <c r="AH77" i="17" s="1"/>
  <c r="AJ77" i="17" s="1"/>
  <c r="AB120" i="17"/>
  <c r="AH120" i="17" s="1"/>
  <c r="AJ120" i="17" s="1"/>
  <c r="AB45" i="17"/>
  <c r="AH45" i="17" s="1"/>
  <c r="AJ45" i="17" s="1"/>
  <c r="AB52" i="17"/>
  <c r="AH52" i="17" s="1"/>
  <c r="AJ52" i="17" s="1"/>
  <c r="AB89" i="16"/>
  <c r="AH89" i="16" s="1"/>
  <c r="AJ89" i="16" s="1"/>
  <c r="AB53" i="16"/>
  <c r="AH53" i="16" s="1"/>
  <c r="AJ53" i="16" s="1"/>
  <c r="AB38" i="17"/>
  <c r="AH38" i="17" s="1"/>
  <c r="AJ38" i="17" s="1"/>
  <c r="AB38" i="16"/>
  <c r="AH38" i="16" s="1"/>
  <c r="AJ38" i="16" s="1"/>
  <c r="AB96" i="16"/>
  <c r="AH96" i="16" s="1"/>
  <c r="AJ96" i="16" s="1"/>
  <c r="AB54" i="16"/>
  <c r="AH54" i="16" s="1"/>
  <c r="AJ54" i="16" s="1"/>
  <c r="AB25" i="16"/>
  <c r="AH25" i="16" s="1"/>
  <c r="AJ25" i="16" s="1"/>
  <c r="AB107" i="17"/>
  <c r="AB55" i="16"/>
  <c r="AH55" i="16" s="1"/>
  <c r="AB71" i="16"/>
  <c r="AH71" i="16" s="1"/>
  <c r="AJ71" i="16" s="1"/>
  <c r="AB113" i="17"/>
  <c r="AH113" i="17" s="1"/>
  <c r="AJ113" i="17" s="1"/>
  <c r="AH23" i="16"/>
  <c r="AJ23" i="16" s="1"/>
  <c r="AB25" i="17"/>
  <c r="AH25" i="17" s="1"/>
  <c r="AJ25" i="17" s="1"/>
  <c r="AB99" i="16"/>
  <c r="AH99" i="16" s="1"/>
  <c r="AJ99" i="16" s="1"/>
  <c r="AB29" i="17"/>
  <c r="AH29" i="17" s="1"/>
  <c r="AJ29" i="17" s="1"/>
  <c r="AB117" i="17"/>
  <c r="AH117" i="17" s="1"/>
  <c r="AJ117" i="17" s="1"/>
  <c r="AB64" i="17"/>
  <c r="AB121" i="17"/>
  <c r="AH121" i="17" s="1"/>
  <c r="AJ121" i="17" s="1"/>
  <c r="AB36" i="17"/>
  <c r="AH36" i="17" s="1"/>
  <c r="AJ36" i="17" s="1"/>
  <c r="AB119" i="16"/>
  <c r="AH119" i="16" s="1"/>
  <c r="AJ119" i="16" s="1"/>
  <c r="AB118" i="17"/>
  <c r="AH118" i="17" s="1"/>
  <c r="AJ118" i="17" s="1"/>
  <c r="AB94" i="17"/>
  <c r="AH94" i="17" s="1"/>
  <c r="AJ94" i="17" s="1"/>
  <c r="AB77" i="16"/>
  <c r="AH77" i="16" s="1"/>
  <c r="AJ77" i="16" s="1"/>
  <c r="AB107" i="16"/>
  <c r="AB93" i="17"/>
  <c r="AH93" i="17" s="1"/>
  <c r="AJ93" i="17" s="1"/>
  <c r="AB91" i="16"/>
  <c r="AH91" i="16" s="1"/>
  <c r="AJ91" i="16" s="1"/>
  <c r="AB127" i="16"/>
  <c r="AH127" i="16" s="1"/>
  <c r="AJ127" i="16" s="1"/>
  <c r="AB46" i="17"/>
  <c r="AH46" i="17" s="1"/>
  <c r="AJ46" i="17" s="1"/>
  <c r="AB33" i="17"/>
  <c r="AH33" i="17" s="1"/>
  <c r="AJ33" i="17" s="1"/>
  <c r="AB120" i="16"/>
  <c r="AH120" i="16" s="1"/>
  <c r="AJ120" i="16" s="1"/>
  <c r="AH102" i="16"/>
  <c r="AJ102" i="16" s="1"/>
  <c r="AB119" i="17"/>
  <c r="AH119" i="17" s="1"/>
  <c r="AJ119" i="17" s="1"/>
  <c r="V26" i="18"/>
  <c r="AB78" i="16"/>
  <c r="AH78" i="16" s="1"/>
  <c r="AJ78" i="16" s="1"/>
  <c r="AB48" i="16"/>
  <c r="AH48" i="16" s="1"/>
  <c r="AJ48" i="16" s="1"/>
  <c r="AB69" i="17"/>
  <c r="AH69" i="17" s="1"/>
  <c r="AJ69" i="17" s="1"/>
  <c r="AB122" i="17"/>
  <c r="AH122" i="17" s="1"/>
  <c r="AJ122" i="17" s="1"/>
  <c r="AB115" i="17"/>
  <c r="AH115" i="17" s="1"/>
  <c r="AJ115" i="17" s="1"/>
  <c r="AB103" i="16"/>
  <c r="AH103" i="16" s="1"/>
  <c r="AJ103" i="16" s="1"/>
  <c r="AB75" i="16"/>
  <c r="AH75" i="16" s="1"/>
  <c r="AJ75" i="16" s="1"/>
  <c r="AB88" i="17"/>
  <c r="AH88" i="17" s="1"/>
  <c r="AJ88" i="17" s="1"/>
  <c r="AB97" i="17"/>
  <c r="AH97" i="17" s="1"/>
  <c r="AJ97" i="17" s="1"/>
  <c r="AB51" i="17"/>
  <c r="AH141" i="17" l="1"/>
  <c r="AJ141" i="17" s="1"/>
  <c r="AH24" i="16"/>
  <c r="AJ24" i="16" s="1"/>
  <c r="AB57" i="17"/>
  <c r="AH23" i="17"/>
  <c r="AJ23" i="17" s="1"/>
  <c r="AB26" i="17"/>
  <c r="V54" i="18"/>
  <c r="V99" i="18" s="1"/>
  <c r="R30" i="3"/>
  <c r="V33" i="2"/>
  <c r="R26" i="3"/>
  <c r="R17" i="3"/>
  <c r="R32" i="3"/>
  <c r="R31" i="3"/>
  <c r="V36" i="2"/>
  <c r="AH51" i="17"/>
  <c r="AH57" i="17" s="1"/>
  <c r="R18" i="3"/>
  <c r="V17" i="2"/>
  <c r="AB105" i="17"/>
  <c r="AH64" i="17"/>
  <c r="D51" i="2"/>
  <c r="AH43" i="16"/>
  <c r="AB49" i="16"/>
  <c r="AH123" i="17"/>
  <c r="AH63" i="16"/>
  <c r="V28" i="2"/>
  <c r="R29" i="3"/>
  <c r="AH107" i="16"/>
  <c r="AB123" i="17"/>
  <c r="AH107" i="17"/>
  <c r="AJ107" i="17" s="1"/>
  <c r="V24" i="2"/>
  <c r="AB123" i="16"/>
  <c r="AH113" i="16"/>
  <c r="V38" i="2"/>
  <c r="R39" i="3"/>
  <c r="AH32" i="16"/>
  <c r="R19" i="3"/>
  <c r="AB51" i="16"/>
  <c r="AB57" i="16" s="1"/>
  <c r="AJ43" i="17"/>
  <c r="AH49" i="17"/>
  <c r="AJ49" i="17" s="1"/>
  <c r="AB49" i="17"/>
  <c r="AB32" i="17"/>
  <c r="AJ138" i="17"/>
  <c r="V19" i="2"/>
  <c r="R20" i="3"/>
  <c r="R37" i="3"/>
  <c r="V26" i="2"/>
  <c r="R27" i="3"/>
  <c r="R16" i="3"/>
  <c r="AB141" i="17"/>
  <c r="V32" i="2"/>
  <c r="V122" i="18" l="1"/>
  <c r="V140" i="18" s="1"/>
  <c r="X122" i="18"/>
  <c r="X140" i="18" s="1"/>
  <c r="M142" i="16"/>
  <c r="K142" i="16"/>
  <c r="E142" i="16"/>
  <c r="E146" i="16" s="1"/>
  <c r="C142" i="16"/>
  <c r="C146" i="16" s="1"/>
  <c r="Y142" i="16"/>
  <c r="Y146" i="16" s="1"/>
  <c r="AH32" i="17"/>
  <c r="AB41" i="17"/>
  <c r="V34" i="2"/>
  <c r="AJ63" i="16"/>
  <c r="D51" i="3"/>
  <c r="R49" i="3"/>
  <c r="R51" i="3" s="1"/>
  <c r="AJ32" i="16"/>
  <c r="AJ107" i="16"/>
  <c r="AJ43" i="16"/>
  <c r="AH49" i="16"/>
  <c r="AJ49" i="16" s="1"/>
  <c r="AJ64" i="17"/>
  <c r="AH105" i="17"/>
  <c r="AJ105" i="17" s="1"/>
  <c r="AJ51" i="17"/>
  <c r="AJ57" i="17"/>
  <c r="AH26" i="17"/>
  <c r="AJ26" i="17" s="1"/>
  <c r="AJ113" i="16"/>
  <c r="AH123" i="16"/>
  <c r="AJ123" i="16" s="1"/>
  <c r="D20" i="2"/>
  <c r="AH51" i="16"/>
  <c r="AH57" i="16" s="1"/>
  <c r="D35" i="3"/>
  <c r="D43" i="3" s="1"/>
  <c r="R25" i="3"/>
  <c r="R35" i="3" s="1"/>
  <c r="AJ123" i="17"/>
  <c r="O142" i="16" l="1"/>
  <c r="D45" i="2"/>
  <c r="D55" i="2" s="1"/>
  <c r="I142" i="16"/>
  <c r="I146" i="16" s="1"/>
  <c r="G142" i="16"/>
  <c r="G146" i="16" s="1"/>
  <c r="AJ26" i="16"/>
  <c r="AJ51" i="16"/>
  <c r="AH41" i="17"/>
  <c r="AJ41" i="17" s="1"/>
  <c r="AJ32" i="17"/>
  <c r="D21" i="3"/>
  <c r="D46" i="3" s="1"/>
  <c r="D55" i="3" s="1"/>
  <c r="AH140" i="16" l="1"/>
  <c r="AJ140" i="16" s="1"/>
  <c r="AB142" i="16"/>
  <c r="K108" i="30"/>
  <c r="AH139" i="16"/>
  <c r="AJ57" i="16"/>
  <c r="AJ139" i="16" l="1"/>
  <c r="AH142" i="16"/>
  <c r="AJ142" i="16" s="1"/>
  <c r="U23" i="26" l="1"/>
  <c r="U37" i="26" s="1"/>
  <c r="U49" i="26" s="1"/>
  <c r="B32" i="5"/>
  <c r="B42" i="5" s="1"/>
  <c r="AH28" i="16" l="1"/>
  <c r="AH30" i="16" s="1"/>
  <c r="O30" i="17"/>
  <c r="O59" i="17" s="1"/>
  <c r="N54" i="22"/>
  <c r="N65" i="22" s="1"/>
  <c r="N75" i="22" s="1"/>
  <c r="AJ30" i="16" l="1"/>
  <c r="AJ28" i="16"/>
  <c r="O109" i="17"/>
  <c r="O135" i="17" s="1"/>
  <c r="O145" i="17" s="1"/>
  <c r="O30" i="16"/>
  <c r="AB30" i="16" s="1"/>
  <c r="L15" i="3"/>
  <c r="AB28" i="17"/>
  <c r="O59" i="16" l="1"/>
  <c r="L21" i="3"/>
  <c r="AH28" i="17"/>
  <c r="AJ28" i="17" s="1"/>
  <c r="E40" i="13" l="1"/>
  <c r="N45" i="5" l="1"/>
  <c r="Y35" i="3" l="1"/>
  <c r="K46" i="30" l="1"/>
  <c r="K96" i="30"/>
  <c r="K38" i="31" l="1"/>
  <c r="O22" i="24" l="1"/>
  <c r="O32" i="24" s="1"/>
  <c r="O64" i="24" s="1"/>
  <c r="O88" i="24" s="1"/>
  <c r="O100" i="24" s="1"/>
  <c r="V29" i="15" l="1"/>
  <c r="V37" i="15" s="1"/>
  <c r="P37" i="15"/>
  <c r="P57" i="15" s="1"/>
  <c r="AF23" i="23"/>
  <c r="AB41" i="16" l="1"/>
  <c r="M41" i="16"/>
  <c r="M59" i="16" s="1"/>
  <c r="M109" i="16" s="1"/>
  <c r="R29" i="15"/>
  <c r="AL20" i="23"/>
  <c r="AN20" i="23" s="1"/>
  <c r="AH33" i="16" l="1"/>
  <c r="AB59" i="16"/>
  <c r="X29" i="15"/>
  <c r="R37" i="15"/>
  <c r="R57" i="15" s="1"/>
  <c r="AL23" i="23"/>
  <c r="AN23" i="23" s="1"/>
  <c r="R15" i="2"/>
  <c r="AF33" i="23"/>
  <c r="V15" i="2"/>
  <c r="AH41" i="16" l="1"/>
  <c r="AJ41" i="16" s="1"/>
  <c r="AJ33" i="16"/>
  <c r="AH29" i="15"/>
  <c r="AJ29" i="15" s="1"/>
  <c r="X37" i="15"/>
  <c r="AL33" i="23"/>
  <c r="X15" i="2"/>
  <c r="AH59" i="16" l="1"/>
  <c r="AJ59" i="16" s="1"/>
  <c r="AH37" i="15"/>
  <c r="AJ37" i="15" s="1"/>
  <c r="AG15" i="2"/>
  <c r="AI15" i="2"/>
  <c r="AN33" i="23"/>
  <c r="G65" i="34" l="1"/>
  <c r="AB21" i="15" l="1"/>
  <c r="AB25" i="15" s="1"/>
  <c r="R19" i="35"/>
  <c r="V19" i="35" s="1"/>
  <c r="H40" i="35"/>
  <c r="Q42" i="25"/>
  <c r="Q46" i="25" l="1"/>
  <c r="Q70" i="25" s="1"/>
  <c r="Q80" i="25" s="1"/>
  <c r="K39" i="31"/>
  <c r="AF37" i="23"/>
  <c r="AL37" i="23" s="1"/>
  <c r="Q101" i="23"/>
  <c r="AL61" i="23" l="1"/>
  <c r="AN61" i="23" s="1"/>
  <c r="AB64" i="16"/>
  <c r="O105" i="16"/>
  <c r="O109" i="16" s="1"/>
  <c r="O135" i="16" s="1"/>
  <c r="O146" i="16" s="1"/>
  <c r="V18" i="2"/>
  <c r="P20" i="2"/>
  <c r="P45" i="2" s="1"/>
  <c r="P55" i="2" s="1"/>
  <c r="AF61" i="23"/>
  <c r="AF65" i="23" l="1"/>
  <c r="AF89" i="23" s="1"/>
  <c r="AF101" i="23" s="1"/>
  <c r="AL65" i="23"/>
  <c r="AL89" i="23" s="1"/>
  <c r="AN89" i="23" s="1"/>
  <c r="R18" i="2"/>
  <c r="AH64" i="16"/>
  <c r="AB105" i="16"/>
  <c r="AB109" i="16" s="1"/>
  <c r="X18" i="2" l="1"/>
  <c r="AI18" i="2" s="1"/>
  <c r="R20" i="2"/>
  <c r="R45" i="2" s="1"/>
  <c r="R55" i="2" s="1"/>
  <c r="AL101" i="23"/>
  <c r="AN101" i="23" s="1"/>
  <c r="AN65" i="23"/>
  <c r="AH105" i="16"/>
  <c r="AJ105" i="16" s="1"/>
  <c r="AJ64" i="16"/>
  <c r="AG18" i="2" l="1"/>
  <c r="R23" i="35"/>
  <c r="V23" i="35" s="1"/>
  <c r="AH109" i="16"/>
  <c r="AJ109" i="16" s="1"/>
  <c r="P19" i="27" l="1"/>
  <c r="P32" i="27" s="1"/>
  <c r="P44" i="27" s="1"/>
  <c r="F21" i="5"/>
  <c r="F32" i="5" s="1"/>
  <c r="F42" i="5" s="1"/>
  <c r="J18" i="5" l="1"/>
  <c r="J21" i="5" s="1"/>
  <c r="J32" i="5" s="1"/>
  <c r="J42" i="5" s="1"/>
  <c r="Z43" i="43" l="1"/>
  <c r="Z45" i="43" s="1"/>
  <c r="Z37" i="20" l="1"/>
  <c r="Z85" i="20" s="1"/>
  <c r="Z109" i="20" s="1"/>
  <c r="Z119" i="20" s="1"/>
  <c r="R15" i="3"/>
  <c r="R21" i="3" s="1"/>
  <c r="AB27" i="17"/>
  <c r="H21" i="3" l="1"/>
  <c r="H46" i="3" s="1"/>
  <c r="H55" i="3" s="1"/>
  <c r="H20" i="2"/>
  <c r="H45" i="2" s="1"/>
  <c r="H55" i="2" s="1"/>
  <c r="AH27" i="17"/>
  <c r="AB30" i="17"/>
  <c r="Y30" i="17"/>
  <c r="Y59" i="17" s="1"/>
  <c r="Z37" i="19"/>
  <c r="Z85" i="19" s="1"/>
  <c r="Z111" i="19" s="1"/>
  <c r="Z121" i="19" s="1"/>
  <c r="AH30" i="17" l="1"/>
  <c r="AJ30" i="17" s="1"/>
  <c r="AJ27" i="17"/>
  <c r="V20" i="2"/>
  <c r="AB59" i="17"/>
  <c r="Y109" i="17"/>
  <c r="Y135" i="17" s="1"/>
  <c r="Y145" i="17" s="1"/>
  <c r="AB109" i="17" l="1"/>
  <c r="AH59" i="17"/>
  <c r="AJ59" i="17" l="1"/>
  <c r="AH109" i="17"/>
  <c r="AJ109" i="17" s="1"/>
  <c r="AD46" i="27" l="1"/>
  <c r="AG121" i="20" l="1"/>
  <c r="AG123" i="19"/>
  <c r="Z46" i="37"/>
  <c r="B46" i="37"/>
  <c r="D12" i="37" s="1"/>
  <c r="AG102" i="24"/>
  <c r="AB46" i="15"/>
  <c r="AG94" i="21"/>
  <c r="D46" i="37" l="1"/>
  <c r="I211" i="42"/>
  <c r="I102" i="42"/>
  <c r="I201" i="42"/>
  <c r="K206" i="42"/>
  <c r="K11" i="42"/>
  <c r="M14" i="42"/>
  <c r="K102" i="42"/>
  <c r="K211" i="42"/>
  <c r="K188" i="42"/>
  <c r="D142" i="18"/>
  <c r="F12" i="18" s="1"/>
  <c r="D57" i="2" s="1"/>
  <c r="D57" i="3" s="1"/>
  <c r="I258" i="42"/>
  <c r="I188" i="42"/>
  <c r="K258" i="42"/>
  <c r="I206" i="42"/>
  <c r="I11" i="42"/>
  <c r="G49" i="9" l="1"/>
  <c r="I49" i="9" s="1"/>
  <c r="AI142" i="18"/>
  <c r="AK142" i="18" s="1"/>
  <c r="E50" i="7"/>
  <c r="F46" i="37"/>
  <c r="M201" i="42"/>
  <c r="AI12" i="18"/>
  <c r="AK12" i="18" s="1"/>
  <c r="AD13" i="20"/>
  <c r="AJ13" i="20" s="1"/>
  <c r="D121" i="20"/>
  <c r="F13" i="20" s="1"/>
  <c r="H57" i="3" s="1"/>
  <c r="J57" i="3"/>
  <c r="J59" i="3" s="1"/>
  <c r="G41" i="11"/>
  <c r="I41" i="11" s="1"/>
  <c r="D13" i="19"/>
  <c r="D94" i="21"/>
  <c r="F13" i="21" s="1"/>
  <c r="AD13" i="21"/>
  <c r="AJ13" i="21" s="1"/>
  <c r="R41" i="11"/>
  <c r="T41" i="11" s="1"/>
  <c r="K261" i="42"/>
  <c r="I261" i="42"/>
  <c r="E50" i="9"/>
  <c r="F57" i="3"/>
  <c r="F59" i="2"/>
  <c r="C49" i="7"/>
  <c r="C48" i="8"/>
  <c r="J57" i="2" l="1"/>
  <c r="K50" i="9"/>
  <c r="G50" i="9"/>
  <c r="V42" i="11"/>
  <c r="K42" i="11"/>
  <c r="AL13" i="21"/>
  <c r="E49" i="8"/>
  <c r="H46" i="37"/>
  <c r="F94" i="21"/>
  <c r="F142" i="18"/>
  <c r="AD94" i="21"/>
  <c r="G42" i="11"/>
  <c r="AD121" i="20"/>
  <c r="G41" i="10"/>
  <c r="K41" i="10" s="1"/>
  <c r="M41" i="10" s="1"/>
  <c r="R42" i="11"/>
  <c r="AD13" i="19"/>
  <c r="D123" i="19"/>
  <c r="F13" i="19" s="1"/>
  <c r="H57" i="2" s="1"/>
  <c r="F59" i="3"/>
  <c r="AL13" i="20"/>
  <c r="AJ121" i="20"/>
  <c r="AL121" i="20" s="1"/>
  <c r="O42" i="10" l="1"/>
  <c r="AJ94" i="21"/>
  <c r="AL94" i="21" s="1"/>
  <c r="J46" i="37"/>
  <c r="H94" i="21"/>
  <c r="F121" i="20"/>
  <c r="G42" i="10"/>
  <c r="AL13" i="19"/>
  <c r="AJ13" i="19"/>
  <c r="K42" i="10"/>
  <c r="L46" i="37" l="1"/>
  <c r="J94" i="21"/>
  <c r="H142" i="18"/>
  <c r="L94" i="21" l="1"/>
  <c r="H121" i="20"/>
  <c r="K34" i="31"/>
  <c r="N46" i="37" l="1"/>
  <c r="N94" i="21"/>
  <c r="J142" i="18"/>
  <c r="K40" i="30"/>
  <c r="P46" i="37" l="1"/>
  <c r="R46" i="37" s="1"/>
  <c r="P94" i="21"/>
  <c r="L121" i="20" l="1"/>
  <c r="T46" i="37"/>
  <c r="R94" i="21"/>
  <c r="L142" i="18"/>
  <c r="G42" i="31"/>
  <c r="G45" i="31" s="1"/>
  <c r="V46" i="37" l="1"/>
  <c r="T94" i="21"/>
  <c r="K97" i="30"/>
  <c r="X46" i="37" l="1"/>
  <c r="N142" i="18"/>
  <c r="K152" i="30"/>
  <c r="X94" i="21" l="1"/>
  <c r="N121" i="20"/>
  <c r="K60" i="30"/>
  <c r="Z94" i="21" l="1"/>
  <c r="P142" i="18"/>
  <c r="K40" i="31"/>
  <c r="R142" i="18" l="1"/>
  <c r="P121" i="20"/>
  <c r="R30" i="35" l="1"/>
  <c r="V30" i="35" s="1"/>
  <c r="T142" i="18" l="1"/>
  <c r="R121" i="20"/>
  <c r="I30" i="45"/>
  <c r="G30" i="45"/>
  <c r="Y43" i="3" l="1"/>
  <c r="Y21" i="3"/>
  <c r="V142" i="18" l="1"/>
  <c r="T121" i="20"/>
  <c r="N59" i="2"/>
  <c r="B78" i="22"/>
  <c r="D12" i="22" s="1"/>
  <c r="L57" i="2" s="1"/>
  <c r="C16" i="17"/>
  <c r="AB16" i="17" s="1"/>
  <c r="AA12" i="22"/>
  <c r="Y46" i="3"/>
  <c r="Y55" i="3" s="1"/>
  <c r="V121" i="20" l="1"/>
  <c r="AA78" i="22"/>
  <c r="G39" i="12"/>
  <c r="I39" i="12" s="1"/>
  <c r="C147" i="17"/>
  <c r="E16" i="17" s="1"/>
  <c r="N57" i="3"/>
  <c r="T57" i="3" l="1"/>
  <c r="T59" i="3" s="1"/>
  <c r="N59" i="3"/>
  <c r="K40" i="12"/>
  <c r="E147" i="17"/>
  <c r="D78" i="22"/>
  <c r="X142" i="18"/>
  <c r="D59" i="2" s="1"/>
  <c r="Y59" i="3"/>
  <c r="G40" i="12"/>
  <c r="G48" i="8" l="1"/>
  <c r="I48" i="8" s="1"/>
  <c r="G147" i="17"/>
  <c r="K49" i="8" l="1"/>
  <c r="I147" i="17"/>
  <c r="G49" i="8"/>
  <c r="F78" i="22"/>
  <c r="Z142" i="18"/>
  <c r="X121" i="20"/>
  <c r="Z121" i="20" l="1"/>
  <c r="H59" i="3"/>
  <c r="D59" i="3"/>
  <c r="G101" i="30"/>
  <c r="K98" i="30"/>
  <c r="H78" i="22" l="1"/>
  <c r="E32" i="44" l="1"/>
  <c r="E47" i="44" l="1"/>
  <c r="K118" i="30"/>
  <c r="E51" i="44" l="1"/>
  <c r="C51" i="44"/>
  <c r="I25" i="44"/>
  <c r="I47" i="44" l="1"/>
  <c r="K45" i="30"/>
  <c r="R15" i="35" l="1"/>
  <c r="V15" i="35" s="1"/>
  <c r="L30" i="32" l="1"/>
  <c r="R24" i="35" l="1"/>
  <c r="R38" i="35" l="1"/>
  <c r="R22" i="35"/>
  <c r="R21" i="35"/>
  <c r="R35" i="35"/>
  <c r="V35" i="35" s="1"/>
  <c r="K150" i="30"/>
  <c r="E22" i="45" l="1"/>
  <c r="C30" i="45" l="1"/>
  <c r="E23" i="45"/>
  <c r="D30" i="45"/>
  <c r="E26" i="45" l="1"/>
  <c r="I65" i="34"/>
  <c r="Q65" i="34"/>
  <c r="R20" i="35"/>
  <c r="V20" i="35" s="1"/>
  <c r="L40" i="35"/>
  <c r="K109" i="30"/>
  <c r="S65" i="34"/>
  <c r="K111" i="30"/>
  <c r="I113" i="30"/>
  <c r="E30" i="45" l="1"/>
  <c r="G51" i="44"/>
  <c r="I51" i="44" l="1"/>
  <c r="E155" i="30"/>
  <c r="T40" i="35"/>
  <c r="I155" i="30"/>
  <c r="E24" i="30"/>
  <c r="J47" i="32"/>
  <c r="R18" i="35"/>
  <c r="V18" i="35" s="1"/>
  <c r="E91" i="30"/>
  <c r="E103" i="30" s="1"/>
  <c r="H47" i="32"/>
  <c r="H50" i="32" s="1"/>
  <c r="K65" i="34"/>
  <c r="I42" i="31"/>
  <c r="G91" i="30"/>
  <c r="G103" i="30" s="1"/>
  <c r="I101" i="30"/>
  <c r="G24" i="30"/>
  <c r="F40" i="35"/>
  <c r="I24" i="30"/>
  <c r="F47" i="32"/>
  <c r="F50" i="32" s="1"/>
  <c r="G155" i="30"/>
  <c r="E42" i="31"/>
  <c r="E45" i="31" s="1"/>
  <c r="N40" i="35"/>
  <c r="R25" i="35"/>
  <c r="V25" i="35" s="1"/>
  <c r="M154" i="42"/>
  <c r="M139" i="42"/>
  <c r="AB16" i="26"/>
  <c r="D44" i="5" s="1"/>
  <c r="D45" i="5" s="1"/>
  <c r="C51" i="26"/>
  <c r="E16" i="26" s="1"/>
  <c r="B44" i="5" s="1"/>
  <c r="M147" i="42"/>
  <c r="K29" i="30"/>
  <c r="C25" i="8"/>
  <c r="I25" i="8" s="1"/>
  <c r="M152" i="42"/>
  <c r="K121" i="30"/>
  <c r="E82" i="25"/>
  <c r="G14" i="25" s="1"/>
  <c r="Q39" i="14"/>
  <c r="AD14" i="25"/>
  <c r="AD82" i="25" s="1"/>
  <c r="K20" i="31"/>
  <c r="M182" i="42"/>
  <c r="C34" i="10"/>
  <c r="M34" i="10" s="1"/>
  <c r="K53" i="30"/>
  <c r="R26" i="35"/>
  <c r="V26" i="35" s="1"/>
  <c r="J40" i="35"/>
  <c r="L45" i="32"/>
  <c r="K23" i="30"/>
  <c r="K69" i="30"/>
  <c r="C30" i="10"/>
  <c r="M30" i="10" s="1"/>
  <c r="K21" i="31"/>
  <c r="V38" i="35"/>
  <c r="K149" i="30"/>
  <c r="M120" i="42"/>
  <c r="M184" i="42"/>
  <c r="R37" i="35"/>
  <c r="V37" i="35" s="1"/>
  <c r="M255" i="42"/>
  <c r="M224" i="42"/>
  <c r="K84" i="30"/>
  <c r="K65" i="30"/>
  <c r="M254" i="42"/>
  <c r="M167" i="42"/>
  <c r="M234" i="42"/>
  <c r="M129" i="42"/>
  <c r="M94" i="42"/>
  <c r="M169" i="42"/>
  <c r="O258" i="42"/>
  <c r="M214" i="42"/>
  <c r="M117" i="42"/>
  <c r="K17" i="30"/>
  <c r="K133" i="30"/>
  <c r="M160" i="42"/>
  <c r="M250" i="42"/>
  <c r="M157" i="42"/>
  <c r="R36" i="35"/>
  <c r="V36" i="35" s="1"/>
  <c r="D40" i="35"/>
  <c r="K128" i="30"/>
  <c r="K82" i="30"/>
  <c r="C23" i="13"/>
  <c r="M23" i="13" s="1"/>
  <c r="K18" i="30"/>
  <c r="M185" i="42"/>
  <c r="K19" i="31"/>
  <c r="M146" i="42"/>
  <c r="M116" i="42"/>
  <c r="K129" i="30"/>
  <c r="C24" i="13"/>
  <c r="M24" i="13" s="1"/>
  <c r="L31" i="32"/>
  <c r="M41" i="34"/>
  <c r="M109" i="42"/>
  <c r="P40" i="35"/>
  <c r="K130" i="30"/>
  <c r="C31" i="10"/>
  <c r="M31" i="10" s="1"/>
  <c r="L43" i="32"/>
  <c r="M165" i="42"/>
  <c r="K86" i="30"/>
  <c r="M136" i="42"/>
  <c r="K43" i="30"/>
  <c r="K146" i="30"/>
  <c r="L35" i="32"/>
  <c r="M257" i="42"/>
  <c r="M128" i="42"/>
  <c r="M112" i="42"/>
  <c r="M131" i="42"/>
  <c r="K36" i="30"/>
  <c r="M123" i="42"/>
  <c r="M143" i="42"/>
  <c r="K54" i="30"/>
  <c r="C21" i="13"/>
  <c r="M21" i="13" s="1"/>
  <c r="K22" i="30"/>
  <c r="K32" i="30"/>
  <c r="K47" i="30"/>
  <c r="L44" i="32"/>
  <c r="M205" i="42"/>
  <c r="M144" i="42"/>
  <c r="K139" i="30"/>
  <c r="M178" i="42"/>
  <c r="L38" i="32"/>
  <c r="L37" i="32"/>
  <c r="K52" i="30"/>
  <c r="L40" i="32"/>
  <c r="M158" i="42"/>
  <c r="K120" i="30"/>
  <c r="M183" i="42"/>
  <c r="L39" i="32"/>
  <c r="M137" i="42"/>
  <c r="K154" i="30"/>
  <c r="C22" i="10"/>
  <c r="M22" i="10" s="1"/>
  <c r="M130" i="42"/>
  <c r="M84" i="42"/>
  <c r="M161" i="42"/>
  <c r="K123" i="30"/>
  <c r="M134" i="42"/>
  <c r="M243" i="42"/>
  <c r="M233" i="42"/>
  <c r="M20" i="34"/>
  <c r="L33" i="32"/>
  <c r="K55" i="30"/>
  <c r="M114" i="42"/>
  <c r="M83" i="42"/>
  <c r="R32" i="35"/>
  <c r="V32" i="35" s="1"/>
  <c r="C32" i="13"/>
  <c r="M32" i="13" s="1"/>
  <c r="O11" i="42"/>
  <c r="M11" i="42"/>
  <c r="E113" i="30"/>
  <c r="K106" i="30"/>
  <c r="M75" i="42"/>
  <c r="M138" i="42"/>
  <c r="K41" i="30"/>
  <c r="M156" i="42"/>
  <c r="M187" i="42"/>
  <c r="M76" i="42"/>
  <c r="K90" i="30"/>
  <c r="M247" i="42"/>
  <c r="M124" i="42"/>
  <c r="K33" i="30"/>
  <c r="M219" i="42"/>
  <c r="M240" i="42"/>
  <c r="M101" i="42"/>
  <c r="K31" i="30"/>
  <c r="K21" i="30"/>
  <c r="K153" i="30"/>
  <c r="V22" i="35"/>
  <c r="C24" i="8"/>
  <c r="I24" i="8" s="1"/>
  <c r="C23" i="8"/>
  <c r="I23" i="8" s="1"/>
  <c r="M27" i="14"/>
  <c r="K71" i="30"/>
  <c r="M166" i="42"/>
  <c r="M172" i="42"/>
  <c r="M225" i="42"/>
  <c r="B38" i="28"/>
  <c r="D13" i="28" s="1"/>
  <c r="B41" i="6" s="1"/>
  <c r="D41" i="6"/>
  <c r="C24" i="10"/>
  <c r="M24" i="10" s="1"/>
  <c r="C25" i="10"/>
  <c r="M25" i="10" s="1"/>
  <c r="M150" i="42"/>
  <c r="K80" i="30"/>
  <c r="K135" i="30"/>
  <c r="M216" i="42"/>
  <c r="M15" i="42"/>
  <c r="M153" i="42"/>
  <c r="M63" i="34"/>
  <c r="M162" i="42"/>
  <c r="K63" i="30"/>
  <c r="L32" i="32"/>
  <c r="K26" i="13"/>
  <c r="C26" i="13"/>
  <c r="M122" i="42"/>
  <c r="C35" i="11"/>
  <c r="C29" i="10"/>
  <c r="M29" i="10" s="1"/>
  <c r="M140" i="42"/>
  <c r="M244" i="42"/>
  <c r="K36" i="31"/>
  <c r="AB55" i="15"/>
  <c r="AB57" i="15" s="1"/>
  <c r="K30" i="30"/>
  <c r="C32" i="7"/>
  <c r="I32" i="7" s="1"/>
  <c r="C32" i="8"/>
  <c r="I32" i="8" s="1"/>
  <c r="K37" i="31"/>
  <c r="L36" i="32"/>
  <c r="M77" i="42"/>
  <c r="K107" i="30"/>
  <c r="M181" i="42"/>
  <c r="C29" i="8"/>
  <c r="I29" i="8" s="1"/>
  <c r="B46" i="27"/>
  <c r="D14" i="27" s="1"/>
  <c r="F44" i="5" s="1"/>
  <c r="AA14" i="27"/>
  <c r="K20" i="30"/>
  <c r="K144" i="30"/>
  <c r="K137" i="30"/>
  <c r="K79" i="30"/>
  <c r="M148" i="42"/>
  <c r="C30" i="13"/>
  <c r="M30" i="13" s="1"/>
  <c r="C33" i="14"/>
  <c r="K23" i="31"/>
  <c r="C20" i="13"/>
  <c r="M20" i="13" s="1"/>
  <c r="C27" i="14"/>
  <c r="C25" i="13"/>
  <c r="M25" i="13" s="1"/>
  <c r="C40" i="7"/>
  <c r="I40" i="7" s="1"/>
  <c r="K58" i="30"/>
  <c r="M108" i="42"/>
  <c r="M210" i="42"/>
  <c r="V21" i="35"/>
  <c r="K134" i="30"/>
  <c r="M180" i="42"/>
  <c r="K77" i="30"/>
  <c r="M204" i="42"/>
  <c r="O206" i="42"/>
  <c r="M133" i="42"/>
  <c r="C31" i="13"/>
  <c r="M31" i="13" s="1"/>
  <c r="K37" i="30"/>
  <c r="K147" i="30"/>
  <c r="M78" i="42"/>
  <c r="M86" i="42"/>
  <c r="M229" i="42"/>
  <c r="M159" i="42"/>
  <c r="C22" i="13"/>
  <c r="M22" i="13" s="1"/>
  <c r="K66" i="30"/>
  <c r="R28" i="35"/>
  <c r="V28" i="35" s="1"/>
  <c r="K35" i="30"/>
  <c r="M223" i="42"/>
  <c r="N35" i="11"/>
  <c r="C33" i="8"/>
  <c r="I33" i="8" s="1"/>
  <c r="C33" i="10"/>
  <c r="M33" i="10" s="1"/>
  <c r="M217" i="42"/>
  <c r="K68" i="30"/>
  <c r="M142" i="42"/>
  <c r="M107" i="42"/>
  <c r="M113" i="42"/>
  <c r="K145" i="30"/>
  <c r="M118" i="42"/>
  <c r="M236" i="42"/>
  <c r="K73" i="30"/>
  <c r="K81" i="30"/>
  <c r="L41" i="32"/>
  <c r="AD78" i="22"/>
  <c r="AG12" i="22"/>
  <c r="AI12" i="22" s="1"/>
  <c r="AA57" i="3"/>
  <c r="AE16" i="17"/>
  <c r="M171" i="42"/>
  <c r="K99" i="30"/>
  <c r="AI103" i="23"/>
  <c r="AG82" i="25"/>
  <c r="M256" i="42"/>
  <c r="M70" i="42"/>
  <c r="M115" i="42"/>
  <c r="P41" i="6"/>
  <c r="P42" i="6" s="1"/>
  <c r="AD38" i="29"/>
  <c r="M177" i="42"/>
  <c r="K72" i="30"/>
  <c r="AE51" i="26"/>
  <c r="P44" i="5"/>
  <c r="P45" i="5" s="1"/>
  <c r="M121" i="42"/>
  <c r="M174" i="42"/>
  <c r="M237" i="42"/>
  <c r="M149" i="42"/>
  <c r="M85" i="42"/>
  <c r="C23" i="10"/>
  <c r="M23" i="10" s="1"/>
  <c r="K131" i="30"/>
  <c r="K16" i="30"/>
  <c r="M170" i="42"/>
  <c r="K51" i="30"/>
  <c r="K151" i="30"/>
  <c r="C21" i="8"/>
  <c r="I21" i="8" s="1"/>
  <c r="M106" i="42"/>
  <c r="C27" i="12"/>
  <c r="R17" i="35"/>
  <c r="V17" i="35" s="1"/>
  <c r="N26" i="11"/>
  <c r="K56" i="30"/>
  <c r="M95" i="42"/>
  <c r="R34" i="35"/>
  <c r="V34" i="35" s="1"/>
  <c r="M145" i="42"/>
  <c r="M91" i="42"/>
  <c r="K49" i="30"/>
  <c r="M239" i="42"/>
  <c r="M179" i="42"/>
  <c r="K42" i="30"/>
  <c r="K87" i="30"/>
  <c r="M221" i="42"/>
  <c r="E102" i="24"/>
  <c r="G14" i="24" s="1"/>
  <c r="G39" i="14"/>
  <c r="I39" i="14" s="1"/>
  <c r="E15" i="23"/>
  <c r="AD102" i="24"/>
  <c r="M132" i="42"/>
  <c r="M251" i="42"/>
  <c r="M79" i="42"/>
  <c r="B38" i="29"/>
  <c r="D13" i="29" s="1"/>
  <c r="F41" i="6" s="1"/>
  <c r="AA13" i="29"/>
  <c r="AG13" i="29" s="1"/>
  <c r="AI13" i="29" s="1"/>
  <c r="M135" i="42"/>
  <c r="C20" i="10"/>
  <c r="M20" i="10" s="1"/>
  <c r="C26" i="11"/>
  <c r="K44" i="30"/>
  <c r="K57" i="30"/>
  <c r="M80" i="42"/>
  <c r="M119" i="42"/>
  <c r="V24" i="35"/>
  <c r="C33" i="12"/>
  <c r="K19" i="30"/>
  <c r="K22" i="31"/>
  <c r="M252" i="42"/>
  <c r="N34" i="6"/>
  <c r="N39" i="6" s="1"/>
  <c r="M110" i="42"/>
  <c r="M96" i="42"/>
  <c r="M220" i="42"/>
  <c r="K78" i="30"/>
  <c r="K122" i="30"/>
  <c r="M164" i="42"/>
  <c r="M99" i="42"/>
  <c r="M45" i="34"/>
  <c r="M163" i="42"/>
  <c r="K25" i="31"/>
  <c r="M97" i="42"/>
  <c r="M241" i="42"/>
  <c r="K38" i="30"/>
  <c r="C20" i="8"/>
  <c r="I20" i="8" s="1"/>
  <c r="K125" i="30"/>
  <c r="K24" i="31"/>
  <c r="M155" i="42"/>
  <c r="M62" i="42"/>
  <c r="K126" i="30"/>
  <c r="L42" i="32"/>
  <c r="M93" i="42"/>
  <c r="M246" i="42"/>
  <c r="M125" i="42"/>
  <c r="L34" i="32"/>
  <c r="M235" i="42"/>
  <c r="M242" i="42"/>
  <c r="C31" i="8"/>
  <c r="I31" i="8" s="1"/>
  <c r="G113" i="30"/>
  <c r="K70" i="30"/>
  <c r="M89" i="42"/>
  <c r="O102" i="42" s="1"/>
  <c r="R31" i="35"/>
  <c r="V31" i="35" s="1"/>
  <c r="K41" i="31"/>
  <c r="O211" i="42"/>
  <c r="M209" i="42"/>
  <c r="L24" i="32"/>
  <c r="K140" i="30"/>
  <c r="M141" i="42"/>
  <c r="I91" i="30"/>
  <c r="K28" i="30"/>
  <c r="K143" i="30"/>
  <c r="K119" i="30"/>
  <c r="K83" i="30"/>
  <c r="C21" i="10"/>
  <c r="M21" i="10" s="1"/>
  <c r="M249" i="42"/>
  <c r="C30" i="8"/>
  <c r="I30" i="8" s="1"/>
  <c r="K127" i="30"/>
  <c r="M33" i="14"/>
  <c r="M253" i="42"/>
  <c r="L23" i="32"/>
  <c r="M248" i="42"/>
  <c r="K75" i="30"/>
  <c r="M105" i="42"/>
  <c r="O188" i="42"/>
  <c r="K76" i="30"/>
  <c r="K35" i="31"/>
  <c r="M230" i="42"/>
  <c r="M245" i="42"/>
  <c r="AB51" i="2"/>
  <c r="AB55" i="2" s="1"/>
  <c r="K100" i="30"/>
  <c r="K48" i="30"/>
  <c r="M82" i="42"/>
  <c r="M168" i="42"/>
  <c r="K142" i="30"/>
  <c r="K124" i="30"/>
  <c r="K26" i="31"/>
  <c r="M151" i="42"/>
  <c r="O261" i="42" l="1"/>
  <c r="Q40" i="14"/>
  <c r="S39" i="14"/>
  <c r="M26" i="13"/>
  <c r="M27" i="13" s="1"/>
  <c r="R57" i="2"/>
  <c r="X57" i="2" s="1"/>
  <c r="AF15" i="23"/>
  <c r="M26" i="10"/>
  <c r="C22" i="7"/>
  <c r="I22" i="7" s="1"/>
  <c r="H44" i="5"/>
  <c r="H45" i="5" s="1"/>
  <c r="AA46" i="27"/>
  <c r="AG46" i="27" s="1"/>
  <c r="AI46" i="27" s="1"/>
  <c r="U40" i="14"/>
  <c r="G40" i="14"/>
  <c r="K27" i="13"/>
  <c r="K37" i="13" s="1"/>
  <c r="G82" i="25"/>
  <c r="G102" i="24"/>
  <c r="L26" i="32"/>
  <c r="K101" i="30"/>
  <c r="AA38" i="28"/>
  <c r="AG38" i="28" s="1"/>
  <c r="AI38" i="28" s="1"/>
  <c r="K113" i="30"/>
  <c r="G157" i="30"/>
  <c r="M211" i="42"/>
  <c r="M206" i="42"/>
  <c r="S33" i="14"/>
  <c r="AG78" i="22"/>
  <c r="AI78" i="22" s="1"/>
  <c r="K28" i="31"/>
  <c r="AJ14" i="24"/>
  <c r="AJ102" i="24" s="1"/>
  <c r="AL102" i="24" s="1"/>
  <c r="AA59" i="3"/>
  <c r="I35" i="11"/>
  <c r="C23" i="7"/>
  <c r="I23" i="7" s="1"/>
  <c r="C33" i="13"/>
  <c r="I33" i="12"/>
  <c r="AG13" i="28"/>
  <c r="M65" i="34"/>
  <c r="K24" i="30"/>
  <c r="I103" i="30"/>
  <c r="I157" i="30" s="1"/>
  <c r="K42" i="31"/>
  <c r="AG14" i="27"/>
  <c r="AI14" i="27" s="1"/>
  <c r="I27" i="12"/>
  <c r="C37" i="14"/>
  <c r="C40" i="14" s="1"/>
  <c r="I45" i="31"/>
  <c r="N39" i="11"/>
  <c r="N42" i="11" s="1"/>
  <c r="C39" i="11"/>
  <c r="C42" i="11" s="1"/>
  <c r="AB51" i="26"/>
  <c r="AH51" i="26" s="1"/>
  <c r="AJ51" i="26" s="1"/>
  <c r="K40" i="14"/>
  <c r="J50" i="32"/>
  <c r="AJ14" i="25"/>
  <c r="AL14" i="25" s="1"/>
  <c r="G39" i="13"/>
  <c r="G49" i="7" s="1"/>
  <c r="I49" i="7" s="1"/>
  <c r="E103" i="23"/>
  <c r="G15" i="23" s="1"/>
  <c r="P57" i="2" s="1"/>
  <c r="M33" i="13"/>
  <c r="I33" i="14"/>
  <c r="V40" i="35"/>
  <c r="I27" i="14"/>
  <c r="T35" i="11"/>
  <c r="E157" i="30"/>
  <c r="G41" i="7"/>
  <c r="T26" i="11"/>
  <c r="I26" i="11"/>
  <c r="M37" i="14"/>
  <c r="M40" i="14" s="1"/>
  <c r="C37" i="12"/>
  <c r="C40" i="12" s="1"/>
  <c r="AL82" i="25"/>
  <c r="R40" i="35"/>
  <c r="L47" i="32"/>
  <c r="K155" i="30"/>
  <c r="H41" i="6"/>
  <c r="H42" i="6" s="1"/>
  <c r="AA38" i="29"/>
  <c r="AG38" i="29" s="1"/>
  <c r="AI38" i="29" s="1"/>
  <c r="AH16" i="26"/>
  <c r="AJ16" i="26" s="1"/>
  <c r="S27" i="14"/>
  <c r="O27" i="13"/>
  <c r="O37" i="13" s="1"/>
  <c r="AD57" i="2"/>
  <c r="AD59" i="2" s="1"/>
  <c r="AE16" i="16"/>
  <c r="AE148" i="16" s="1"/>
  <c r="C16" i="16"/>
  <c r="AB16" i="16" s="1"/>
  <c r="I26" i="8"/>
  <c r="K91" i="30"/>
  <c r="M258" i="42"/>
  <c r="M35" i="10"/>
  <c r="I34" i="8"/>
  <c r="C27" i="13"/>
  <c r="C21" i="7"/>
  <c r="I21" i="7" s="1"/>
  <c r="C30" i="7"/>
  <c r="I30" i="7" s="1"/>
  <c r="C34" i="8"/>
  <c r="C43" i="9"/>
  <c r="C31" i="9"/>
  <c r="C29" i="7"/>
  <c r="I29" i="7" s="1"/>
  <c r="C33" i="7"/>
  <c r="I33" i="7" s="1"/>
  <c r="M188" i="42"/>
  <c r="M102" i="42"/>
  <c r="C26" i="10"/>
  <c r="C25" i="7"/>
  <c r="I25" i="7" s="1"/>
  <c r="C35" i="10"/>
  <c r="C24" i="7"/>
  <c r="I24" i="7" s="1"/>
  <c r="C31" i="7"/>
  <c r="I31" i="7" s="1"/>
  <c r="C26" i="8"/>
  <c r="C20" i="7"/>
  <c r="I20" i="7" s="1"/>
  <c r="AD57" i="3"/>
  <c r="AD59" i="3" s="1"/>
  <c r="I43" i="9"/>
  <c r="C42" i="7"/>
  <c r="I42" i="7" s="1"/>
  <c r="C41" i="8"/>
  <c r="I41" i="8" s="1"/>
  <c r="C41" i="7"/>
  <c r="I31" i="9"/>
  <c r="C40" i="8"/>
  <c r="I40" i="8" s="1"/>
  <c r="AE147" i="17"/>
  <c r="AH16" i="17"/>
  <c r="AJ16" i="17" s="1"/>
  <c r="D42" i="6"/>
  <c r="AF103" i="23" l="1"/>
  <c r="AN103" i="23" s="1"/>
  <c r="K43" i="7"/>
  <c r="K47" i="7" s="1"/>
  <c r="I41" i="7"/>
  <c r="I43" i="7" s="1"/>
  <c r="L44" i="5"/>
  <c r="L45" i="5" s="1"/>
  <c r="AB59" i="2"/>
  <c r="I82" i="25"/>
  <c r="I102" i="24"/>
  <c r="E51" i="26"/>
  <c r="D46" i="27"/>
  <c r="D38" i="29"/>
  <c r="D38" i="28"/>
  <c r="K103" i="30"/>
  <c r="K157" i="30" s="1"/>
  <c r="S37" i="14"/>
  <c r="S40" i="14" s="1"/>
  <c r="AL14" i="24"/>
  <c r="AF59" i="3"/>
  <c r="I39" i="11"/>
  <c r="I42" i="11" s="1"/>
  <c r="C37" i="13"/>
  <c r="C40" i="13" s="1"/>
  <c r="K45" i="31"/>
  <c r="AJ82" i="25"/>
  <c r="I37" i="12"/>
  <c r="I40" i="12" s="1"/>
  <c r="AL15" i="23"/>
  <c r="AN15" i="23" s="1"/>
  <c r="G40" i="13"/>
  <c r="K39" i="13"/>
  <c r="M39" i="13" s="1"/>
  <c r="L50" i="32"/>
  <c r="M37" i="13"/>
  <c r="I37" i="14"/>
  <c r="I40" i="14" s="1"/>
  <c r="T39" i="11"/>
  <c r="T42" i="11" s="1"/>
  <c r="G43" i="7"/>
  <c r="G47" i="7" s="1"/>
  <c r="I47" i="9"/>
  <c r="I50" i="9" s="1"/>
  <c r="L41" i="6"/>
  <c r="S41" i="6" s="1"/>
  <c r="I37" i="8"/>
  <c r="C37" i="8"/>
  <c r="C42" i="8"/>
  <c r="C46" i="8" s="1"/>
  <c r="C49" i="8" s="1"/>
  <c r="C47" i="9"/>
  <c r="C50" i="9" s="1"/>
  <c r="AH16" i="16"/>
  <c r="AJ16" i="16" s="1"/>
  <c r="R59" i="2"/>
  <c r="AI57" i="2"/>
  <c r="AG57" i="2"/>
  <c r="I42" i="8"/>
  <c r="C148" i="16"/>
  <c r="E16" i="16" s="1"/>
  <c r="M261" i="42"/>
  <c r="I34" i="7"/>
  <c r="M39" i="10"/>
  <c r="M42" i="10" s="1"/>
  <c r="I26" i="7"/>
  <c r="C34" i="7"/>
  <c r="AF57" i="3"/>
  <c r="C39" i="10"/>
  <c r="C42" i="10" s="1"/>
  <c r="C26" i="7"/>
  <c r="C43" i="7"/>
  <c r="I46" i="8" l="1"/>
  <c r="I49" i="8" s="1"/>
  <c r="C47" i="7"/>
  <c r="C50" i="7" s="1"/>
  <c r="S44" i="5"/>
  <c r="U44" i="5" s="1"/>
  <c r="K50" i="7"/>
  <c r="K40" i="13"/>
  <c r="O40" i="13"/>
  <c r="I47" i="7"/>
  <c r="I50" i="7" s="1"/>
  <c r="K82" i="25"/>
  <c r="K102" i="24"/>
  <c r="E148" i="16"/>
  <c r="G103" i="23"/>
  <c r="AL103" i="23"/>
  <c r="M40" i="13"/>
  <c r="L42" i="6"/>
  <c r="G50" i="7"/>
  <c r="I37" i="7"/>
  <c r="C37" i="7"/>
  <c r="U41" i="6"/>
  <c r="S42" i="6"/>
  <c r="U42" i="6" s="1"/>
  <c r="V22" i="15"/>
  <c r="V25" i="15" s="1"/>
  <c r="V57" i="15" s="1"/>
  <c r="F37" i="19"/>
  <c r="F85" i="19" s="1"/>
  <c r="F111" i="19" s="1"/>
  <c r="F121" i="19" s="1"/>
  <c r="F123" i="19" s="1"/>
  <c r="AD37" i="19"/>
  <c r="AD85" i="19" s="1"/>
  <c r="AD111" i="19" s="1"/>
  <c r="AD121" i="19" s="1"/>
  <c r="S45" i="5" l="1"/>
  <c r="U45" i="5" s="1"/>
  <c r="M82" i="25"/>
  <c r="F38" i="29"/>
  <c r="F38" i="28"/>
  <c r="F46" i="27"/>
  <c r="G51" i="26"/>
  <c r="H123" i="19"/>
  <c r="AJ121" i="19"/>
  <c r="AL121" i="19" s="1"/>
  <c r="AD123" i="19"/>
  <c r="AJ123" i="19" s="1"/>
  <c r="AL123" i="19" s="1"/>
  <c r="AJ17" i="19"/>
  <c r="J14" i="2"/>
  <c r="H25" i="15"/>
  <c r="H57" i="15" s="1"/>
  <c r="J22" i="15"/>
  <c r="O82" i="25" l="1"/>
  <c r="AJ37" i="19"/>
  <c r="AL37" i="19" s="1"/>
  <c r="AL17" i="19"/>
  <c r="J123" i="19"/>
  <c r="G148" i="16"/>
  <c r="I103" i="23"/>
  <c r="X22" i="15"/>
  <c r="J25" i="15"/>
  <c r="J57" i="15" s="1"/>
  <c r="X14" i="2"/>
  <c r="J20" i="2"/>
  <c r="J45" i="2" s="1"/>
  <c r="J55" i="2" s="1"/>
  <c r="J59" i="2" s="1"/>
  <c r="Q82" i="25" l="1"/>
  <c r="AJ85" i="19"/>
  <c r="AL85" i="19" s="1"/>
  <c r="L123" i="19"/>
  <c r="H38" i="28"/>
  <c r="H38" i="29"/>
  <c r="I51" i="26"/>
  <c r="H46" i="27"/>
  <c r="I148" i="16"/>
  <c r="AG14" i="2"/>
  <c r="AG20" i="2" s="1"/>
  <c r="AI14" i="2"/>
  <c r="X20" i="2"/>
  <c r="X25" i="15"/>
  <c r="AH22" i="15"/>
  <c r="AJ22" i="15" s="1"/>
  <c r="S82" i="25" l="1"/>
  <c r="AJ111" i="19"/>
  <c r="AL111" i="19" s="1"/>
  <c r="N123" i="19"/>
  <c r="K103" i="23"/>
  <c r="X57" i="15"/>
  <c r="AH57" i="15" s="1"/>
  <c r="AJ57" i="15" s="1"/>
  <c r="AH25" i="15"/>
  <c r="AJ25" i="15" s="1"/>
  <c r="AI20" i="2"/>
  <c r="X45" i="2"/>
  <c r="U82" i="25" l="1"/>
  <c r="P123" i="19"/>
  <c r="K51" i="26"/>
  <c r="J46" i="27"/>
  <c r="J38" i="28"/>
  <c r="J38" i="29"/>
  <c r="AG45" i="2"/>
  <c r="AG55" i="2" s="1"/>
  <c r="AG59" i="2" s="1"/>
  <c r="AI45" i="2"/>
  <c r="X55" i="2"/>
  <c r="W82" i="25" l="1"/>
  <c r="R123" i="19"/>
  <c r="M103" i="23"/>
  <c r="AI55" i="2"/>
  <c r="X59" i="2"/>
  <c r="AI59" i="2" s="1"/>
  <c r="N42" i="6"/>
  <c r="M102" i="24"/>
  <c r="O102" i="24" s="1"/>
  <c r="Q102" i="24" s="1"/>
  <c r="S102" i="24" s="1"/>
  <c r="U102" i="24" s="1"/>
  <c r="W102" i="24" s="1"/>
  <c r="Y102" i="24" s="1"/>
  <c r="AA102" i="24" s="1"/>
  <c r="Y82" i="25" l="1"/>
  <c r="T123" i="19"/>
  <c r="M51" i="26"/>
  <c r="L46" i="27"/>
  <c r="L38" i="28"/>
  <c r="L38" i="29"/>
  <c r="J62" i="22"/>
  <c r="J65" i="22" s="1"/>
  <c r="J75" i="22" s="1"/>
  <c r="J78" i="22" s="1"/>
  <c r="V37" i="2"/>
  <c r="L41" i="3"/>
  <c r="R41" i="3" s="1"/>
  <c r="AA82" i="25" l="1"/>
  <c r="V123" i="19"/>
  <c r="AB129" i="17"/>
  <c r="AH129" i="17" s="1"/>
  <c r="AJ129" i="17" s="1"/>
  <c r="O103" i="23"/>
  <c r="K132" i="17"/>
  <c r="K135" i="17" s="1"/>
  <c r="K145" i="17" s="1"/>
  <c r="K147" i="17" s="1"/>
  <c r="V40" i="2"/>
  <c r="V42" i="2" s="1"/>
  <c r="V45" i="2" s="1"/>
  <c r="V55" i="2" s="1"/>
  <c r="AB126" i="16"/>
  <c r="AH126" i="16" s="1"/>
  <c r="AJ126" i="16" s="1"/>
  <c r="L38" i="3"/>
  <c r="L43" i="3" s="1"/>
  <c r="L46" i="3" s="1"/>
  <c r="L55" i="3" s="1"/>
  <c r="M132" i="17"/>
  <c r="M135" i="17" s="1"/>
  <c r="M145" i="17" s="1"/>
  <c r="AB126" i="17"/>
  <c r="AB129" i="16"/>
  <c r="AH129" i="16" s="1"/>
  <c r="AJ129" i="16" s="1"/>
  <c r="L62" i="22"/>
  <c r="L65" i="22" s="1"/>
  <c r="L75" i="22" s="1"/>
  <c r="L78" i="22" s="1"/>
  <c r="L42" i="2"/>
  <c r="L45" i="2" s="1"/>
  <c r="L55" i="2" s="1"/>
  <c r="K132" i="16"/>
  <c r="K135" i="16" s="1"/>
  <c r="K146" i="16" s="1"/>
  <c r="K148" i="16" s="1"/>
  <c r="X123" i="19" l="1"/>
  <c r="O148" i="16"/>
  <c r="O51" i="26"/>
  <c r="N46" i="27"/>
  <c r="N38" i="28"/>
  <c r="N38" i="29"/>
  <c r="N78" i="22"/>
  <c r="Q103" i="23"/>
  <c r="M147" i="17"/>
  <c r="R38" i="3"/>
  <c r="R43" i="3" s="1"/>
  <c r="R46" i="3" s="1"/>
  <c r="R55" i="3" s="1"/>
  <c r="AB132" i="17"/>
  <c r="AB135" i="17" s="1"/>
  <c r="AH126" i="17"/>
  <c r="M132" i="16"/>
  <c r="M135" i="16" s="1"/>
  <c r="M146" i="16" s="1"/>
  <c r="M148" i="16" s="1"/>
  <c r="AB132" i="16"/>
  <c r="H59" i="2" l="1"/>
  <c r="Z123" i="19"/>
  <c r="P78" i="22"/>
  <c r="O147" i="17"/>
  <c r="Q147" i="17" s="1"/>
  <c r="S147" i="17" s="1"/>
  <c r="U147" i="17" s="1"/>
  <c r="W147" i="17" s="1"/>
  <c r="Y147" i="17" s="1"/>
  <c r="AH132" i="16"/>
  <c r="AJ132" i="16" s="1"/>
  <c r="AB135" i="16"/>
  <c r="AH132" i="17"/>
  <c r="AJ132" i="17" s="1"/>
  <c r="AJ126" i="17"/>
  <c r="AH135" i="17"/>
  <c r="AJ135" i="17" s="1"/>
  <c r="AB145" i="17"/>
  <c r="R78" i="22" l="1"/>
  <c r="Q148" i="16"/>
  <c r="P38" i="29"/>
  <c r="P38" i="28"/>
  <c r="P46" i="27"/>
  <c r="Q51" i="26"/>
  <c r="S103" i="23"/>
  <c r="AH135" i="16"/>
  <c r="AJ135" i="16" s="1"/>
  <c r="AB146" i="16"/>
  <c r="AB147" i="17"/>
  <c r="AH147" i="17" s="1"/>
  <c r="AJ147" i="17" s="1"/>
  <c r="AH145" i="17"/>
  <c r="AJ145" i="17" s="1"/>
  <c r="T78" i="22" l="1"/>
  <c r="AH146" i="16"/>
  <c r="AJ146" i="16" s="1"/>
  <c r="AB148" i="16"/>
  <c r="AH148" i="16" s="1"/>
  <c r="AJ148" i="16" s="1"/>
  <c r="V78" i="22" l="1"/>
  <c r="R38" i="28"/>
  <c r="S51" i="26"/>
  <c r="R46" i="27"/>
  <c r="R38" i="29"/>
  <c r="U103" i="23"/>
  <c r="S148" i="16"/>
  <c r="X78" i="22" l="1"/>
  <c r="W103" i="23"/>
  <c r="U148" i="16"/>
  <c r="L57" i="3" l="1"/>
  <c r="L59" i="2"/>
  <c r="Y103" i="23"/>
  <c r="W148" i="16"/>
  <c r="Y148" i="16" s="1"/>
  <c r="T38" i="28"/>
  <c r="T46" i="27"/>
  <c r="U51" i="26"/>
  <c r="T38" i="29"/>
  <c r="AA103" i="23" l="1"/>
  <c r="L59" i="3"/>
  <c r="R57" i="3"/>
  <c r="R59" i="3" s="1"/>
  <c r="V57" i="2" l="1"/>
  <c r="V59" i="2" s="1"/>
  <c r="P59" i="2"/>
  <c r="V46" i="27"/>
  <c r="W51" i="26"/>
  <c r="V38" i="28"/>
  <c r="V38" i="29"/>
  <c r="B42" i="6" l="1"/>
  <c r="F42" i="6"/>
  <c r="F45" i="5"/>
  <c r="X46" i="27"/>
  <c r="B45" i="5"/>
  <c r="Y51" i="26"/>
  <c r="X38" i="28" l="1"/>
  <c r="J41" i="6"/>
  <c r="J42" i="6" s="1"/>
  <c r="X38" i="29"/>
  <c r="J44" i="5"/>
  <c r="J45" i="5" s="1"/>
</calcChain>
</file>

<file path=xl/sharedStrings.xml><?xml version="1.0" encoding="utf-8"?>
<sst xmlns="http://schemas.openxmlformats.org/spreadsheetml/2006/main" count="4170" uniqueCount="1539">
  <si>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</si>
  <si>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</si>
  <si>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</si>
  <si>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</si>
  <si>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</si>
  <si>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</si>
  <si>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</si>
  <si>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</si>
  <si>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</si>
  <si>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</si>
  <si>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</si>
  <si>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</si>
  <si>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</si>
  <si>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</si>
  <si>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</si>
  <si>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</si>
  <si>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</si>
  <si>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</si>
  <si>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</si>
  <si>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</si>
  <si>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</si>
  <si>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</si>
  <si>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</si>
  <si>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</si>
  <si>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</si>
  <si>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</si>
  <si>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</si>
  <si>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</si>
  <si>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</si>
  <si>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</si>
  <si>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</si>
  <si>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</si>
  <si>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</si>
  <si>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</si>
  <si>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</si>
  <si>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</si>
  <si>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</si>
  <si>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</si>
  <si>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</si>
  <si>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</si>
  <si>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</si>
  <si>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</si>
  <si>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</si>
  <si>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</si>
  <si>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</si>
  <si>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</si>
  <si>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</si>
  <si>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</si>
  <si>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</si>
  <si>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</si>
  <si>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</si>
  <si>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</si>
  <si>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</si>
  <si>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</si>
  <si>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</si>
  <si>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</si>
  <si>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</si>
  <si>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</si>
  <si>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</si>
  <si>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</si>
  <si>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</si>
  <si>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</si>
  <si>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</si>
  <si>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</si>
  <si>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</si>
  <si>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</si>
  <si>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</si>
  <si>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</si>
  <si>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</si>
  <si>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</si>
  <si>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</si>
  <si>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</si>
  <si>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</si>
  <si>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</si>
  <si>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</si>
  <si>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</si>
  <si>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</si>
  <si>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</si>
  <si>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</si>
  <si>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</si>
  <si>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</si>
  <si>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</si>
  <si>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</si>
  <si>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</si>
  <si>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</si>
  <si>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</si>
  <si>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</si>
  <si>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</si>
  <si>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</si>
  <si>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</si>
  <si>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</si>
  <si>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</si>
  <si>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</si>
  <si>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</si>
  <si>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</si>
  <si>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</si>
  <si>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</si>
  <si>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</si>
  <si>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</si>
  <si>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</si>
  <si>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</si>
  <si>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</si>
  <si>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</si>
  <si>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</si>
  <si>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</si>
  <si>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</si>
  <si>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</si>
  <si>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</si>
  <si>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</si>
  <si>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</si>
  <si>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</si>
  <si>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</si>
  <si>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</si>
  <si>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</si>
  <si>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</si>
  <si>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</si>
  <si>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</si>
  <si>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</si>
  <si>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</si>
  <si>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</si>
  <si>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</si>
  <si>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</si>
  <si>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</si>
  <si>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</si>
  <si>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</si>
  <si>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</si>
  <si>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</si>
  <si>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</si>
  <si>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</si>
  <si>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</si>
  <si>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</si>
  <si>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</si>
  <si>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</si>
  <si>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</si>
  <si>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</si>
  <si>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</si>
  <si>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</si>
  <si>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</si>
  <si>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</si>
  <si>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</si>
  <si>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</si>
  <si>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</si>
  <si>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</si>
  <si>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</si>
  <si>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</si>
  <si>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</si>
  <si>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</si>
  <si>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</si>
  <si>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</si>
  <si>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</si>
  <si>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</si>
  <si>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</si>
  <si>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</si>
  <si>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</si>
  <si>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</si>
  <si>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</si>
  <si>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</si>
  <si>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</si>
  <si>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</si>
  <si>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</si>
  <si>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</si>
  <si>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</si>
  <si>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</si>
  <si>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</si>
  <si>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</si>
  <si>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</si>
  <si>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</si>
  <si>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</si>
  <si>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</si>
  <si>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</si>
  <si>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</si>
  <si>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</si>
  <si>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</si>
  <si>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</si>
  <si>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</si>
  <si>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</si>
  <si>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</si>
  <si>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</si>
  <si>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</si>
  <si>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</si>
  <si>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</si>
  <si>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</si>
  <si>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</si>
  <si>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</si>
  <si>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</si>
  <si>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</si>
  <si>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</si>
  <si>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</si>
  <si>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</si>
  <si>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</si>
  <si>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</si>
  <si>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</si>
  <si>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</si>
  <si>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</si>
  <si>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</si>
  <si>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</si>
  <si>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</si>
  <si>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</si>
  <si>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</si>
  <si>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</si>
  <si>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</si>
  <si>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</si>
  <si>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</si>
  <si>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</si>
  <si>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</si>
  <si>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</si>
  <si>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</si>
  <si>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</si>
  <si>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</si>
  <si>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</si>
  <si>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</si>
  <si>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</si>
  <si>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</si>
  <si>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</si>
  <si>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</si>
  <si>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</si>
  <si>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</si>
  <si>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</si>
  <si>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</si>
  <si>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</si>
  <si>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</si>
  <si>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</si>
  <si>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</si>
  <si>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</si>
  <si>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</si>
  <si>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</si>
  <si>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</si>
  <si>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</si>
  <si>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</si>
  <si>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</si>
  <si>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</si>
  <si>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</si>
  <si>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</si>
  <si>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</si>
  <si>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</si>
  <si>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</si>
  <si>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</si>
  <si>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</si>
  <si>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</si>
  <si>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</si>
  <si>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</si>
  <si>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</si>
  <si>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</si>
  <si>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</si>
  <si>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</si>
  <si>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</si>
  <si>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</si>
  <si>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</si>
  <si>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</si>
  <si>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</si>
  <si>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</si>
  <si>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</si>
  <si>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</si>
  <si>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</si>
  <si>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</si>
  <si>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</si>
  <si>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</si>
  <si>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</si>
  <si>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</si>
  <si>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</si>
  <si>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</si>
  <si>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</si>
  <si>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</si>
  <si>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</si>
  <si>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</si>
  <si>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</si>
  <si>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</si>
  <si>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</si>
  <si>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</si>
  <si>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</si>
  <si>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</si>
  <si>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</si>
  <si>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</si>
  <si>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</si>
  <si>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</si>
  <si>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</si>
  <si>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</si>
  <si>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</si>
  <si>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</si>
  <si>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</si>
  <si>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</si>
  <si>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</si>
  <si>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</si>
  <si>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</si>
  <si>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</si>
  <si>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</si>
  <si>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</si>
  <si>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</si>
  <si>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</si>
  <si>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</si>
  <si>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</si>
  <si>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</si>
  <si>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</si>
  <si>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</si>
  <si>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</si>
  <si>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</si>
  <si>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</si>
  <si>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</si>
  <si>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</si>
  <si>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</si>
  <si>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</si>
  <si>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</si>
  <si>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</si>
  <si>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</si>
  <si>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</si>
  <si>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</si>
  <si>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</si>
  <si>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</si>
  <si>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</si>
  <si>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</si>
  <si>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</si>
  <si>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</si>
  <si>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</si>
  <si>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</si>
  <si>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</si>
  <si>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</si>
  <si>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</si>
  <si>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</si>
  <si>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</si>
  <si>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</si>
  <si>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</si>
  <si>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</si>
  <si>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</si>
  <si>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</si>
  <si>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</si>
  <si>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</si>
  <si>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</si>
  <si>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</si>
  <si>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</si>
  <si>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</si>
  <si>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</si>
  <si>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</si>
  <si>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</si>
  <si>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</si>
  <si>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</si>
  <si>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</si>
  <si>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</si>
  <si>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</si>
  <si>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</si>
  <si>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</si>
  <si>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</si>
  <si>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</si>
  <si>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</si>
  <si>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</si>
  <si>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</si>
  <si>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</si>
  <si>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</si>
  <si>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</si>
  <si>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</si>
  <si>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</si>
  <si>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</si>
  <si>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</si>
  <si>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</si>
  <si>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</si>
  <si>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</si>
  <si>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</si>
  <si>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</si>
  <si>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</si>
  <si>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</si>
  <si>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</si>
  <si>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</si>
  <si>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</si>
  <si>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</si>
  <si>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</si>
  <si>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</si>
  <si>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</si>
  <si>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</si>
  <si>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</si>
  <si>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</si>
  <si>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</si>
  <si>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</si>
  <si>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</si>
  <si>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</si>
  <si>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</si>
  <si>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</si>
  <si>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</si>
  <si>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</si>
  <si>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</si>
  <si>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</si>
  <si>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</si>
  <si>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</si>
  <si>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</si>
  <si>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</si>
  <si>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</si>
  <si>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</si>
  <si>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</si>
  <si>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</si>
  <si>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</si>
  <si>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</si>
  <si>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</si>
  <si>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</si>
  <si>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</si>
  <si>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</si>
  <si>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</si>
  <si>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</si>
  <si>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</si>
  <si>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</si>
  <si>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</si>
  <si>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</si>
  <si>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</si>
  <si>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</si>
  <si>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</si>
  <si>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</si>
  <si>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</si>
  <si>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</si>
  <si>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</si>
  <si>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</si>
  <si>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</si>
  <si>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</si>
  <si>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</si>
  <si>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</si>
  <si>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</si>
  <si>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</si>
  <si>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</si>
  <si>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</si>
  <si>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</si>
  <si>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</si>
  <si>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</si>
  <si>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</si>
  <si>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</si>
  <si>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</si>
  <si>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</si>
  <si>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</si>
  <si>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</si>
  <si>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</si>
  <si>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</si>
  <si>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</si>
  <si>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</si>
  <si>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</si>
  <si>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</si>
  <si>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</si>
  <si>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</si>
  <si>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</si>
  <si>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</si>
  <si>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</si>
  <si>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</si>
  <si>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</si>
  <si>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</si>
  <si>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</si>
  <si>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</si>
  <si>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</si>
  <si>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</si>
  <si>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</si>
  <si>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</si>
  <si>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</si>
  <si>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</si>
  <si>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</si>
  <si>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</si>
  <si>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</si>
  <si>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</si>
  <si>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</si>
  <si>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</si>
  <si>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</si>
  <si>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</si>
  <si>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</si>
  <si>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</si>
  <si>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</si>
  <si>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</si>
  <si>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</si>
  <si>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</si>
  <si>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</si>
  <si>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</si>
  <si>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</si>
  <si>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</si>
  <si>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</si>
  <si>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</si>
  <si>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</si>
  <si>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</si>
  <si>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</si>
  <si>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</si>
  <si>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</si>
  <si>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</si>
  <si>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</si>
  <si>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</si>
  <si>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</si>
  <si>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</si>
  <si>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</si>
  <si>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</si>
  <si>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</si>
  <si>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</si>
  <si>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</si>
  <si>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</si>
  <si>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</si>
  <si>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</si>
  <si>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</si>
  <si>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</si>
  <si>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</si>
  <si>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</si>
  <si>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</si>
  <si>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</si>
  <si>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</si>
  <si>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</si>
  <si>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</si>
  <si>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</si>
  <si>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</si>
  <si>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</si>
  <si>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</si>
  <si>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</si>
  <si>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</si>
  <si>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</si>
  <si>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</si>
  <si>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</si>
  <si>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</si>
  <si>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</si>
  <si>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</si>
  <si>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</si>
  <si>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</si>
  <si>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</si>
  <si>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</si>
  <si>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</si>
  <si>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</si>
  <si>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</si>
  <si>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</si>
  <si>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</si>
  <si>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</si>
  <si>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</si>
  <si>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</si>
  <si>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</si>
  <si>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</si>
  <si>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</si>
  <si>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</si>
  <si>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</si>
  <si>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</si>
  <si>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</si>
  <si>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</si>
  <si>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</si>
  <si>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</si>
  <si>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</si>
  <si>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</si>
  <si>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</si>
  <si>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</si>
  <si>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</si>
  <si>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</si>
  <si>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</si>
  <si>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</si>
  <si>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</si>
  <si>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</si>
  <si>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</si>
  <si>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</si>
  <si>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</si>
  <si>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</si>
  <si>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</si>
  <si>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</si>
  <si>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</si>
  <si>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</si>
  <si>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</si>
  <si>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</si>
  <si>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</si>
  <si>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</si>
  <si>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</si>
  <si>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</si>
  <si>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</si>
  <si>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</si>
  <si>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</si>
  <si>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</si>
  <si>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</si>
  <si>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</si>
  <si>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</si>
  <si>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</si>
  <si>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</si>
  <si>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</si>
  <si>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</si>
  <si>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</si>
  <si>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</si>
  <si>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</si>
  <si>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</si>
  <si>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</si>
  <si>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</si>
  <si>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</si>
  <si>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</si>
  <si>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</si>
  <si>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</si>
  <si>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</si>
  <si>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</si>
  <si>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</si>
  <si>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</si>
  <si>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</si>
  <si>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</si>
  <si>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</si>
  <si>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</si>
  <si>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</si>
  <si>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</si>
  <si>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</si>
  <si>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</si>
  <si>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</si>
  <si>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</si>
  <si>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</si>
  <si>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</si>
  <si>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</si>
  <si>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</si>
  <si>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</si>
  <si>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</si>
  <si>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</si>
  <si>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</si>
  <si>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</si>
  <si>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</si>
  <si>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</si>
  <si>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</si>
  <si>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</si>
  <si>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</si>
  <si>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</si>
  <si>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</si>
  <si>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</si>
  <si>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</si>
  <si>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</si>
  <si>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</si>
  <si>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</si>
  <si>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</si>
  <si>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</si>
  <si>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</si>
  <si>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</si>
  <si>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</si>
  <si>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</si>
  <si>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</si>
  <si>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</si>
  <si>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</si>
  <si>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</si>
  <si>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</si>
  <si>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</si>
  <si>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</si>
  <si>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</si>
  <si>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</si>
  <si>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</si>
  <si>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</si>
  <si>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</si>
  <si>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</si>
  <si>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</si>
  <si>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</si>
  <si>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</si>
  <si>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</si>
  <si>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</si>
  <si>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</si>
  <si>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</si>
  <si>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</si>
  <si>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</si>
  <si>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</si>
  <si>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</si>
  <si>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</si>
  <si>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</si>
  <si>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</si>
  <si>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</si>
  <si>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</si>
  <si>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</si>
  <si>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</si>
  <si>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</si>
  <si>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</si>
  <si>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</si>
  <si>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</si>
  <si>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</si>
  <si>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</si>
  <si>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</si>
  <si>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</si>
  <si>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</si>
  <si>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</si>
  <si>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</si>
  <si>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</si>
  <si>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</si>
  <si>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</si>
  <si>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</si>
  <si>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</si>
  <si>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</si>
  <si>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</si>
  <si>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</si>
  <si>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</si>
  <si>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</si>
  <si>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</si>
  <si>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</si>
  <si>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</si>
  <si>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</si>
  <si>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</si>
  <si>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</si>
  <si>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</si>
  <si>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</si>
  <si>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</si>
  <si>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</si>
  <si>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</si>
  <si>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</si>
  <si>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</si>
  <si>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</si>
  <si>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</si>
  <si>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</si>
  <si>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</si>
  <si>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</si>
  <si>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</si>
  <si>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</si>
  <si>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</si>
  <si>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</si>
  <si>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</si>
  <si>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</si>
  <si>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</si>
  <si>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</si>
  <si>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</si>
  <si>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</si>
  <si>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</si>
  <si>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</si>
  <si>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</si>
  <si>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</si>
  <si>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</si>
  <si>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</si>
  <si>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</si>
  <si>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</si>
  <si>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</si>
  <si>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</si>
  <si>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</si>
  <si>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</si>
  <si>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</si>
  <si>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</si>
  <si>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</si>
  <si>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</si>
  <si>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</si>
  <si>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</si>
  <si>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</si>
  <si>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</si>
  <si>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</si>
  <si>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</si>
  <si>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</si>
  <si>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</si>
  <si>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</si>
  <si>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</si>
  <si>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</si>
  <si>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</si>
  <si>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</si>
  <si>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</si>
  <si>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</si>
  <si>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</si>
  <si>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</si>
  <si>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</si>
  <si>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</si>
  <si>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</si>
  <si>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</si>
  <si>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</si>
  <si>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</si>
  <si>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</si>
  <si>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</si>
  <si>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</si>
  <si>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</si>
  <si>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</si>
  <si>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</si>
  <si>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</si>
  <si>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</si>
  <si>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</si>
  <si>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</si>
  <si>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</si>
  <si>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</si>
  <si>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</si>
  <si>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</si>
  <si>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</si>
  <si>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</si>
  <si>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</si>
  <si>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</si>
  <si>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</si>
  <si>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</si>
  <si>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</si>
  <si>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</si>
  <si>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</si>
  <si>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</si>
  <si>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</si>
  <si>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</si>
  <si>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</si>
  <si>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</si>
  <si>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</si>
  <si>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</si>
  <si>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</si>
  <si>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</si>
  <si>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</si>
  <si>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</si>
  <si>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</si>
  <si>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</si>
  <si>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</si>
  <si>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</si>
  <si>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</si>
  <si>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</si>
  <si>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</si>
  <si>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</si>
  <si>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</si>
  <si>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</si>
  <si>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</si>
  <si>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</si>
  <si>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</si>
  <si>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</si>
  <si>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</si>
  <si>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</si>
  <si>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</si>
  <si>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</si>
  <si>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</si>
  <si>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</si>
  <si>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</si>
  <si>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</si>
  <si>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</si>
  <si>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</si>
  <si>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</si>
  <si>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</si>
  <si>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</si>
  <si>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</si>
  <si>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</si>
  <si>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</si>
  <si>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</si>
  <si>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</si>
  <si>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</si>
  <si>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</si>
  <si>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</si>
  <si>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</si>
  <si>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</si>
  <si>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</si>
  <si>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</si>
  <si>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</si>
  <si>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</si>
  <si>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</si>
  <si>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</si>
  <si>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</si>
  <si>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</si>
  <si>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</si>
  <si>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</si>
  <si>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</si>
  <si>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</si>
  <si>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</si>
  <si>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</si>
  <si>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</si>
  <si>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</si>
  <si>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</si>
  <si>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</si>
  <si>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</si>
  <si>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</si>
  <si>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</si>
  <si>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</si>
  <si>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</si>
  <si>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</si>
  <si>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</si>
  <si>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</si>
  <si>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</si>
  <si>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</si>
  <si>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</si>
  <si>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</si>
  <si>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</si>
  <si>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</si>
  <si>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</si>
  <si>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</si>
  <si>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</si>
  <si>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</si>
  <si>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</si>
  <si>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</si>
  <si>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</si>
  <si>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</si>
  <si>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</si>
  <si>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</si>
  <si>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</si>
  <si>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</si>
  <si>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</si>
  <si>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</si>
  <si>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</si>
  <si>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</si>
  <si>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</si>
  <si>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</si>
  <si>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</si>
  <si>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</si>
  <si>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</si>
  <si>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</si>
  <si>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</si>
  <si>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</si>
  <si>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</si>
  <si>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</si>
  <si>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</si>
  <si>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</si>
  <si>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</si>
  <si>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</si>
  <si>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</si>
  <si>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</si>
  <si>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</si>
  <si>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</si>
  <si>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</si>
  <si>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</si>
  <si>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</si>
  <si>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</si>
  <si>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</si>
  <si>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</si>
  <si>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</si>
  <si>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</si>
  <si>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</si>
  <si>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</si>
  <si>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</si>
  <si>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</si>
  <si>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</si>
  <si>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</si>
  <si>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</si>
  <si>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</si>
  <si>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</si>
  <si>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</si>
  <si>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</si>
  <si>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</si>
  <si>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</si>
  <si>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</si>
  <si>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</si>
  <si>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</si>
  <si>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</si>
  <si>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</si>
  <si>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</si>
  <si>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</si>
  <si>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</si>
  <si>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</si>
  <si>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</si>
  <si>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</si>
  <si>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</si>
  <si>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</si>
  <si>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</si>
  <si>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</si>
  <si>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</si>
  <si>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</si>
  <si>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</si>
  <si>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</si>
  <si>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</si>
  <si>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</si>
  <si>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</si>
  <si>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</si>
  <si>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</si>
  <si>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</si>
  <si>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</si>
  <si>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</si>
  <si>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</si>
  <si>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</si>
  <si>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</si>
  <si>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</si>
  <si>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</si>
  <si>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</si>
  <si>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</si>
  <si>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</si>
  <si>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</si>
  <si>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</si>
  <si>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</si>
  <si>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</si>
  <si>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</si>
  <si>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</si>
  <si>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</si>
  <si>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</si>
  <si>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</si>
  <si>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</si>
  <si>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</si>
  <si>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</si>
  <si>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</si>
  <si>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</si>
  <si>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</si>
  <si>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</si>
  <si>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</si>
  <si>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</si>
  <si>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</si>
  <si>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</si>
  <si>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</si>
  <si>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</si>
  <si>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</si>
  <si>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</si>
  <si>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</si>
  <si>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</si>
  <si>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</si>
  <si>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</si>
  <si>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</si>
  <si>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</si>
  <si>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</si>
  <si>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</si>
  <si>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</si>
  <si>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</si>
  <si>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</si>
  <si>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</si>
  <si>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</si>
  <si>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</si>
  <si>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</si>
  <si>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</si>
  <si>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</si>
  <si>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</si>
  <si>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</si>
  <si>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</si>
  <si>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</si>
  <si>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</si>
  <si>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</si>
  <si>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</si>
  <si>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</si>
  <si>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</si>
  <si>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</si>
  <si>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</si>
  <si>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</si>
  <si>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</si>
  <si>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</si>
  <si>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</si>
  <si>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</si>
  <si>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</si>
  <si>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</si>
  <si>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</si>
  <si>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</si>
  <si>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</si>
  <si>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</si>
  <si>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</si>
  <si>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</si>
  <si>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</si>
  <si>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</si>
  <si>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</si>
  <si>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</si>
  <si>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</si>
  <si>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</si>
  <si>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</si>
  <si>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</si>
  <si>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</si>
  <si>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</si>
  <si>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</si>
  <si>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</si>
  <si>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</si>
  <si>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</si>
  <si>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</si>
  <si>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</si>
  <si>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</si>
  <si>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</si>
  <si>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</si>
  <si>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</si>
  <si>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</si>
  <si>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</si>
  <si>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</si>
  <si>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</si>
  <si>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</si>
  <si>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</si>
  <si>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</si>
  <si>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</si>
  <si>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</si>
  <si>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</si>
  <si>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</si>
  <si>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</si>
  <si>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</si>
  <si>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</si>
  <si>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</si>
  <si>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</si>
  <si>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</si>
  <si>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</si>
  <si>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</si>
  <si>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</si>
  <si>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</si>
  <si>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</si>
  <si>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</si>
  <si>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</si>
  <si>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</si>
  <si>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</si>
  <si>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</si>
  <si>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</si>
  <si>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</si>
  <si>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</si>
  <si>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</si>
  <si>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</si>
  <si>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</si>
  <si>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</si>
  <si>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</si>
  <si>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</si>
  <si>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</si>
  <si>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</si>
  <si>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</si>
  <si>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</si>
  <si>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</si>
  <si>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</si>
  <si>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</si>
  <si>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</si>
  <si>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</si>
  <si>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</si>
  <si>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</si>
  <si>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</si>
  <si>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</si>
  <si>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</si>
  <si>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</si>
  <si>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</si>
  <si>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</si>
  <si>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</si>
  <si>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</si>
  <si>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</si>
  <si>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</si>
  <si>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</si>
  <si>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</si>
  <si>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</si>
  <si>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</si>
  <si>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</si>
  <si>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</si>
  <si>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</si>
  <si>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</si>
  <si>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</si>
  <si>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</si>
  <si>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</si>
  <si>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</si>
  <si>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</si>
  <si>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</si>
  <si>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</si>
  <si>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</si>
  <si>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</si>
  <si>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</si>
  <si>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</si>
  <si>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</si>
  <si>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</si>
  <si>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</si>
  <si>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</si>
  <si>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Community Capital Assistance Program (CCAP)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</si>
  <si>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</si>
  <si>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</si>
  <si>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</si>
  <si>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</si>
  <si>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</si>
  <si>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</si>
  <si>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</si>
  <si>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</si>
  <si>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</si>
  <si>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</si>
  <si>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</si>
  <si>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</si>
  <si>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</si>
  <si>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</si>
  <si>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</si>
  <si>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</si>
  <si>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</si>
  <si>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</si>
  <si>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</si>
  <si>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</si>
  <si>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</si>
  <si>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</si>
  <si>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</si>
  <si>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</si>
  <si>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</si>
  <si>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</si>
  <si>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</si>
  <si>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</si>
  <si>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</si>
  <si>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</si>
  <si>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</si>
  <si>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</si>
  <si>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</si>
  <si>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</si>
  <si>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</si>
  <si>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</si>
  <si>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</si>
  <si>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</si>
  <si>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</si>
  <si>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</si>
  <si>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</si>
  <si>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</si>
  <si>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</si>
  <si>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</si>
  <si>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</si>
  <si>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</si>
  <si>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</si>
  <si>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</si>
  <si>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</si>
  <si>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</si>
  <si>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</si>
  <si>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</si>
  <si>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</si>
  <si>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</si>
  <si>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</si>
  <si>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</si>
  <si>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</si>
  <si>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</si>
  <si>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</si>
  <si>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</si>
  <si>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</si>
  <si>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</si>
  <si>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</si>
  <si>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</si>
  <si>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</si>
  <si>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</si>
  <si>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</si>
  <si>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</si>
  <si>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AVIATION PURPOSE ACCOUNT</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</si>
  <si>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</si>
  <si>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</si>
  <si>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</si>
  <si>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</si>
  <si>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</si>
  <si>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</si>
  <si>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</si>
  <si>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</si>
  <si>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</si>
  <si>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</si>
  <si>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</si>
  <si>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</si>
  <si>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</si>
  <si>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</si>
  <si>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</si>
  <si>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</si>
  <si>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</si>
  <si>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</si>
  <si>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</si>
  <si>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</si>
  <si>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</si>
  <si>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</si>
  <si>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</si>
  <si>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</si>
  <si>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</si>
  <si>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</si>
  <si>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</si>
  <si>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</si>
  <si>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</si>
  <si>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</si>
  <si>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</si>
  <si>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</si>
  <si>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</si>
  <si>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</si>
  <si>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</si>
  <si>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</si>
  <si>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</si>
  <si>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</si>
  <si>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</si>
  <si>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</si>
  <si>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</si>
  <si>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</si>
  <si>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</si>
  <si>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</si>
  <si>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</si>
  <si>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</si>
  <si>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</si>
  <si>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</si>
  <si>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</si>
  <si>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</si>
  <si>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</si>
  <si>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</si>
  <si>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</si>
  <si>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</si>
  <si>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</si>
  <si>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</si>
  <si>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</si>
  <si>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</si>
  <si>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</si>
  <si>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</si>
  <si>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</si>
  <si>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</si>
  <si>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</si>
  <si>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</si>
  <si>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</si>
  <si>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</si>
  <si>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</si>
  <si>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</si>
  <si>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</si>
  <si>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</si>
  <si>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</si>
  <si>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</si>
  <si>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</si>
  <si>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</si>
  <si>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</si>
  <si>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</si>
  <si>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</si>
  <si>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</si>
  <si>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</si>
  <si>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</si>
  <si>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</si>
  <si>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</si>
  <si>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</si>
  <si>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</si>
  <si>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</si>
  <si>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</si>
  <si>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</si>
  <si>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</si>
  <si>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</si>
  <si>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</si>
  <si>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</si>
  <si>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</si>
  <si>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</si>
  <si>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</si>
  <si>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</si>
  <si>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</si>
  <si>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</si>
  <si>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</si>
  <si>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</si>
  <si>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</si>
  <si>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</si>
  <si>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</si>
  <si>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</si>
  <si>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</si>
  <si>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</si>
  <si>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</si>
  <si>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</si>
  <si>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</si>
  <si>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</si>
  <si>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</si>
  <si>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</si>
  <si>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</si>
  <si>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</si>
  <si>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</si>
  <si>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</si>
  <si>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</si>
  <si>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</si>
  <si>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</si>
  <si>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</si>
  <si>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</si>
  <si>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</si>
  <si>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</si>
  <si>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</si>
  <si>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</si>
  <si>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</si>
  <si>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</si>
  <si>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</si>
  <si>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</si>
  <si>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</si>
  <si>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</si>
  <si>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</si>
  <si>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</si>
  <si>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</si>
  <si>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</si>
  <si>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</si>
  <si>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</si>
  <si>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</si>
  <si>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</si>
  <si>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</si>
  <si>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</si>
  <si>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</si>
  <si>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</si>
  <si>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</si>
  <si>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</si>
  <si>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</si>
  <si>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</si>
  <si>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</si>
  <si>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</si>
  <si>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</si>
  <si>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</si>
  <si>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</si>
  <si>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</si>
  <si>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</si>
  <si>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</si>
  <si>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</si>
  <si>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</si>
  <si>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</si>
  <si>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</si>
  <si>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</si>
  <si>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</si>
  <si>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</si>
  <si>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</si>
  <si>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</si>
  <si>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</si>
  <si>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</si>
  <si>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</si>
  <si>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</si>
  <si>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</si>
  <si>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</si>
  <si>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</si>
  <si>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</si>
  <si>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</si>
  <si>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</si>
  <si>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</si>
  <si>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</si>
  <si>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</si>
  <si>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</si>
  <si>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</si>
  <si>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</si>
  <si>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</si>
  <si>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</si>
  <si>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</si>
  <si>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</si>
  <si>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</si>
  <si>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</si>
  <si>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</si>
  <si>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</si>
  <si>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</si>
  <si>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</si>
  <si>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</si>
  <si>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</si>
  <si>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</si>
  <si>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</si>
  <si>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</si>
  <si>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</si>
  <si>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</si>
  <si>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</si>
  <si>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General Fund</t>
    </r>
    <r>
      <rPr>
        <sz val="9"/>
        <rFont val="Arial"/>
        <family val="2"/>
      </rPr>
      <t xml:space="preserve">  “Transfers to Other Funds” are as follows:</t>
    </r>
  </si>
  <si>
    <t>BEHAVIORAL HEALTH PARITY COMPLIANCE FUND</t>
  </si>
  <si>
    <t>CIVIL SERVICE ADMINISTRATION ACCOUNT</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</si>
  <si>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</si>
  <si>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</si>
  <si>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</si>
  <si>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</si>
  <si>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</si>
  <si>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</si>
  <si>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</si>
  <si>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</si>
  <si>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</si>
  <si>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</si>
  <si>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</si>
  <si>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</si>
  <si>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</si>
  <si>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</si>
  <si>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</si>
  <si>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</si>
  <si>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</si>
  <si>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</si>
  <si>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</si>
  <si>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</si>
  <si>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</si>
  <si>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</si>
  <si>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</si>
  <si>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</si>
  <si>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</si>
  <si>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</si>
  <si>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</si>
  <si>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</si>
  <si>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</si>
  <si>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</si>
  <si>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</si>
  <si>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</si>
  <si>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</si>
  <si>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</si>
  <si>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</si>
  <si>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</si>
  <si>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</si>
  <si>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</si>
  <si>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</si>
  <si>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</si>
  <si>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</si>
  <si>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</si>
  <si>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</si>
  <si>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</si>
  <si>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</si>
  <si>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</si>
  <si>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</si>
  <si>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</si>
  <si>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</si>
  <si>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</si>
  <si>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</si>
  <si>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</si>
  <si>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</si>
  <si>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</si>
  <si>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</si>
  <si>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</si>
  <si>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</si>
  <si>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</si>
  <si>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</si>
  <si>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</si>
  <si>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</si>
  <si>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</si>
  <si>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</si>
  <si>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</si>
  <si>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</si>
  <si>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</si>
  <si>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</si>
  <si>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</si>
  <si>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</si>
  <si>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</si>
  <si>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</si>
  <si>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</si>
  <si>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</si>
  <si>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</si>
  <si>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</si>
  <si>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</si>
  <si>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</si>
  <si>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EXHIBIT A</t>
  </si>
  <si>
    <t xml:space="preserve"> 23250-23449-CUNY Senior College Program</t>
  </si>
  <si>
    <t>Recruitment Incentive</t>
  </si>
  <si>
    <t xml:space="preserve">  25950, 25952-25999-Unemployment Insurance Occupational Training </t>
  </si>
  <si>
    <t xml:space="preserve">  25300-25899, 25951-Federal Miscellaneous Operating Grants</t>
  </si>
  <si>
    <t xml:space="preserve">  24800-24849-NYS Cannabis Revenue</t>
  </si>
  <si>
    <t>(****)</t>
  </si>
  <si>
    <t>all</t>
  </si>
  <si>
    <t xml:space="preserve">  Cannabis</t>
  </si>
  <si>
    <t xml:space="preserve">         Cannabis</t>
  </si>
  <si>
    <t xml:space="preserve">         Cannabis </t>
  </si>
  <si>
    <t xml:space="preserve">  23750-23799-Medical Cannabis Trust Fund</t>
  </si>
  <si>
    <t>Medical Cannabis Health Operation and Oversight</t>
  </si>
  <si>
    <t xml:space="preserve">  24950-24954-Interactive Fantasy Sports</t>
  </si>
  <si>
    <t xml:space="preserve">  24955-24959-Mobile Sports Wagering</t>
  </si>
  <si>
    <t xml:space="preserve">         Pass-Through Entity </t>
  </si>
  <si>
    <t xml:space="preserve">  Pass-Through Entity </t>
  </si>
  <si>
    <t xml:space="preserve">  Racing and Combative Sports </t>
  </si>
  <si>
    <t xml:space="preserve">         Racing and Combative Sports </t>
  </si>
  <si>
    <t xml:space="preserve">    Revenue Bond Tax Fund</t>
  </si>
  <si>
    <t xml:space="preserve">(**)  Eliminations between State and Federal Special Revenue Funds are not included.   </t>
  </si>
  <si>
    <t xml:space="preserve">       from dedicated revenue sources (including operating transfers from Federal funds) and Debt Service Funds. </t>
  </si>
  <si>
    <t>Nursing Home Transition &amp; Diversion</t>
  </si>
  <si>
    <t>February 28, 2022</t>
  </si>
  <si>
    <t>Personal Care Workforce Recruitment and Retention</t>
  </si>
  <si>
    <t>Home Health Rate Increase</t>
  </si>
  <si>
    <t>March 31, 2022</t>
  </si>
  <si>
    <t xml:space="preserve">  65050-65099-Retiree Health Benefit Trust</t>
  </si>
  <si>
    <t>MAP DC37 &amp; TEAMSTER LOCAL 858</t>
  </si>
  <si>
    <t>Vital Access provider Services</t>
  </si>
  <si>
    <t xml:space="preserve">    TOTAL TRUST FUNDS</t>
  </si>
  <si>
    <r>
      <t>TRUST</t>
    </r>
    <r>
      <rPr>
        <b/>
        <vertAlign val="superscript"/>
        <sz val="12"/>
        <rFont val="Arial"/>
        <family val="2"/>
      </rPr>
      <t>(*)</t>
    </r>
  </si>
  <si>
    <r>
      <rPr>
        <vertAlign val="superscript"/>
        <sz val="12"/>
        <rFont val="Arial"/>
        <family val="2"/>
      </rPr>
      <t>(*)</t>
    </r>
    <r>
      <rPr>
        <sz val="12"/>
        <rFont val="Arial"/>
        <family val="2"/>
      </rPr>
      <t xml:space="preserve"> Includes Common Retirement Administration and Retiree Health Benefit Trust.</t>
    </r>
  </si>
  <si>
    <t xml:space="preserve">Trust Funds - Statement of Cash Flow  </t>
  </si>
  <si>
    <t>April 30, 2022</t>
  </si>
  <si>
    <t>2022</t>
  </si>
  <si>
    <t xml:space="preserve">FISCAL YEAR 2022-2023   </t>
  </si>
  <si>
    <t>FISCAL YEAR 2022-2023</t>
  </si>
  <si>
    <t>APRIL 1, 2022</t>
  </si>
  <si>
    <t>2022-2023</t>
  </si>
  <si>
    <t xml:space="preserve">    </t>
  </si>
  <si>
    <t xml:space="preserve">American Resuce Plan Act </t>
  </si>
  <si>
    <t>Temporary Loans are authorized pursuant to Subdivision 5 of Section 4 of the State Finance Law and Chapter 59, Part JJJ, Section 1, of the Laws of 2021-22</t>
  </si>
  <si>
    <t>TRANSPORTATION AVIATION ACCOUNT</t>
  </si>
  <si>
    <t>Temporary Loans are authorized pursuant to Subdivision 5 of Section 4 of the State Finance Law and Chapter 56, Part FFF, Section 1, of the Laws of 2022-23.</t>
  </si>
  <si>
    <t xml:space="preserve">   Administrative Recoveries</t>
  </si>
  <si>
    <t xml:space="preserve">            Lottery</t>
  </si>
  <si>
    <t xml:space="preserve">            Mobile Sports</t>
  </si>
  <si>
    <t xml:space="preserve">  Plan</t>
  </si>
  <si>
    <t xml:space="preserve">(**)  Includes transfers to the Department of Health Income Fund and the State University Income Fund representing payments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</si>
  <si>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</si>
  <si>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</si>
  <si>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</si>
  <si>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Actual reported transfer amounts include eliminations between Special Revenue - State and Federal Funds. </t>
  </si>
  <si>
    <t>NURSE LOAN REPAYMENT</t>
  </si>
  <si>
    <t>NYS WORKFORCE INNOVATION CTR</t>
  </si>
  <si>
    <t xml:space="preserve">(*) Includes amounts appropriated in SFY 2022-23, as well as prior year appropriations that were reappropriated.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</si>
  <si>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</si>
  <si>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payments for patients residing in State-operated Health and Mental Hygiene facilities and All Other</t>
  </si>
  <si>
    <t>Dormitory Authority and State University Income Fund</t>
  </si>
  <si>
    <t>New York State Cannabis Revenue</t>
  </si>
  <si>
    <t>NEW YORK STATE CANNABIS REVENUE FUND</t>
  </si>
  <si>
    <t xml:space="preserve">  Plan </t>
  </si>
  <si>
    <t xml:space="preserve">        Lottery</t>
  </si>
  <si>
    <t xml:space="preserve">        Mobile Sports</t>
  </si>
  <si>
    <t xml:space="preserve">SERVICES </t>
  </si>
  <si>
    <t xml:space="preserve">TAX </t>
  </si>
  <si>
    <t>MAY 2022</t>
  </si>
  <si>
    <t>MAY 31, 2022</t>
  </si>
  <si>
    <t>MAY 2021</t>
  </si>
  <si>
    <t>MAY 31, 2021</t>
  </si>
  <si>
    <t>May 2022</t>
  </si>
  <si>
    <t xml:space="preserve">FOR TWO MONTHS ENDED MAY 31, 2022    </t>
  </si>
  <si>
    <t>2 MOS. ENDED</t>
  </si>
  <si>
    <t>2 MONTHS ENDED MAY 31</t>
  </si>
  <si>
    <t xml:space="preserve">FOR THE TWO MONTHS ENDED MAY 31, 2022     </t>
  </si>
  <si>
    <t>FOR THE MONTH OF MAY 2022</t>
  </si>
  <si>
    <t>MAY 1, 2022</t>
  </si>
  <si>
    <t>2 Months Ended</t>
  </si>
  <si>
    <t>2 Months Ended May 31, 2022 (**)</t>
  </si>
  <si>
    <t>May 31, 2022</t>
  </si>
  <si>
    <t>2 Months Ended May 31</t>
  </si>
  <si>
    <t>Fund Balances (Deficits) at May 31, 2022</t>
  </si>
  <si>
    <t xml:space="preserve">       by activities from dedicated revenue sources (including operating transfers from Federal Funds) and Debt Service Funds. </t>
  </si>
  <si>
    <t>May</t>
  </si>
  <si>
    <t xml:space="preserve">As of May 31, 2022, $9,557,425.72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</si>
  <si>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Source: 2022-23 Enacted Financial Plan dated May 20, 2022.</t>
  </si>
  <si>
    <t>2 MONTHS ENDED</t>
  </si>
  <si>
    <t>the current fiscal quarter. As of May 31, 2022 - pursuant to a certification of the Budget Director -</t>
  </si>
  <si>
    <t>the reserve amount is ($4.5m), which was funded by a transfer from the General Fund.</t>
  </si>
  <si>
    <t>Environmental Protection Fund</t>
  </si>
  <si>
    <t xml:space="preserve">operated health, mental hygiene and State University facilities to Debt Service funds ($1.0m), and  </t>
  </si>
  <si>
    <t xml:space="preserve">the State University Income Fund ($95.2m). </t>
  </si>
  <si>
    <t xml:space="preserve">Fund and Department of Health Income Fund ($244.3m) representing the federal share of Medicaid </t>
  </si>
  <si>
    <t>Capital Projects ($4.5m).</t>
  </si>
  <si>
    <t>Also included in Special Revenue funds are transfers to the General Fund from the following:</t>
  </si>
  <si>
    <t>Federal Health and Human Services Fund</t>
  </si>
  <si>
    <t>Federal USDA/Food and Nutrition</t>
  </si>
  <si>
    <t xml:space="preserve">of Health ($18.9m). </t>
  </si>
  <si>
    <r>
      <t>Capital Projects Funds</t>
    </r>
    <r>
      <rPr>
        <b/>
        <sz val="9"/>
        <rFont val="Arial"/>
        <family val="2"/>
      </rPr>
      <t xml:space="preserve"> </t>
    </r>
    <r>
      <rPr>
        <sz val="9"/>
        <rFont val="Arial"/>
        <family val="2"/>
      </rPr>
      <t xml:space="preserve">“Transfers To Other Funds” includes transfers to the General Fund ($2.6m) and </t>
    </r>
  </si>
  <si>
    <t xml:space="preserve"> the General Debt Service Fund - Lease Purchase ($16.0m).</t>
  </si>
  <si>
    <r>
      <rPr>
        <vertAlign val="superscript"/>
        <sz val="10"/>
        <color theme="1"/>
        <rFont val="Arial"/>
        <family val="2"/>
      </rPr>
      <t xml:space="preserve">(**) </t>
    </r>
    <r>
      <rPr>
        <sz val="10"/>
        <color theme="1"/>
        <rFont val="Arial"/>
        <family val="2"/>
      </rPr>
      <t>Source: Statewide Financial System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</si>
</sst>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_(* #,##0.000_);_(* \(#,##0.000\);_(* &quot;-&quot;?_);_(@_)"/>
    <numFmt numFmtId="202" formatCode="_(* #,##0.00000000000000000000000000000000000000000000000000000_);_(* \(#,##0.00000000000000000000000000000000000000000000000000000\);_(* &quot;-&quot;?_);_(@_)"/>
    <numFmt numFmtId="203" formatCode="_(* #,##0.00000000000000000000000000000000000000_);_(* \(#,##0.00000000000000000000000000000000000000\);_(* &quot;-&quot;?_);_(@_)"/>
  </numFmts>
  <fonts count="219">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s>
  <cellStyleXfs count="49794">
    <xf numFmtId="164" fontId="0" fillId="0" borderId="0"/>
    <xf numFmtId="43" fontId="41" fillId="0" borderId="0" applyFont="0" applyFill="0" applyBorder="0" applyAlignment="0" applyProtection="0"/>
    <xf numFmtId="0" fontId="39" fillId="0" borderId="0"/>
    <xf numFmtId="0" fontId="39" fillId="0" borderId="0"/>
    <xf numFmtId="0" fontId="87" fillId="0" borderId="0"/>
    <xf numFmtId="43" fontId="87"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0" fontId="99" fillId="0" borderId="0"/>
    <xf numFmtId="43" fontId="100" fillId="0" borderId="0" applyFont="0" applyFill="0" applyBorder="0" applyAlignment="0" applyProtection="0"/>
    <xf numFmtId="0" fontId="39" fillId="0" borderId="0"/>
    <xf numFmtId="43" fontId="44" fillId="0" borderId="0" applyFont="0" applyFill="0" applyBorder="0" applyAlignment="0" applyProtection="0"/>
    <xf numFmtId="40" fontId="105" fillId="33" borderId="0">
      <alignment horizontal="right"/>
    </xf>
    <xf numFmtId="0" fontId="106" fillId="33" borderId="0">
      <alignment horizontal="right"/>
    </xf>
    <xf numFmtId="0" fontId="107" fillId="33" borderId="13"/>
    <xf numFmtId="0" fontId="107" fillId="0" borderId="0" applyBorder="0">
      <alignment horizontal="centerContinuous"/>
    </xf>
    <xf numFmtId="0" fontId="108" fillId="0" borderId="0" applyBorder="0">
      <alignment horizontal="centerContinuous"/>
    </xf>
    <xf numFmtId="175" fontId="39" fillId="0" borderId="0"/>
    <xf numFmtId="175" fontId="41" fillId="0" borderId="0"/>
    <xf numFmtId="0" fontId="41" fillId="0" borderId="0"/>
    <xf numFmtId="0" fontId="22" fillId="0" borderId="0"/>
    <xf numFmtId="43" fontId="22" fillId="0" borderId="0" applyFont="0" applyFill="0" applyBorder="0" applyAlignment="0" applyProtection="0"/>
    <xf numFmtId="0" fontId="22" fillId="8" borderId="8" applyNumberFormat="0" applyFont="0" applyAlignment="0" applyProtection="0"/>
    <xf numFmtId="0" fontId="113" fillId="0" borderId="0"/>
    <xf numFmtId="43" fontId="114" fillId="0" borderId="0" applyFont="0" applyFill="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44" fontId="22" fillId="0" borderId="0" applyFont="0" applyFill="0" applyBorder="0" applyAlignment="0" applyProtection="0"/>
    <xf numFmtId="0" fontId="39" fillId="0" borderId="0"/>
    <xf numFmtId="0" fontId="100" fillId="0" borderId="0"/>
    <xf numFmtId="43" fontId="100" fillId="0" borderId="0" applyFont="0" applyFill="0" applyBorder="0" applyAlignment="0" applyProtection="0"/>
    <xf numFmtId="0" fontId="38" fillId="12"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38" fillId="16"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38" fillId="20"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38" fillId="24"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38" fillId="28"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38" fillId="32"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38" fillId="9"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38" fillId="1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38" fillId="17"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38" fillId="21"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38" fillId="25"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38" fillId="29"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28" fillId="3"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32" fillId="6" borderId="4" applyNumberFormat="0" applyAlignment="0" applyProtection="0"/>
    <xf numFmtId="0" fontId="119" fillId="47" borderId="58" applyNumberFormat="0" applyAlignment="0" applyProtection="0"/>
    <xf numFmtId="0" fontId="119" fillId="47" borderId="58" applyNumberFormat="0" applyAlignment="0" applyProtection="0"/>
    <xf numFmtId="0" fontId="34" fillId="7" borderId="7" applyNumberFormat="0" applyAlignment="0" applyProtection="0"/>
    <xf numFmtId="0" fontId="116" fillId="48" borderId="59" applyNumberFormat="0" applyAlignment="0" applyProtection="0"/>
    <xf numFmtId="0" fontId="116" fillId="48" borderId="59" applyNumberFormat="0" applyAlignment="0" applyProtection="0"/>
    <xf numFmtId="0" fontId="36"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7" fillId="2"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24" fillId="0" borderId="1"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25" fillId="0" borderId="2" applyNumberFormat="0" applyFill="0" applyAlignment="0" applyProtection="0"/>
    <xf numFmtId="0" fontId="123" fillId="0" borderId="61" applyNumberFormat="0" applyFill="0" applyAlignment="0" applyProtection="0"/>
    <xf numFmtId="0" fontId="123" fillId="0" borderId="61" applyNumberFormat="0" applyFill="0" applyAlignment="0" applyProtection="0"/>
    <xf numFmtId="0" fontId="26" fillId="0" borderId="3" applyNumberFormat="0" applyFill="0" applyAlignment="0" applyProtection="0"/>
    <xf numFmtId="0" fontId="124" fillId="0" borderId="62" applyNumberFormat="0" applyFill="0" applyAlignment="0" applyProtection="0"/>
    <xf numFmtId="0" fontId="124" fillId="0" borderId="62" applyNumberFormat="0" applyFill="0" applyAlignment="0" applyProtection="0"/>
    <xf numFmtId="0" fontId="26"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30" fillId="5" borderId="4" applyNumberFormat="0" applyAlignment="0" applyProtection="0"/>
    <xf numFmtId="0" fontId="125" fillId="50" borderId="58" applyNumberFormat="0" applyAlignment="0" applyProtection="0"/>
    <xf numFmtId="0" fontId="125" fillId="50" borderId="58" applyNumberFormat="0" applyAlignment="0" applyProtection="0"/>
    <xf numFmtId="0" fontId="33" fillId="0" borderId="6" applyNumberFormat="0" applyFill="0" applyAlignment="0" applyProtection="0"/>
    <xf numFmtId="0" fontId="126" fillId="0" borderId="63" applyNumberFormat="0" applyFill="0" applyAlignment="0" applyProtection="0"/>
    <xf numFmtId="0" fontId="126" fillId="0" borderId="63" applyNumberFormat="0" applyFill="0" applyAlignment="0" applyProtection="0"/>
    <xf numFmtId="0" fontId="29" fillId="4"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22" fillId="0" borderId="0"/>
    <xf numFmtId="0" fontId="31" fillId="6" borderId="5" applyNumberFormat="0" applyAlignment="0" applyProtection="0"/>
    <xf numFmtId="0" fontId="128" fillId="47" borderId="64" applyNumberFormat="0" applyAlignment="0" applyProtection="0"/>
    <xf numFmtId="0" fontId="128" fillId="47" borderId="64" applyNumberFormat="0" applyAlignment="0" applyProtection="0"/>
    <xf numFmtId="0" fontId="2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7" fillId="0" borderId="9" applyNumberFormat="0" applyFill="0" applyAlignment="0" applyProtection="0"/>
    <xf numFmtId="0" fontId="59" fillId="0" borderId="65" applyNumberFormat="0" applyFill="0" applyAlignment="0" applyProtection="0"/>
    <xf numFmtId="0" fontId="59" fillId="0" borderId="65" applyNumberFormat="0" applyFill="0" applyAlignment="0" applyProtection="0"/>
    <xf numFmtId="0" fontId="35"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1" fillId="0" borderId="0"/>
    <xf numFmtId="0" fontId="39" fillId="0" borderId="0"/>
    <xf numFmtId="0" fontId="41" fillId="0" borderId="0"/>
    <xf numFmtId="0" fontId="39" fillId="0" borderId="0"/>
    <xf numFmtId="0" fontId="20" fillId="0" borderId="0"/>
    <xf numFmtId="43" fontId="2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4" fillId="0" borderId="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43" fontId="41" fillId="0" borderId="0" applyFont="0" applyFill="0" applyBorder="0" applyAlignment="0" applyProtection="0"/>
    <xf numFmtId="0" fontId="41" fillId="0" borderId="0"/>
    <xf numFmtId="0" fontId="100" fillId="0" borderId="0"/>
    <xf numFmtId="0" fontId="39" fillId="0" borderId="0"/>
    <xf numFmtId="0" fontId="148" fillId="0" borderId="0" applyNumberFormat="0" applyFill="0" applyBorder="0" applyAlignment="0" applyProtection="0">
      <alignment vertical="top"/>
      <protection locked="0"/>
    </xf>
    <xf numFmtId="0" fontId="150"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50"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50" fillId="46"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50" fillId="46"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50" fillId="49"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50" fillId="49"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50" fillId="5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50" fillId="5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50" fillId="54"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50" fillId="54"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50" fillId="5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50" fillId="5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50" fillId="55"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50" fillId="55"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50"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50"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50" fillId="3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50" fillId="3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50" fillId="5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50" fillId="5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50" fillId="55"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50" fillId="55"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50" fillId="56"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50" fillId="56"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9" fillId="0" borderId="0" applyFont="0" applyFill="0" applyBorder="0" applyAlignment="0" applyProtection="0"/>
    <xf numFmtId="43"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0" fontId="152" fillId="0" borderId="0"/>
    <xf numFmtId="0" fontId="19" fillId="0" borderId="0"/>
    <xf numFmtId="0" fontId="19" fillId="0" borderId="0"/>
    <xf numFmtId="0" fontId="19" fillId="0" borderId="0"/>
    <xf numFmtId="0" fontId="99" fillId="0" borderId="0"/>
    <xf numFmtId="0" fontId="1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99" fillId="0" borderId="0"/>
    <xf numFmtId="0" fontId="151" fillId="0" borderId="0"/>
    <xf numFmtId="0" fontId="151" fillId="0" borderId="0"/>
    <xf numFmtId="0" fontId="19" fillId="0" borderId="0"/>
    <xf numFmtId="0" fontId="39" fillId="0" borderId="0"/>
    <xf numFmtId="0" fontId="150" fillId="57" borderId="69"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50" fillId="57" borderId="69"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39" fillId="0" borderId="0"/>
    <xf numFmtId="0" fontId="153" fillId="0" borderId="0"/>
    <xf numFmtId="9" fontId="39" fillId="0" borderId="0" applyFont="0" applyFill="0" applyBorder="0" applyAlignment="0" applyProtection="0"/>
    <xf numFmtId="43" fontId="39" fillId="0" borderId="0" applyFont="0" applyFill="0" applyBorder="0" applyAlignment="0" applyProtection="0"/>
    <xf numFmtId="0" fontId="44" fillId="0" borderId="0"/>
    <xf numFmtId="43" fontId="44"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175" fontId="39"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99" fillId="0" borderId="0"/>
    <xf numFmtId="0" fontId="18" fillId="0" borderId="0"/>
    <xf numFmtId="0" fontId="18" fillId="0" borderId="0"/>
    <xf numFmtId="0" fontId="39"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9" fontId="165" fillId="0" borderId="0" applyFont="0" applyFill="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5" fontId="39" fillId="0" borderId="0"/>
    <xf numFmtId="0" fontId="114" fillId="0" borderId="0"/>
    <xf numFmtId="0" fontId="114" fillId="0" borderId="0"/>
    <xf numFmtId="0" fontId="114" fillId="0" borderId="0"/>
    <xf numFmtId="0" fontId="39" fillId="0" borderId="0"/>
    <xf numFmtId="0" fontId="114" fillId="0" borderId="0"/>
    <xf numFmtId="0" fontId="39" fillId="0" borderId="0"/>
    <xf numFmtId="0" fontId="39" fillId="0" borderId="0"/>
    <xf numFmtId="0" fontId="39" fillId="0" borderId="0"/>
    <xf numFmtId="0" fontId="39" fillId="0" borderId="0"/>
    <xf numFmtId="0" fontId="39" fillId="0" borderId="0"/>
    <xf numFmtId="0" fontId="99" fillId="0" borderId="0"/>
    <xf numFmtId="0" fontId="114" fillId="0" borderId="0"/>
    <xf numFmtId="0" fontId="114" fillId="0" borderId="0"/>
    <xf numFmtId="0" fontId="114" fillId="0" borderId="0"/>
    <xf numFmtId="0" fontId="114" fillId="0" borderId="0"/>
    <xf numFmtId="0" fontId="3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4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07" fillId="33" borderId="73"/>
    <xf numFmtId="0" fontId="44" fillId="0" borderId="0"/>
    <xf numFmtId="0" fontId="107" fillId="33" borderId="73"/>
    <xf numFmtId="175" fontId="39"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9"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164" fontId="39" fillId="0" borderId="0"/>
    <xf numFmtId="0" fontId="175" fillId="0" borderId="0"/>
    <xf numFmtId="0" fontId="107" fillId="33" borderId="83"/>
    <xf numFmtId="0" fontId="175" fillId="0" borderId="0"/>
    <xf numFmtId="0" fontId="15" fillId="0" borderId="0"/>
    <xf numFmtId="0" fontId="175" fillId="0" borderId="0"/>
    <xf numFmtId="0" fontId="175" fillId="0" borderId="0"/>
    <xf numFmtId="0" fontId="14"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4"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4" fillId="0" borderId="0"/>
    <xf numFmtId="0" fontId="176" fillId="0" borderId="0"/>
    <xf numFmtId="0" fontId="178" fillId="0" borderId="0"/>
    <xf numFmtId="0" fontId="175" fillId="0" borderId="0"/>
    <xf numFmtId="0" fontId="175" fillId="0" borderId="0"/>
    <xf numFmtId="0" fontId="13" fillId="0" borderId="0"/>
    <xf numFmtId="0" fontId="175" fillId="0" borderId="0"/>
    <xf numFmtId="0" fontId="175" fillId="0" borderId="0"/>
    <xf numFmtId="0" fontId="13" fillId="0" borderId="0"/>
    <xf numFmtId="0" fontId="13" fillId="0" borderId="0"/>
    <xf numFmtId="0" fontId="44" fillId="0" borderId="0"/>
    <xf numFmtId="0" fontId="12" fillId="0" borderId="0"/>
    <xf numFmtId="0" fontId="176" fillId="0" borderId="0"/>
    <xf numFmtId="0" fontId="176" fillId="0" borderId="0"/>
    <xf numFmtId="0" fontId="176" fillId="0" borderId="0"/>
    <xf numFmtId="0" fontId="179" fillId="0" borderId="0"/>
    <xf numFmtId="0" fontId="179" fillId="0" borderId="0"/>
    <xf numFmtId="0" fontId="11" fillId="0" borderId="0"/>
    <xf numFmtId="0" fontId="11" fillId="0" borderId="0"/>
    <xf numFmtId="43" fontId="44" fillId="0" borderId="0" applyFont="0" applyFill="0" applyBorder="0" applyAlignment="0" applyProtection="0"/>
    <xf numFmtId="0" fontId="11" fillId="0" borderId="0"/>
    <xf numFmtId="0" fontId="179" fillId="0" borderId="0"/>
    <xf numFmtId="0" fontId="179" fillId="0" borderId="0"/>
    <xf numFmtId="0" fontId="10" fillId="0" borderId="0"/>
    <xf numFmtId="0" fontId="10" fillId="0" borderId="0"/>
    <xf numFmtId="0" fontId="10" fillId="0" borderId="0"/>
    <xf numFmtId="0" fontId="179" fillId="0" borderId="0"/>
    <xf numFmtId="0" fontId="176" fillId="0" borderId="0"/>
    <xf numFmtId="0" fontId="9" fillId="0" borderId="0"/>
    <xf numFmtId="0" fontId="176" fillId="0" borderId="0"/>
    <xf numFmtId="0" fontId="176" fillId="0" borderId="0"/>
    <xf numFmtId="0" fontId="176" fillId="0" borderId="0"/>
    <xf numFmtId="0" fontId="9" fillId="0" borderId="0"/>
    <xf numFmtId="0" fontId="176" fillId="0" borderId="0"/>
    <xf numFmtId="0" fontId="176" fillId="0" borderId="0"/>
    <xf numFmtId="164" fontId="180" fillId="0" borderId="0"/>
    <xf numFmtId="43" fontId="39" fillId="0" borderId="0" applyFont="0" applyFill="0" applyBorder="0" applyAlignment="0" applyProtection="0"/>
    <xf numFmtId="0" fontId="39" fillId="0" borderId="0"/>
    <xf numFmtId="0" fontId="39" fillId="0" borderId="0"/>
    <xf numFmtId="0" fontId="44" fillId="0" borderId="0"/>
    <xf numFmtId="43" fontId="44" fillId="0" borderId="0" applyFont="0" applyFill="0" applyBorder="0" applyAlignment="0" applyProtection="0"/>
    <xf numFmtId="0" fontId="99" fillId="0" borderId="0"/>
    <xf numFmtId="175" fontId="39"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119" fillId="47" borderId="88" applyNumberFormat="0" applyAlignment="0" applyProtection="0"/>
    <xf numFmtId="0" fontId="119" fillId="47" borderId="88" applyNumberFormat="0" applyAlignment="0" applyProtection="0"/>
    <xf numFmtId="0" fontId="125" fillId="50" borderId="88" applyNumberFormat="0" applyAlignment="0" applyProtection="0"/>
    <xf numFmtId="0" fontId="125" fillId="50" borderId="88" applyNumberFormat="0" applyAlignment="0" applyProtection="0"/>
    <xf numFmtId="0" fontId="9" fillId="0" borderId="0"/>
    <xf numFmtId="0" fontId="176" fillId="0" borderId="0"/>
    <xf numFmtId="0" fontId="128" fillId="47" borderId="89" applyNumberFormat="0" applyAlignment="0" applyProtection="0"/>
    <xf numFmtId="0" fontId="128" fillId="47" borderId="89" applyNumberFormat="0" applyAlignment="0" applyProtection="0"/>
    <xf numFmtId="0" fontId="59" fillId="0" borderId="90" applyNumberFormat="0" applyFill="0" applyAlignment="0" applyProtection="0"/>
    <xf numFmtId="0" fontId="59" fillId="0" borderId="90" applyNumberFormat="0" applyFill="0" applyAlignment="0" applyProtection="0"/>
    <xf numFmtId="0" fontId="17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57" borderId="91"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150" fillId="57" borderId="91"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176"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9" fontId="39" fillId="0" borderId="0" applyFont="0" applyFill="0" applyBorder="0" applyAlignment="0" applyProtection="0"/>
    <xf numFmtId="0" fontId="9" fillId="0" borderId="0"/>
    <xf numFmtId="0" fontId="107" fillId="33" borderId="83"/>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3" fontId="39" fillId="0" borderId="0" applyFont="0" applyFill="0" applyBorder="0" applyAlignment="0" applyProtection="0"/>
    <xf numFmtId="0" fontId="44" fillId="0" borderId="0"/>
    <xf numFmtId="0" fontId="176" fillId="0" borderId="0"/>
    <xf numFmtId="0" fontId="44" fillId="0" borderId="0"/>
    <xf numFmtId="0" fontId="9" fillId="0" borderId="0"/>
    <xf numFmtId="0" fontId="44" fillId="0" borderId="0"/>
    <xf numFmtId="0" fontId="44" fillId="0" borderId="0"/>
    <xf numFmtId="0" fontId="9" fillId="0" borderId="0"/>
    <xf numFmtId="0" fontId="9" fillId="0" borderId="0"/>
    <xf numFmtId="0" fontId="176" fillId="0" borderId="0"/>
    <xf numFmtId="0" fontId="9" fillId="0" borderId="0"/>
    <xf numFmtId="0" fontId="176" fillId="0" borderId="0"/>
    <xf numFmtId="0" fontId="44" fillId="0" borderId="0"/>
    <xf numFmtId="0" fontId="44" fillId="0" borderId="0"/>
    <xf numFmtId="0" fontId="9" fillId="0" borderId="0"/>
    <xf numFmtId="0" fontId="44" fillId="0" borderId="0"/>
    <xf numFmtId="0" fontId="44" fillId="0" borderId="0"/>
    <xf numFmtId="0" fontId="9" fillId="0" borderId="0"/>
    <xf numFmtId="0" fontId="9" fillId="0" borderId="0"/>
    <xf numFmtId="0" fontId="9" fillId="0" borderId="0"/>
    <xf numFmtId="0" fontId="181" fillId="0" borderId="0"/>
    <xf numFmtId="0" fontId="181" fillId="0" borderId="0"/>
    <xf numFmtId="0" fontId="8" fillId="0" borderId="0"/>
    <xf numFmtId="0" fontId="8" fillId="0" borderId="0"/>
    <xf numFmtId="175" fontId="3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39" fillId="0" borderId="0"/>
    <xf numFmtId="0" fontId="182" fillId="0" borderId="0"/>
    <xf numFmtId="0" fontId="182" fillId="0" borderId="0"/>
    <xf numFmtId="0" fontId="7" fillId="0" borderId="0"/>
    <xf numFmtId="0" fontId="7" fillId="0" borderId="0"/>
    <xf numFmtId="0" fontId="182" fillId="0" borderId="0"/>
    <xf numFmtId="0" fontId="182" fillId="0" borderId="0"/>
    <xf numFmtId="0" fontId="182" fillId="0" borderId="0"/>
    <xf numFmtId="0" fontId="182" fillId="0" borderId="0"/>
    <xf numFmtId="0" fontId="182" fillId="0" borderId="0"/>
    <xf numFmtId="0" fontId="7" fillId="0" borderId="0"/>
    <xf numFmtId="0" fontId="184" fillId="0" borderId="0"/>
    <xf numFmtId="0" fontId="6" fillId="0" borderId="0"/>
    <xf numFmtId="0" fontId="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7" fillId="33" borderId="93"/>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44" fillId="0" borderId="0"/>
    <xf numFmtId="0" fontId="5" fillId="0" borderId="0"/>
    <xf numFmtId="0" fontId="5" fillId="0" borderId="0"/>
    <xf numFmtId="164" fontId="39"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44"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7" fillId="33" borderId="93"/>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5" fillId="0" borderId="0"/>
    <xf numFmtId="43" fontId="186" fillId="0" borderId="0" applyFont="0" applyFill="0" applyBorder="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44" fontId="190" fillId="0" borderId="0" applyFont="0" applyFill="0" applyBorder="0" applyAlignment="0" applyProtection="0"/>
    <xf numFmtId="0" fontId="192" fillId="0" borderId="0"/>
    <xf numFmtId="0" fontId="45" fillId="0" borderId="97" applyNumberFormat="0" applyFont="0" applyBorder="0">
      <alignment horizontal="right"/>
    </xf>
    <xf numFmtId="0" fontId="196" fillId="0" borderId="0" applyFill="0"/>
    <xf numFmtId="0" fontId="44" fillId="0" borderId="0" applyNumberFormat="0" applyFont="0" applyBorder="0" applyAlignment="0"/>
    <xf numFmtId="0" fontId="197" fillId="0" borderId="0" applyFill="0">
      <alignment horizontal="left" indent="1"/>
    </xf>
    <xf numFmtId="44" fontId="192" fillId="0" borderId="0" applyFont="0" applyFill="0" applyBorder="0" applyAlignment="0" applyProtection="0"/>
    <xf numFmtId="43" fontId="192" fillId="0" borderId="0" applyFont="0" applyFill="0" applyBorder="0" applyAlignment="0" applyProtection="0"/>
    <xf numFmtId="4" fontId="115" fillId="0" borderId="10" applyFill="0"/>
    <xf numFmtId="0" fontId="46" fillId="0" borderId="0" applyFill="0"/>
    <xf numFmtId="0" fontId="44" fillId="0" borderId="0"/>
    <xf numFmtId="43" fontId="44" fillId="0" borderId="0" applyFont="0" applyFill="0" applyBorder="0" applyAlignment="0" applyProtection="0"/>
    <xf numFmtId="44" fontId="44" fillId="0" borderId="0" applyFont="0" applyFill="0" applyBorder="0" applyAlignment="0" applyProtection="0"/>
    <xf numFmtId="0" fontId="44" fillId="0" borderId="0"/>
    <xf numFmtId="0" fontId="99" fillId="0" borderId="0"/>
    <xf numFmtId="0" fontId="107" fillId="33" borderId="10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7" fillId="33" borderId="108"/>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7" fillId="33" borderId="108"/>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44" fontId="44" fillId="0" borderId="0" applyFont="0" applyFill="0" applyBorder="0" applyAlignment="0" applyProtection="0"/>
    <xf numFmtId="43" fontId="44"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06" fillId="0" borderId="0"/>
    <xf numFmtId="187" fontId="42" fillId="0" borderId="0" applyFill="0"/>
    <xf numFmtId="187" fontId="42" fillId="0" borderId="0">
      <alignment horizontal="center"/>
    </xf>
    <xf numFmtId="0" fontId="42" fillId="0" borderId="0" applyFill="0">
      <alignment horizontal="center"/>
    </xf>
    <xf numFmtId="187" fontId="68" fillId="0" borderId="42" applyFill="0"/>
    <xf numFmtId="0" fontId="44" fillId="0" borderId="0" applyFont="0" applyAlignment="0"/>
    <xf numFmtId="0" fontId="207" fillId="0" borderId="0" applyFill="0">
      <alignment vertical="top"/>
    </xf>
    <xf numFmtId="0" fontId="68" fillId="0" borderId="0" applyFill="0">
      <alignment horizontal="left" vertical="top"/>
    </xf>
    <xf numFmtId="187" fontId="46" fillId="0" borderId="103" applyFill="0"/>
    <xf numFmtId="0" fontId="44" fillId="0" borderId="0" applyNumberFormat="0" applyFont="0" applyAlignment="0"/>
    <xf numFmtId="0" fontId="207" fillId="0" borderId="0" applyFill="0">
      <alignment wrapText="1"/>
    </xf>
    <xf numFmtId="0" fontId="68" fillId="0" borderId="0" applyFill="0">
      <alignment horizontal="left" vertical="top" wrapText="1"/>
    </xf>
    <xf numFmtId="187" fontId="86" fillId="0" borderId="0" applyFill="0"/>
    <xf numFmtId="0" fontId="208" fillId="0" borderId="0" applyNumberFormat="0" applyFont="0" applyAlignment="0">
      <alignment horizontal="center"/>
    </xf>
    <xf numFmtId="0" fontId="162" fillId="0" borderId="0" applyFill="0">
      <alignment vertical="top" wrapText="1"/>
    </xf>
    <xf numFmtId="0" fontId="46" fillId="0" borderId="0" applyFill="0">
      <alignment horizontal="left" vertical="top" wrapText="1"/>
    </xf>
    <xf numFmtId="187" fontId="44" fillId="0" borderId="0" applyFill="0"/>
    <xf numFmtId="0" fontId="208" fillId="0" borderId="0" applyNumberFormat="0" applyFont="0" applyAlignment="0">
      <alignment horizontal="center"/>
    </xf>
    <xf numFmtId="0" fontId="94" fillId="0" borderId="0" applyFill="0">
      <alignment vertical="center" wrapText="1"/>
    </xf>
    <xf numFmtId="0" fontId="39" fillId="0" borderId="0">
      <alignment horizontal="left" vertical="center" wrapText="1"/>
    </xf>
    <xf numFmtId="187" fontId="51" fillId="0" borderId="0" applyFill="0"/>
    <xf numFmtId="0" fontId="208" fillId="0" borderId="0" applyNumberFormat="0" applyFont="0" applyAlignment="0">
      <alignment horizontal="center"/>
    </xf>
    <xf numFmtId="0" fontId="209" fillId="0" borderId="0" applyFill="0">
      <alignment horizontal="center" vertical="center" wrapText="1"/>
    </xf>
    <xf numFmtId="0" fontId="44" fillId="0" borderId="0" applyFill="0">
      <alignment horizontal="center" vertical="center" wrapText="1"/>
    </xf>
    <xf numFmtId="187" fontId="210" fillId="0" borderId="0" applyFill="0"/>
    <xf numFmtId="0" fontId="208" fillId="0" borderId="0" applyNumberFormat="0" applyFont="0" applyAlignment="0">
      <alignment horizontal="center"/>
    </xf>
    <xf numFmtId="0" fontId="211" fillId="0" borderId="0" applyFill="0">
      <alignment horizontal="center" vertical="center" wrapText="1"/>
    </xf>
    <xf numFmtId="0" fontId="212" fillId="0" borderId="0" applyFill="0">
      <alignment horizontal="center" vertical="center" wrapText="1"/>
    </xf>
    <xf numFmtId="187" fontId="213" fillId="0" borderId="0" applyFill="0"/>
    <xf numFmtId="0" fontId="208" fillId="0" borderId="0" applyNumberFormat="0" applyFont="0" applyAlignment="0">
      <alignment horizontal="center"/>
    </xf>
    <xf numFmtId="0" fontId="214" fillId="0" borderId="0">
      <alignment horizontal="center" wrapText="1"/>
    </xf>
    <xf numFmtId="0" fontId="210" fillId="0" borderId="0" applyFill="0">
      <alignment horizontal="center" wrapText="1"/>
    </xf>
    <xf numFmtId="4" fontId="42" fillId="35" borderId="0" applyFill="0"/>
    <xf numFmtId="0" fontId="215" fillId="0" borderId="0">
      <alignment horizontal="left" indent="7"/>
    </xf>
    <xf numFmtId="0" fontId="42" fillId="0" borderId="0" applyFill="0">
      <alignment horizontal="left" indent="7"/>
    </xf>
    <xf numFmtId="187" fontId="115" fillId="0" borderId="10" applyFill="0">
      <alignment horizontal="right"/>
    </xf>
    <xf numFmtId="0" fontId="162" fillId="0" borderId="0" applyFill="0">
      <alignment horizontal="left" indent="1"/>
    </xf>
    <xf numFmtId="4" fontId="51" fillId="0" borderId="0" applyFill="0"/>
    <xf numFmtId="0" fontId="44" fillId="0" borderId="0" applyNumberFormat="0" applyFont="0" applyFill="0" applyBorder="0" applyAlignment="0"/>
    <xf numFmtId="0" fontId="162" fillId="0" borderId="0" applyFill="0">
      <alignment horizontal="left" indent="2"/>
    </xf>
    <xf numFmtId="0" fontId="46" fillId="0" borderId="0" applyFill="0">
      <alignment horizontal="left" indent="2"/>
    </xf>
    <xf numFmtId="4" fontId="51" fillId="0" borderId="0" applyFill="0"/>
    <xf numFmtId="0" fontId="44" fillId="0" borderId="0" applyNumberFormat="0" applyFont="0" applyBorder="0" applyAlignment="0"/>
    <xf numFmtId="0" fontId="216" fillId="0" borderId="0">
      <alignment horizontal="left" indent="3"/>
    </xf>
    <xf numFmtId="0" fontId="84" fillId="0" borderId="0" applyFill="0">
      <alignment horizontal="left" indent="3"/>
    </xf>
    <xf numFmtId="4" fontId="51" fillId="0" borderId="0" applyFill="0"/>
    <xf numFmtId="0" fontId="44" fillId="0" borderId="0" applyNumberFormat="0" applyFont="0" applyBorder="0" applyAlignment="0"/>
    <xf numFmtId="0" fontId="209" fillId="0" borderId="0">
      <alignment horizontal="left" indent="4"/>
    </xf>
    <xf numFmtId="0" fontId="44" fillId="0" borderId="0" applyFill="0">
      <alignment horizontal="left" indent="4"/>
    </xf>
    <xf numFmtId="4" fontId="210" fillId="0" borderId="0" applyFill="0"/>
    <xf numFmtId="0" fontId="44" fillId="0" borderId="0" applyNumberFormat="0" applyFont="0" applyBorder="0" applyAlignment="0"/>
    <xf numFmtId="0" fontId="211" fillId="0" borderId="0">
      <alignment horizontal="left" indent="5"/>
    </xf>
    <xf numFmtId="0" fontId="212" fillId="0" borderId="0" applyFill="0">
      <alignment horizontal="left" indent="5"/>
    </xf>
    <xf numFmtId="4" fontId="213" fillId="0" borderId="0" applyFill="0"/>
    <xf numFmtId="0" fontId="44" fillId="0" borderId="0" applyNumberFormat="0" applyFont="0" applyFill="0" applyBorder="0" applyAlignment="0"/>
    <xf numFmtId="0" fontId="214" fillId="0" borderId="0" applyFill="0">
      <alignment horizontal="left" indent="6"/>
    </xf>
    <xf numFmtId="0" fontId="210" fillId="0" borderId="0" applyFill="0">
      <alignment horizontal="left" indent="6"/>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4" fillId="0" borderId="0" applyFill="0">
      <alignment horizontal="center" vertical="center" wrapText="1"/>
    </xf>
    <xf numFmtId="0" fontId="44" fillId="0" borderId="0" applyFill="0">
      <alignment horizontal="left" indent="4"/>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4" fillId="0" borderId="0" applyFill="0">
      <alignment horizontal="center" vertical="center" wrapText="1"/>
    </xf>
    <xf numFmtId="0" fontId="44" fillId="0" borderId="0" applyFill="0">
      <alignment horizontal="left" indent="4"/>
    </xf>
  </cellStyleXfs>
  <cellXfs count="3989">
    <xf numFmtId="164" fontId="0" fillId="0" borderId="0" xfId="0"/>
    <xf numFmtId="166" fontId="44" fillId="0" borderId="0" xfId="0" applyNumberFormat="1" applyFont="1" applyAlignment="1" applyProtection="1"/>
    <xf numFmtId="166" fontId="45" fillId="0" borderId="0" xfId="0" applyNumberFormat="1" applyFont="1" applyAlignment="1" applyProtection="1"/>
    <xf numFmtId="166" fontId="46" fillId="0" borderId="10" xfId="0" applyNumberFormat="1" applyFont="1" applyBorder="1" applyAlignment="1" applyProtection="1">
      <alignment horizontal="centerContinuous"/>
    </xf>
    <xf numFmtId="166" fontId="46" fillId="0" borderId="0" xfId="0" quotePrefix="1" applyNumberFormat="1" applyFont="1" applyBorder="1" applyAlignment="1" applyProtection="1">
      <alignment horizontal="center"/>
    </xf>
    <xf numFmtId="166" fontId="46" fillId="0" borderId="0" xfId="0" applyNumberFormat="1" applyFont="1" applyBorder="1" applyAlignment="1" applyProtection="1">
      <alignment horizontal="center"/>
    </xf>
    <xf numFmtId="166" fontId="46" fillId="0" borderId="10" xfId="0" applyNumberFormat="1" applyFont="1" applyBorder="1" applyAlignment="1" applyProtection="1">
      <alignment horizontal="center"/>
    </xf>
    <xf numFmtId="166" fontId="41" fillId="0" borderId="0" xfId="0" applyNumberFormat="1" applyFont="1" applyBorder="1" applyAlignment="1" applyProtection="1"/>
    <xf numFmtId="164" fontId="41" fillId="0" borderId="0" xfId="0" applyNumberFormat="1" applyFont="1" applyBorder="1" applyAlignment="1" applyProtection="1">
      <protection locked="0"/>
    </xf>
    <xf numFmtId="170" fontId="41" fillId="0" borderId="0" xfId="0" applyNumberFormat="1" applyFont="1" applyAlignment="1" applyProtection="1"/>
    <xf numFmtId="170" fontId="41" fillId="0" borderId="0" xfId="0" applyNumberFormat="1" applyFont="1" applyAlignment="1" applyProtection="1">
      <alignment horizontal="center"/>
    </xf>
    <xf numFmtId="170" fontId="46" fillId="0" borderId="16" xfId="0" applyNumberFormat="1" applyFont="1" applyBorder="1" applyAlignment="1" applyProtection="1">
      <alignment horizontal="right"/>
    </xf>
    <xf numFmtId="170" fontId="46" fillId="0" borderId="16" xfId="0" applyNumberFormat="1" applyFont="1" applyBorder="1" applyAlignment="1" applyProtection="1"/>
    <xf numFmtId="164" fontId="46" fillId="0" borderId="16" xfId="0" applyNumberFormat="1" applyFont="1" applyBorder="1" applyAlignment="1" applyProtection="1">
      <protection locked="0"/>
    </xf>
    <xf numFmtId="170" fontId="41" fillId="0" borderId="0" xfId="0" applyNumberFormat="1" applyFont="1" applyBorder="1" applyAlignment="1" applyProtection="1"/>
    <xf numFmtId="170" fontId="41" fillId="0" borderId="0" xfId="0" quotePrefix="1" applyNumberFormat="1" applyFont="1" applyAlignment="1" applyProtection="1">
      <alignment horizontal="center"/>
    </xf>
    <xf numFmtId="170" fontId="41" fillId="0" borderId="0" xfId="0" applyNumberFormat="1" applyFont="1" applyBorder="1" applyAlignment="1" applyProtection="1">
      <alignment horizontal="center"/>
    </xf>
    <xf numFmtId="170" fontId="46" fillId="0" borderId="10" xfId="0" applyNumberFormat="1" applyFont="1" applyBorder="1" applyAlignment="1" applyProtection="1"/>
    <xf numFmtId="170" fontId="41" fillId="0" borderId="0" xfId="0" applyNumberFormat="1" applyFont="1" applyFill="1" applyAlignment="1" applyProtection="1">
      <alignment horizontal="center"/>
    </xf>
    <xf numFmtId="170" fontId="41" fillId="0" borderId="0" xfId="0" applyNumberFormat="1" applyFont="1" applyFill="1" applyAlignment="1" applyProtection="1"/>
    <xf numFmtId="170" fontId="46" fillId="0" borderId="0" xfId="0" applyNumberFormat="1" applyFont="1" applyFill="1" applyAlignment="1" applyProtection="1"/>
    <xf numFmtId="164" fontId="46" fillId="0" borderId="0" xfId="0" applyNumberFormat="1" applyFont="1" applyBorder="1" applyAlignment="1" applyProtection="1">
      <protection locked="0"/>
    </xf>
    <xf numFmtId="174" fontId="46" fillId="0" borderId="17" xfId="0" applyNumberFormat="1" applyFont="1" applyFill="1" applyBorder="1" applyAlignment="1" applyProtection="1"/>
    <xf numFmtId="170" fontId="46" fillId="0" borderId="0" xfId="0" applyNumberFormat="1" applyFont="1" applyAlignment="1"/>
    <xf numFmtId="170" fontId="46" fillId="0" borderId="0" xfId="0" applyNumberFormat="1" applyFont="1" applyBorder="1" applyAlignment="1"/>
    <xf numFmtId="170" fontId="46" fillId="0" borderId="10" xfId="0" applyNumberFormat="1" applyFont="1" applyBorder="1" applyAlignment="1"/>
    <xf numFmtId="0" fontId="46" fillId="0" borderId="0" xfId="2" applyNumberFormat="1" applyFont="1" applyAlignment="1"/>
    <xf numFmtId="165" fontId="41" fillId="0" borderId="0" xfId="2" applyNumberFormat="1" applyFont="1" applyAlignment="1"/>
    <xf numFmtId="0" fontId="41" fillId="0" borderId="0" xfId="2" applyNumberFormat="1" applyFont="1" applyAlignment="1"/>
    <xf numFmtId="165" fontId="41" fillId="0" borderId="0" xfId="2" applyNumberFormat="1" applyFont="1" applyAlignment="1" applyProtection="1">
      <protection locked="0"/>
    </xf>
    <xf numFmtId="165" fontId="41" fillId="0" borderId="0" xfId="2" applyNumberFormat="1" applyFont="1" applyBorder="1" applyAlignment="1" applyProtection="1">
      <protection locked="0"/>
    </xf>
    <xf numFmtId="0" fontId="41" fillId="0" borderId="0" xfId="2" applyFont="1"/>
    <xf numFmtId="0" fontId="46" fillId="0" borderId="0" xfId="2" quotePrefix="1" applyNumberFormat="1" applyFont="1" applyAlignment="1">
      <alignment horizontal="left"/>
    </xf>
    <xf numFmtId="0" fontId="41" fillId="0" borderId="0" xfId="2" applyNumberFormat="1" applyFont="1" applyBorder="1" applyAlignment="1"/>
    <xf numFmtId="165" fontId="41" fillId="0" borderId="0" xfId="2" applyNumberFormat="1" applyFont="1" applyBorder="1" applyAlignment="1"/>
    <xf numFmtId="0" fontId="65" fillId="0" borderId="0" xfId="2" applyNumberFormat="1" applyFont="1" applyAlignment="1"/>
    <xf numFmtId="165" fontId="65" fillId="0" borderId="0" xfId="2" applyNumberFormat="1" applyFont="1" applyBorder="1" applyAlignment="1" applyProtection="1">
      <alignment horizontal="center"/>
      <protection locked="0"/>
    </xf>
    <xf numFmtId="165" fontId="65" fillId="0" borderId="0" xfId="2" applyNumberFormat="1" applyFont="1" applyAlignment="1" applyProtection="1">
      <protection locked="0"/>
    </xf>
    <xf numFmtId="165" fontId="65" fillId="0" borderId="0" xfId="2" applyNumberFormat="1" applyFont="1" applyAlignment="1"/>
    <xf numFmtId="0" fontId="41" fillId="0" borderId="20" xfId="2" applyNumberFormat="1" applyFont="1" applyBorder="1" applyAlignment="1"/>
    <xf numFmtId="165" fontId="41" fillId="0" borderId="20" xfId="2" applyNumberFormat="1" applyFont="1" applyBorder="1" applyAlignment="1"/>
    <xf numFmtId="165" fontId="65" fillId="0" borderId="0" xfId="2" applyNumberFormat="1" applyFont="1" applyBorder="1" applyAlignment="1" applyProtection="1">
      <protection locked="0"/>
    </xf>
    <xf numFmtId="0" fontId="41" fillId="0" borderId="21" xfId="2" applyNumberFormat="1" applyFont="1" applyBorder="1" applyAlignment="1"/>
    <xf numFmtId="0" fontId="41" fillId="0" borderId="22" xfId="2" applyNumberFormat="1" applyFont="1" applyBorder="1" applyAlignment="1"/>
    <xf numFmtId="0" fontId="41" fillId="0" borderId="0" xfId="2" applyFont="1" applyAlignment="1"/>
    <xf numFmtId="0" fontId="41" fillId="0" borderId="21" xfId="2" applyFont="1" applyBorder="1" applyAlignment="1"/>
    <xf numFmtId="0" fontId="41" fillId="0" borderId="0" xfId="2" applyFont="1" applyBorder="1" applyAlignment="1"/>
    <xf numFmtId="174" fontId="41" fillId="0" borderId="0" xfId="2" applyNumberFormat="1" applyFont="1" applyAlignment="1"/>
    <xf numFmtId="169" fontId="41" fillId="0" borderId="0" xfId="2" applyNumberFormat="1" applyFont="1" applyBorder="1" applyAlignment="1"/>
    <xf numFmtId="0" fontId="41" fillId="0" borderId="0" xfId="2" quotePrefix="1" applyNumberFormat="1" applyFont="1" applyAlignment="1">
      <alignment horizontal="left"/>
    </xf>
    <xf numFmtId="170" fontId="65" fillId="0" borderId="0" xfId="2" applyNumberFormat="1" applyFont="1" applyAlignment="1"/>
    <xf numFmtId="170" fontId="41" fillId="0" borderId="0" xfId="2" applyNumberFormat="1" applyFont="1" applyBorder="1" applyAlignment="1"/>
    <xf numFmtId="170" fontId="41" fillId="0" borderId="21" xfId="2" applyNumberFormat="1" applyFont="1" applyBorder="1" applyAlignment="1"/>
    <xf numFmtId="170" fontId="0" fillId="0" borderId="0" xfId="2" applyNumberFormat="1" applyFont="1" applyBorder="1"/>
    <xf numFmtId="166" fontId="41" fillId="0" borderId="0" xfId="2" applyNumberFormat="1" applyFont="1" applyBorder="1" applyAlignment="1"/>
    <xf numFmtId="170" fontId="41" fillId="0" borderId="0" xfId="2" applyNumberFormat="1" applyFont="1" applyBorder="1" applyAlignment="1">
      <alignment horizontal="center"/>
    </xf>
    <xf numFmtId="170" fontId="46" fillId="0" borderId="16" xfId="2" applyNumberFormat="1" applyFont="1" applyBorder="1" applyAlignment="1"/>
    <xf numFmtId="170" fontId="46" fillId="0" borderId="0" xfId="2" applyNumberFormat="1" applyFont="1" applyAlignment="1"/>
    <xf numFmtId="170" fontId="46" fillId="0" borderId="26" xfId="2" applyNumberFormat="1" applyFont="1" applyBorder="1" applyAlignment="1"/>
    <xf numFmtId="170" fontId="46" fillId="0" borderId="21" xfId="2" applyNumberFormat="1" applyFont="1" applyBorder="1" applyAlignment="1"/>
    <xf numFmtId="165" fontId="66" fillId="0" borderId="0" xfId="2" applyNumberFormat="1" applyFont="1" applyAlignment="1"/>
    <xf numFmtId="170" fontId="41" fillId="0" borderId="0" xfId="2" applyNumberFormat="1" applyFont="1" applyAlignment="1"/>
    <xf numFmtId="170" fontId="41" fillId="0" borderId="0" xfId="2" applyNumberFormat="1" applyFont="1" applyFill="1" applyBorder="1" applyAlignment="1"/>
    <xf numFmtId="170" fontId="41" fillId="0" borderId="0" xfId="2" applyNumberFormat="1" applyFont="1" applyFill="1" applyBorder="1" applyAlignment="1">
      <alignment horizontal="center"/>
    </xf>
    <xf numFmtId="170" fontId="41" fillId="0" borderId="0" xfId="2" applyNumberFormat="1" applyFont="1" applyAlignment="1">
      <alignment horizontal="center"/>
    </xf>
    <xf numFmtId="170" fontId="41" fillId="0" borderId="0" xfId="2" applyNumberFormat="1" applyFont="1" applyFill="1" applyBorder="1" applyAlignment="1">
      <alignment horizontal="right"/>
    </xf>
    <xf numFmtId="170" fontId="46" fillId="0" borderId="29" xfId="2" applyNumberFormat="1" applyFont="1" applyBorder="1" applyAlignment="1"/>
    <xf numFmtId="170" fontId="46" fillId="0" borderId="30" xfId="2" applyNumberFormat="1" applyFont="1" applyBorder="1" applyAlignment="1"/>
    <xf numFmtId="170" fontId="46" fillId="0" borderId="10" xfId="2" quotePrefix="1" applyNumberFormat="1" applyFont="1" applyBorder="1" applyAlignment="1">
      <alignment horizontal="center"/>
    </xf>
    <xf numFmtId="170" fontId="46" fillId="0" borderId="10" xfId="2" applyNumberFormat="1" applyFont="1" applyBorder="1" applyAlignment="1"/>
    <xf numFmtId="170" fontId="46" fillId="0" borderId="25" xfId="2" applyNumberFormat="1" applyFont="1" applyBorder="1" applyAlignment="1"/>
    <xf numFmtId="170" fontId="46" fillId="0" borderId="0" xfId="2" applyNumberFormat="1" applyFont="1" applyBorder="1" applyAlignment="1"/>
    <xf numFmtId="170" fontId="41" fillId="0" borderId="0" xfId="2" applyNumberFormat="1" applyFont="1" applyAlignment="1">
      <alignment horizontal="right"/>
    </xf>
    <xf numFmtId="170" fontId="41" fillId="0" borderId="0" xfId="2" applyNumberFormat="1" applyFont="1" applyBorder="1" applyAlignment="1">
      <alignment horizontal="right"/>
    </xf>
    <xf numFmtId="170" fontId="41" fillId="0" borderId="13" xfId="2" applyNumberFormat="1" applyFont="1" applyBorder="1" applyAlignment="1"/>
    <xf numFmtId="0" fontId="41" fillId="0" borderId="0" xfId="2" quotePrefix="1" applyFont="1" applyBorder="1" applyAlignment="1"/>
    <xf numFmtId="170" fontId="46" fillId="0" borderId="0" xfId="2" quotePrefix="1" applyNumberFormat="1" applyFont="1" applyBorder="1" applyAlignment="1">
      <alignment horizontal="center"/>
    </xf>
    <xf numFmtId="170" fontId="46" fillId="0" borderId="0" xfId="2" applyNumberFormat="1" applyFont="1" applyAlignment="1">
      <alignment horizontal="center"/>
    </xf>
    <xf numFmtId="170" fontId="46" fillId="0" borderId="16" xfId="2" quotePrefix="1" applyNumberFormat="1" applyFont="1" applyBorder="1" applyAlignment="1"/>
    <xf numFmtId="170" fontId="46" fillId="0" borderId="0" xfId="2" applyNumberFormat="1" applyFont="1" applyAlignment="1">
      <alignment horizontal="right"/>
    </xf>
    <xf numFmtId="170" fontId="46" fillId="0" borderId="32" xfId="2" quotePrefix="1" applyNumberFormat="1" applyFont="1" applyBorder="1" applyAlignment="1">
      <alignment horizontal="right"/>
    </xf>
    <xf numFmtId="170" fontId="46" fillId="0" borderId="27" xfId="2" quotePrefix="1" applyNumberFormat="1" applyFont="1" applyBorder="1" applyAlignment="1"/>
    <xf numFmtId="0" fontId="41" fillId="0" borderId="0" xfId="2" quotePrefix="1" applyFont="1" applyBorder="1" applyAlignment="1">
      <alignment horizontal="right"/>
    </xf>
    <xf numFmtId="170" fontId="41" fillId="0" borderId="20" xfId="2" applyNumberFormat="1" applyFont="1" applyBorder="1" applyAlignment="1"/>
    <xf numFmtId="170" fontId="46" fillId="0" borderId="0" xfId="2" applyNumberFormat="1" applyFont="1" applyAlignment="1">
      <alignment vertical="center"/>
    </xf>
    <xf numFmtId="170" fontId="46" fillId="0" borderId="14" xfId="2" applyNumberFormat="1" applyFont="1" applyBorder="1" applyAlignment="1"/>
    <xf numFmtId="0" fontId="46" fillId="0" borderId="0" xfId="2" applyFont="1" applyBorder="1" applyAlignment="1"/>
    <xf numFmtId="174" fontId="46" fillId="0" borderId="20" xfId="2" applyNumberFormat="1" applyFont="1" applyBorder="1" applyAlignment="1"/>
    <xf numFmtId="174" fontId="46" fillId="0" borderId="0" xfId="2" applyNumberFormat="1" applyFont="1" applyAlignment="1"/>
    <xf numFmtId="174" fontId="46" fillId="0" borderId="21" xfId="2" applyNumberFormat="1" applyFont="1" applyBorder="1" applyAlignment="1"/>
    <xf numFmtId="174" fontId="46" fillId="0" borderId="22" xfId="2" applyNumberFormat="1" applyFont="1" applyBorder="1" applyAlignment="1"/>
    <xf numFmtId="174" fontId="46" fillId="0" borderId="34" xfId="2" applyNumberFormat="1" applyFont="1" applyBorder="1" applyAlignment="1"/>
    <xf numFmtId="174" fontId="46" fillId="0" borderId="35" xfId="2" applyNumberFormat="1" applyFont="1" applyBorder="1" applyAlignment="1"/>
    <xf numFmtId="169" fontId="41" fillId="0" borderId="0" xfId="2" applyNumberFormat="1" applyFont="1" applyAlignment="1"/>
    <xf numFmtId="168" fontId="65" fillId="0" borderId="0" xfId="2" applyNumberFormat="1" applyFont="1" applyBorder="1" applyAlignment="1" applyProtection="1">
      <protection locked="0"/>
    </xf>
    <xf numFmtId="0" fontId="0" fillId="0" borderId="0" xfId="2" applyFont="1"/>
    <xf numFmtId="166" fontId="67" fillId="0" borderId="0" xfId="2" applyNumberFormat="1" applyFont="1" applyAlignment="1"/>
    <xf numFmtId="0" fontId="65" fillId="0" borderId="0" xfId="2" applyNumberFormat="1" applyFont="1" applyBorder="1" applyAlignment="1"/>
    <xf numFmtId="165" fontId="65" fillId="0" borderId="0" xfId="2" applyNumberFormat="1" applyFont="1" applyBorder="1" applyAlignment="1"/>
    <xf numFmtId="0" fontId="46" fillId="0" borderId="0" xfId="2" applyNumberFormat="1" applyFont="1" applyFill="1" applyAlignment="1"/>
    <xf numFmtId="165" fontId="41" fillId="0" borderId="0" xfId="2" applyNumberFormat="1" applyFont="1" applyFill="1" applyAlignment="1"/>
    <xf numFmtId="0" fontId="41" fillId="0" borderId="0" xfId="2" applyNumberFormat="1" applyFont="1" applyFill="1" applyAlignment="1"/>
    <xf numFmtId="0" fontId="46" fillId="0" borderId="0" xfId="2" quotePrefix="1" applyNumberFormat="1" applyFont="1" applyFill="1" applyAlignment="1">
      <alignment horizontal="left"/>
    </xf>
    <xf numFmtId="0" fontId="41" fillId="0" borderId="0" xfId="2" applyNumberFormat="1" applyFont="1" applyFill="1" applyBorder="1" applyAlignment="1"/>
    <xf numFmtId="0" fontId="46" fillId="0" borderId="0" xfId="2" applyNumberFormat="1" applyFont="1" applyFill="1" applyAlignment="1">
      <alignment horizontal="centerContinuous"/>
    </xf>
    <xf numFmtId="170" fontId="46" fillId="0" borderId="16" xfId="2" applyNumberFormat="1" applyFont="1" applyFill="1" applyBorder="1" applyAlignment="1">
      <alignment horizontal="right"/>
    </xf>
    <xf numFmtId="170" fontId="46" fillId="0" borderId="0" xfId="2" applyNumberFormat="1" applyFont="1" applyFill="1" applyAlignment="1"/>
    <xf numFmtId="170" fontId="46" fillId="0" borderId="10" xfId="2" applyNumberFormat="1" applyFont="1" applyFill="1" applyBorder="1" applyAlignment="1"/>
    <xf numFmtId="170" fontId="46" fillId="0" borderId="32" xfId="2" applyNumberFormat="1" applyFont="1" applyFill="1" applyBorder="1" applyAlignment="1">
      <alignment horizontal="right"/>
    </xf>
    <xf numFmtId="170" fontId="46" fillId="0" borderId="0" xfId="2" applyNumberFormat="1" applyFont="1" applyFill="1" applyBorder="1" applyAlignment="1"/>
    <xf numFmtId="170" fontId="46" fillId="0" borderId="27" xfId="2" applyNumberFormat="1" applyFont="1" applyFill="1" applyBorder="1" applyAlignment="1">
      <alignment horizontal="right"/>
    </xf>
    <xf numFmtId="166" fontId="41" fillId="0" borderId="0" xfId="2" applyNumberFormat="1" applyFont="1" applyFill="1" applyBorder="1" applyAlignment="1"/>
    <xf numFmtId="170" fontId="41" fillId="0" borderId="0" xfId="2" applyNumberFormat="1" applyFont="1" applyFill="1" applyAlignment="1"/>
    <xf numFmtId="170" fontId="41" fillId="0" borderId="0" xfId="2" applyNumberFormat="1" applyFont="1" applyFill="1" applyAlignment="1">
      <alignment horizontal="right"/>
    </xf>
    <xf numFmtId="170" fontId="46" fillId="0" borderId="10" xfId="2" applyNumberFormat="1" applyFont="1" applyFill="1" applyBorder="1" applyAlignment="1">
      <alignment horizontal="right"/>
    </xf>
    <xf numFmtId="170" fontId="46" fillId="0" borderId="12" xfId="2" applyNumberFormat="1" applyFont="1" applyFill="1" applyBorder="1" applyAlignment="1">
      <alignment horizontal="right"/>
    </xf>
    <xf numFmtId="170" fontId="46" fillId="0" borderId="11" xfId="2" applyNumberFormat="1" applyFont="1" applyFill="1" applyBorder="1" applyAlignment="1">
      <alignment horizontal="right"/>
    </xf>
    <xf numFmtId="170" fontId="46" fillId="0" borderId="16" xfId="2" applyNumberFormat="1" applyFont="1" applyFill="1" applyBorder="1" applyAlignment="1">
      <alignment horizontal="center"/>
    </xf>
    <xf numFmtId="170" fontId="46" fillId="0" borderId="32" xfId="2" applyNumberFormat="1" applyFont="1" applyFill="1" applyBorder="1" applyAlignment="1">
      <alignment horizontal="center"/>
    </xf>
    <xf numFmtId="170" fontId="46" fillId="0" borderId="27" xfId="2" applyNumberFormat="1" applyFont="1" applyFill="1" applyBorder="1" applyAlignment="1">
      <alignment horizontal="center"/>
    </xf>
    <xf numFmtId="170" fontId="41" fillId="0" borderId="20" xfId="2" applyNumberFormat="1" applyFont="1" applyFill="1" applyBorder="1" applyAlignment="1"/>
    <xf numFmtId="170" fontId="41" fillId="0" borderId="0" xfId="2" applyNumberFormat="1" applyFont="1" applyFill="1" applyAlignment="1">
      <alignment horizontal="center"/>
    </xf>
    <xf numFmtId="170" fontId="46" fillId="0" borderId="0" xfId="2" quotePrefix="1" applyNumberFormat="1" applyFont="1" applyFill="1" applyBorder="1" applyAlignment="1">
      <alignment horizontal="right"/>
    </xf>
    <xf numFmtId="170" fontId="46" fillId="0" borderId="13" xfId="2" quotePrefix="1" applyNumberFormat="1" applyFont="1" applyFill="1" applyBorder="1" applyAlignment="1">
      <alignment horizontal="right"/>
    </xf>
    <xf numFmtId="170" fontId="46" fillId="0" borderId="28" xfId="2" quotePrefix="1" applyNumberFormat="1" applyFont="1" applyFill="1" applyBorder="1" applyAlignment="1">
      <alignment horizontal="right"/>
    </xf>
    <xf numFmtId="170" fontId="46" fillId="0" borderId="10" xfId="2" quotePrefix="1" applyNumberFormat="1" applyFont="1" applyFill="1" applyBorder="1" applyAlignment="1">
      <alignment horizontal="right"/>
    </xf>
    <xf numFmtId="170" fontId="46" fillId="0" borderId="13" xfId="2" applyNumberFormat="1" applyFont="1" applyFill="1" applyBorder="1" applyAlignment="1">
      <alignment horizontal="right"/>
    </xf>
    <xf numFmtId="170" fontId="46" fillId="0" borderId="28" xfId="2" applyNumberFormat="1" applyFont="1" applyFill="1" applyBorder="1" applyAlignment="1">
      <alignment horizontal="right"/>
    </xf>
    <xf numFmtId="174" fontId="46" fillId="0" borderId="20" xfId="2" applyNumberFormat="1" applyFont="1" applyFill="1" applyBorder="1" applyAlignment="1">
      <alignment horizontal="right"/>
    </xf>
    <xf numFmtId="174" fontId="46" fillId="0" borderId="0" xfId="2" applyNumberFormat="1" applyFont="1" applyFill="1" applyAlignment="1"/>
    <xf numFmtId="174" fontId="46" fillId="0" borderId="20" xfId="2" applyNumberFormat="1" applyFont="1" applyFill="1" applyBorder="1" applyAlignment="1"/>
    <xf numFmtId="174" fontId="46" fillId="0" borderId="0" xfId="2" applyNumberFormat="1" applyFont="1" applyFill="1" applyAlignment="1">
      <alignment horizontal="center"/>
    </xf>
    <xf numFmtId="174" fontId="46" fillId="0" borderId="39" xfId="2" applyNumberFormat="1" applyFont="1" applyFill="1" applyBorder="1" applyAlignment="1">
      <alignment horizontal="right"/>
    </xf>
    <xf numFmtId="174" fontId="46" fillId="0" borderId="0" xfId="2" applyNumberFormat="1" applyFont="1" applyFill="1" applyBorder="1" applyAlignment="1"/>
    <xf numFmtId="166" fontId="41" fillId="0" borderId="0" xfId="2" applyNumberFormat="1" applyFont="1" applyFill="1" applyAlignment="1"/>
    <xf numFmtId="0" fontId="68" fillId="33" borderId="0" xfId="2" applyNumberFormat="1" applyFont="1" applyFill="1" applyAlignment="1">
      <alignment horizontal="left"/>
    </xf>
    <xf numFmtId="37" fontId="44" fillId="33" borderId="0" xfId="2" applyNumberFormat="1" applyFont="1" applyFill="1" applyAlignment="1"/>
    <xf numFmtId="37" fontId="44" fillId="0" borderId="0" xfId="2" applyNumberFormat="1" applyFont="1" applyAlignment="1"/>
    <xf numFmtId="37" fontId="69" fillId="0" borderId="0" xfId="2" applyNumberFormat="1" applyFont="1" applyFill="1" applyAlignment="1">
      <alignment horizontal="center"/>
    </xf>
    <xf numFmtId="37" fontId="70" fillId="0" borderId="0" xfId="2" applyNumberFormat="1" applyFont="1" applyFill="1" applyAlignment="1">
      <alignment horizontal="center"/>
    </xf>
    <xf numFmtId="37" fontId="71" fillId="0" borderId="0" xfId="2" applyNumberFormat="1" applyFont="1" applyFill="1" applyAlignment="1"/>
    <xf numFmtId="37" fontId="44" fillId="0" borderId="0" xfId="2" applyNumberFormat="1" applyFont="1" applyFill="1" applyBorder="1" applyAlignment="1"/>
    <xf numFmtId="37" fontId="44" fillId="0" borderId="0" xfId="2" applyNumberFormat="1" applyFont="1" applyFill="1" applyAlignment="1"/>
    <xf numFmtId="0" fontId="63" fillId="0" borderId="0" xfId="2" applyNumberFormat="1" applyFont="1" applyAlignment="1"/>
    <xf numFmtId="0" fontId="42" fillId="0" borderId="0" xfId="2" applyNumberFormat="1" applyFont="1" applyAlignment="1"/>
    <xf numFmtId="37" fontId="46" fillId="0" borderId="0" xfId="2" applyNumberFormat="1" applyFont="1" applyBorder="1" applyAlignment="1"/>
    <xf numFmtId="37" fontId="46" fillId="0" borderId="0" xfId="2" applyNumberFormat="1" applyFont="1" applyAlignment="1"/>
    <xf numFmtId="37" fontId="46" fillId="0" borderId="0" xfId="2" applyNumberFormat="1" applyFont="1" applyAlignment="1">
      <alignment horizontal="center"/>
    </xf>
    <xf numFmtId="37" fontId="46" fillId="0" borderId="0" xfId="2" quotePrefix="1" applyNumberFormat="1" applyFont="1" applyAlignment="1">
      <alignment horizontal="center"/>
    </xf>
    <xf numFmtId="3" fontId="44" fillId="0" borderId="0" xfId="2" applyNumberFormat="1" applyFont="1" applyAlignment="1"/>
    <xf numFmtId="37" fontId="44" fillId="0" borderId="0" xfId="2" applyNumberFormat="1" applyFont="1" applyBorder="1" applyAlignment="1"/>
    <xf numFmtId="37" fontId="44" fillId="0" borderId="20" xfId="2" applyNumberFormat="1" applyFont="1" applyBorder="1" applyAlignment="1"/>
    <xf numFmtId="37" fontId="41" fillId="0" borderId="0" xfId="2" applyNumberFormat="1" applyFont="1" applyBorder="1" applyAlignment="1"/>
    <xf numFmtId="37" fontId="41" fillId="0" borderId="0" xfId="2" applyNumberFormat="1" applyFont="1" applyAlignment="1"/>
    <xf numFmtId="37" fontId="41" fillId="0" borderId="0" xfId="2" applyNumberFormat="1" applyFont="1" applyAlignment="1">
      <alignment horizontal="right"/>
    </xf>
    <xf numFmtId="5" fontId="41" fillId="0" borderId="0" xfId="2" applyNumberFormat="1" applyFont="1" applyAlignment="1"/>
    <xf numFmtId="0" fontId="41" fillId="0" borderId="0" xfId="2" applyNumberFormat="1" applyFont="1" applyAlignment="1">
      <alignment horizontal="left"/>
    </xf>
    <xf numFmtId="174" fontId="41" fillId="0" borderId="0" xfId="2" applyNumberFormat="1" applyFont="1" applyAlignment="1">
      <alignment horizontal="right"/>
    </xf>
    <xf numFmtId="37" fontId="41" fillId="0" borderId="0" xfId="2" quotePrefix="1" applyNumberFormat="1" applyFont="1" applyAlignment="1">
      <alignment horizontal="center"/>
    </xf>
    <xf numFmtId="166" fontId="41" fillId="0" borderId="0" xfId="2" applyNumberFormat="1" applyFont="1" applyAlignment="1"/>
    <xf numFmtId="166" fontId="46" fillId="0" borderId="0" xfId="2" applyNumberFormat="1" applyFont="1" applyBorder="1" applyAlignment="1"/>
    <xf numFmtId="166" fontId="0" fillId="0" borderId="0" xfId="2" applyNumberFormat="1" applyFont="1"/>
    <xf numFmtId="166" fontId="41" fillId="0" borderId="20" xfId="2" applyNumberFormat="1" applyFont="1" applyBorder="1" applyAlignment="1"/>
    <xf numFmtId="166" fontId="41" fillId="0" borderId="0" xfId="2" applyNumberFormat="1" applyFont="1" applyAlignment="1">
      <alignment horizontal="right"/>
    </xf>
    <xf numFmtId="170" fontId="41" fillId="0" borderId="0" xfId="2" quotePrefix="1" applyNumberFormat="1" applyFont="1" applyAlignment="1">
      <alignment horizontal="center"/>
    </xf>
    <xf numFmtId="166" fontId="41" fillId="0" borderId="0" xfId="2" quotePrefix="1" applyNumberFormat="1" applyFont="1" applyAlignment="1">
      <alignment horizontal="center"/>
    </xf>
    <xf numFmtId="166" fontId="41" fillId="0" borderId="0" xfId="2" applyNumberFormat="1" applyFont="1" applyBorder="1" applyAlignment="1">
      <alignment horizontal="right"/>
    </xf>
    <xf numFmtId="0" fontId="46" fillId="0" borderId="0" xfId="2" applyNumberFormat="1" applyFont="1" applyAlignment="1">
      <alignment horizontal="left"/>
    </xf>
    <xf numFmtId="37" fontId="46" fillId="0" borderId="0" xfId="2" applyNumberFormat="1" applyFont="1" applyBorder="1" applyAlignment="1">
      <alignment horizontal="right"/>
    </xf>
    <xf numFmtId="37" fontId="46" fillId="0" borderId="0" xfId="2" applyNumberFormat="1" applyFont="1" applyAlignment="1">
      <alignment horizontal="right"/>
    </xf>
    <xf numFmtId="37" fontId="41" fillId="0" borderId="0" xfId="2" applyNumberFormat="1" applyFont="1" applyBorder="1"/>
    <xf numFmtId="37" fontId="41" fillId="0" borderId="0" xfId="2" applyNumberFormat="1" applyFont="1"/>
    <xf numFmtId="166" fontId="41" fillId="0" borderId="0" xfId="2" applyNumberFormat="1" applyFont="1" applyBorder="1"/>
    <xf numFmtId="3" fontId="41" fillId="0" borderId="0" xfId="2" applyNumberFormat="1" applyFont="1" applyAlignment="1"/>
    <xf numFmtId="3" fontId="46" fillId="0" borderId="0" xfId="2" applyNumberFormat="1" applyFont="1" applyAlignment="1">
      <alignment horizontal="right"/>
    </xf>
    <xf numFmtId="174" fontId="46" fillId="0" borderId="0" xfId="2" applyNumberFormat="1" applyFont="1" applyAlignment="1">
      <alignment horizontal="right"/>
    </xf>
    <xf numFmtId="169" fontId="46" fillId="0" borderId="0" xfId="2" applyNumberFormat="1" applyFont="1" applyBorder="1" applyAlignment="1"/>
    <xf numFmtId="166" fontId="65" fillId="0" borderId="0" xfId="2" quotePrefix="1" applyNumberFormat="1" applyFont="1" applyAlignment="1">
      <alignment horizontal="left"/>
    </xf>
    <xf numFmtId="166" fontId="73" fillId="0" borderId="0" xfId="2" quotePrefix="1" applyNumberFormat="1" applyFont="1" applyAlignment="1">
      <alignment horizontal="left"/>
    </xf>
    <xf numFmtId="0" fontId="74" fillId="0" borderId="0" xfId="2" applyNumberFormat="1" applyFont="1" applyAlignment="1"/>
    <xf numFmtId="37" fontId="67" fillId="0" borderId="0" xfId="2" applyNumberFormat="1" applyFont="1" applyBorder="1"/>
    <xf numFmtId="37" fontId="67" fillId="0" borderId="0" xfId="2" applyNumberFormat="1" applyFont="1"/>
    <xf numFmtId="0" fontId="75" fillId="0" borderId="0" xfId="2" applyNumberFormat="1" applyFont="1" applyFill="1" applyAlignment="1"/>
    <xf numFmtId="37" fontId="67" fillId="0" borderId="0" xfId="2" applyNumberFormat="1" applyFont="1" applyFill="1" applyBorder="1"/>
    <xf numFmtId="37" fontId="67" fillId="0" borderId="0" xfId="2" applyNumberFormat="1" applyFont="1" applyAlignment="1"/>
    <xf numFmtId="0" fontId="68" fillId="0" borderId="0" xfId="2" applyNumberFormat="1" applyFont="1" applyFill="1" applyAlignment="1">
      <alignment horizontal="left"/>
    </xf>
    <xf numFmtId="37" fontId="68" fillId="0" borderId="0" xfId="2" applyNumberFormat="1" applyFont="1" applyBorder="1" applyAlignment="1">
      <alignment horizontal="right"/>
    </xf>
    <xf numFmtId="0" fontId="63" fillId="0" borderId="0" xfId="2" applyNumberFormat="1" applyFont="1" applyFill="1" applyAlignment="1"/>
    <xf numFmtId="37" fontId="46" fillId="0" borderId="0" xfId="2" applyNumberFormat="1" applyFont="1" applyBorder="1" applyAlignment="1">
      <alignment horizontal="centerContinuous"/>
    </xf>
    <xf numFmtId="37" fontId="46" fillId="0" borderId="0" xfId="2" applyNumberFormat="1" applyFont="1" applyBorder="1" applyAlignment="1">
      <alignment horizontal="left"/>
    </xf>
    <xf numFmtId="0" fontId="46" fillId="0" borderId="0" xfId="2" applyFont="1" applyFill="1" applyBorder="1" applyAlignment="1">
      <alignment horizontal="center"/>
    </xf>
    <xf numFmtId="0" fontId="76" fillId="0" borderId="0" xfId="2" applyFont="1" applyFill="1" applyBorder="1" applyAlignment="1">
      <alignment horizontal="center"/>
    </xf>
    <xf numFmtId="37" fontId="46" fillId="0" borderId="0" xfId="2" applyNumberFormat="1" applyFont="1" applyFill="1" applyAlignment="1"/>
    <xf numFmtId="37" fontId="46" fillId="0" borderId="0" xfId="2" applyNumberFormat="1" applyFont="1" applyFill="1" applyAlignment="1">
      <alignment horizontal="center"/>
    </xf>
    <xf numFmtId="37" fontId="46" fillId="0" borderId="0" xfId="2" quotePrefix="1" applyNumberFormat="1" applyFont="1" applyBorder="1" applyAlignment="1">
      <alignment horizontal="center"/>
    </xf>
    <xf numFmtId="37" fontId="46" fillId="0" borderId="0" xfId="2" applyNumberFormat="1" applyFont="1" applyBorder="1" applyAlignment="1">
      <alignment horizontal="center"/>
    </xf>
    <xf numFmtId="37" fontId="72" fillId="0" borderId="0" xfId="2" quotePrefix="1" applyNumberFormat="1" applyFont="1" applyBorder="1" applyAlignment="1">
      <alignment horizontal="centerContinuous"/>
    </xf>
    <xf numFmtId="37" fontId="65" fillId="0" borderId="0" xfId="2" applyNumberFormat="1" applyFont="1" applyBorder="1" applyAlignment="1"/>
    <xf numFmtId="0" fontId="51" fillId="0" borderId="0" xfId="2" applyFont="1"/>
    <xf numFmtId="37" fontId="46" fillId="0" borderId="0" xfId="2" applyNumberFormat="1" applyFont="1" applyFill="1" applyBorder="1" applyAlignment="1">
      <alignment horizontal="centerContinuous"/>
    </xf>
    <xf numFmtId="0" fontId="46" fillId="0" borderId="0" xfId="2" applyFont="1" applyBorder="1" applyAlignment="1">
      <alignment horizontal="center"/>
    </xf>
    <xf numFmtId="166" fontId="46" fillId="0" borderId="0" xfId="2" applyNumberFormat="1" applyFont="1" applyAlignment="1"/>
    <xf numFmtId="165" fontId="67" fillId="0" borderId="0" xfId="2" applyNumberFormat="1" applyFont="1" applyAlignment="1"/>
    <xf numFmtId="165" fontId="46" fillId="0" borderId="0" xfId="2" applyNumberFormat="1" applyFont="1" applyAlignment="1"/>
    <xf numFmtId="165" fontId="46" fillId="0" borderId="0" xfId="2" applyNumberFormat="1" applyFont="1" applyBorder="1" applyAlignment="1"/>
    <xf numFmtId="165" fontId="41" fillId="0" borderId="0" xfId="2" applyNumberFormat="1" applyFont="1" applyAlignment="1">
      <alignment horizontal="center"/>
    </xf>
    <xf numFmtId="165" fontId="41" fillId="0" borderId="21" xfId="2" applyNumberFormat="1" applyFont="1" applyBorder="1" applyAlignment="1"/>
    <xf numFmtId="166" fontId="65" fillId="0" borderId="0" xfId="2" applyNumberFormat="1" applyFont="1" applyBorder="1" applyAlignment="1"/>
    <xf numFmtId="166" fontId="65" fillId="0" borderId="0" xfId="2" applyNumberFormat="1" applyFont="1" applyAlignment="1"/>
    <xf numFmtId="170" fontId="46" fillId="0" borderId="20" xfId="2" applyNumberFormat="1" applyFont="1" applyBorder="1" applyAlignment="1"/>
    <xf numFmtId="170" fontId="46" fillId="0" borderId="13" xfId="2" applyNumberFormat="1" applyFont="1" applyBorder="1" applyAlignment="1"/>
    <xf numFmtId="165" fontId="77" fillId="0" borderId="0" xfId="2" applyNumberFormat="1" applyFont="1" applyAlignment="1"/>
    <xf numFmtId="174" fontId="46" fillId="0" borderId="13" xfId="2" applyNumberFormat="1" applyFont="1" applyBorder="1" applyAlignment="1"/>
    <xf numFmtId="174" fontId="46" fillId="0" borderId="0" xfId="2" applyNumberFormat="1" applyFont="1" applyBorder="1" applyAlignment="1"/>
    <xf numFmtId="165" fontId="41" fillId="0" borderId="0" xfId="2" quotePrefix="1" applyNumberFormat="1" applyFont="1" applyAlignment="1">
      <alignment horizontal="left"/>
    </xf>
    <xf numFmtId="166" fontId="78" fillId="0" borderId="0" xfId="2" applyNumberFormat="1" applyFont="1" applyAlignment="1"/>
    <xf numFmtId="166" fontId="79" fillId="0" borderId="0" xfId="2" applyNumberFormat="1" applyFont="1" applyAlignment="1"/>
    <xf numFmtId="166" fontId="80" fillId="0" borderId="0" xfId="2" applyNumberFormat="1" applyFont="1" applyAlignment="1"/>
    <xf numFmtId="166" fontId="79" fillId="0" borderId="0" xfId="2" quotePrefix="1" applyNumberFormat="1" applyFont="1" applyAlignment="1">
      <alignment horizontal="left"/>
    </xf>
    <xf numFmtId="166" fontId="61" fillId="0" borderId="0" xfId="2" applyNumberFormat="1" applyFont="1" applyAlignment="1"/>
    <xf numFmtId="166" fontId="78" fillId="0" borderId="20" xfId="2" applyNumberFormat="1" applyFont="1" applyBorder="1" applyAlignment="1"/>
    <xf numFmtId="166" fontId="81" fillId="0" borderId="0" xfId="2" quotePrefix="1" applyNumberFormat="1" applyFont="1" applyAlignment="1">
      <alignment horizontal="left"/>
    </xf>
    <xf numFmtId="174" fontId="81" fillId="0" borderId="0" xfId="2" applyNumberFormat="1" applyFont="1" applyAlignment="1"/>
    <xf numFmtId="174" fontId="81" fillId="0" borderId="21" xfId="2" applyNumberFormat="1" applyFont="1" applyBorder="1" applyAlignment="1"/>
    <xf numFmtId="166" fontId="81" fillId="0" borderId="0" xfId="2" applyNumberFormat="1" applyFont="1" applyAlignment="1"/>
    <xf numFmtId="166" fontId="78" fillId="0" borderId="0" xfId="2" applyNumberFormat="1" applyFont="1" applyAlignment="1">
      <alignment horizontal="right"/>
    </xf>
    <xf numFmtId="166" fontId="78" fillId="0" borderId="21" xfId="2" applyNumberFormat="1" applyFont="1" applyBorder="1" applyAlignment="1"/>
    <xf numFmtId="170" fontId="78" fillId="0" borderId="0" xfId="2" applyNumberFormat="1" applyFont="1" applyAlignment="1"/>
    <xf numFmtId="170" fontId="78" fillId="0" borderId="21" xfId="2" applyNumberFormat="1" applyFont="1" applyBorder="1" applyAlignment="1"/>
    <xf numFmtId="170" fontId="81" fillId="0" borderId="0" xfId="2" applyNumberFormat="1" applyFont="1" applyAlignment="1"/>
    <xf numFmtId="170" fontId="81" fillId="0" borderId="21" xfId="2" applyNumberFormat="1" applyFont="1" applyBorder="1" applyAlignment="1"/>
    <xf numFmtId="170" fontId="63" fillId="0" borderId="0" xfId="2" applyNumberFormat="1" applyFont="1" applyAlignment="1"/>
    <xf numFmtId="170" fontId="63" fillId="0" borderId="0" xfId="2" quotePrefix="1" applyNumberFormat="1" applyFont="1" applyAlignment="1">
      <alignment horizontal="center"/>
    </xf>
    <xf numFmtId="166" fontId="80" fillId="0" borderId="0" xfId="2" applyNumberFormat="1" applyFont="1" applyBorder="1" applyAlignment="1"/>
    <xf numFmtId="170" fontId="78" fillId="0" borderId="0" xfId="2" applyNumberFormat="1" applyFont="1" applyBorder="1" applyAlignment="1">
      <alignment horizontal="right"/>
    </xf>
    <xf numFmtId="170" fontId="63" fillId="0" borderId="0" xfId="2" applyNumberFormat="1" applyFont="1" applyBorder="1" applyAlignment="1"/>
    <xf numFmtId="170" fontId="78" fillId="0" borderId="0" xfId="2" applyNumberFormat="1" applyFont="1" applyAlignment="1">
      <alignment horizontal="right"/>
    </xf>
    <xf numFmtId="170" fontId="81" fillId="0" borderId="0" xfId="2" applyNumberFormat="1" applyFont="1" applyAlignment="1">
      <alignment horizontal="right"/>
    </xf>
    <xf numFmtId="166" fontId="63" fillId="0" borderId="0" xfId="2" quotePrefix="1" applyNumberFormat="1" applyFont="1" applyAlignment="1">
      <alignment horizontal="left"/>
    </xf>
    <xf numFmtId="165" fontId="63" fillId="0" borderId="0" xfId="2" applyNumberFormat="1" applyFont="1" applyAlignment="1"/>
    <xf numFmtId="165" fontId="44" fillId="0" borderId="0" xfId="2" applyNumberFormat="1" applyFont="1"/>
    <xf numFmtId="165" fontId="44" fillId="0" borderId="0" xfId="2" applyNumberFormat="1" applyFont="1" applyAlignment="1"/>
    <xf numFmtId="165" fontId="68" fillId="0" borderId="0" xfId="2" applyNumberFormat="1" applyFont="1" applyAlignment="1"/>
    <xf numFmtId="0" fontId="68" fillId="0" borderId="0" xfId="2" applyNumberFormat="1" applyFont="1" applyAlignment="1"/>
    <xf numFmtId="164" fontId="68" fillId="0" borderId="0" xfId="2" applyNumberFormat="1" applyFont="1" applyAlignment="1">
      <alignment horizontal="right"/>
    </xf>
    <xf numFmtId="174" fontId="66" fillId="0" borderId="0" xfId="2" applyNumberFormat="1" applyFont="1" applyAlignment="1"/>
    <xf numFmtId="166" fontId="41" fillId="0" borderId="21" xfId="2" applyNumberFormat="1" applyFont="1" applyBorder="1" applyAlignment="1"/>
    <xf numFmtId="166" fontId="46" fillId="0" borderId="13" xfId="2" applyNumberFormat="1" applyFont="1" applyBorder="1" applyAlignment="1"/>
    <xf numFmtId="0" fontId="46" fillId="0" borderId="0" xfId="2" applyNumberFormat="1" applyFont="1" applyBorder="1" applyAlignment="1"/>
    <xf numFmtId="166" fontId="46" fillId="0" borderId="0" xfId="2" applyNumberFormat="1" applyFont="1" applyFill="1" applyAlignment="1"/>
    <xf numFmtId="3" fontId="41" fillId="0" borderId="0" xfId="2" applyNumberFormat="1" applyFont="1" applyAlignment="1">
      <alignment vertical="center"/>
    </xf>
    <xf numFmtId="3" fontId="41" fillId="0" borderId="0" xfId="2" applyNumberFormat="1" applyFont="1" applyAlignment="1">
      <alignment horizontal="left" vertical="center"/>
    </xf>
    <xf numFmtId="170" fontId="46" fillId="0" borderId="45" xfId="2" applyNumberFormat="1" applyFont="1" applyBorder="1" applyAlignment="1"/>
    <xf numFmtId="0" fontId="46" fillId="0" borderId="21" xfId="2" applyNumberFormat="1" applyFont="1" applyBorder="1" applyAlignment="1"/>
    <xf numFmtId="166" fontId="41" fillId="0" borderId="13" xfId="2" applyNumberFormat="1" applyFont="1" applyBorder="1" applyAlignment="1"/>
    <xf numFmtId="0" fontId="46" fillId="0" borderId="0" xfId="2" applyNumberFormat="1" applyFont="1" applyFill="1" applyAlignment="1">
      <alignment horizontal="left"/>
    </xf>
    <xf numFmtId="174" fontId="46" fillId="0" borderId="17" xfId="2" applyNumberFormat="1" applyFont="1" applyFill="1" applyBorder="1" applyAlignment="1"/>
    <xf numFmtId="169" fontId="46" fillId="0" borderId="0" xfId="2" applyNumberFormat="1" applyFont="1" applyFill="1" applyBorder="1" applyAlignment="1"/>
    <xf numFmtId="164" fontId="41" fillId="0" borderId="0" xfId="2" applyNumberFormat="1" applyFont="1" applyAlignment="1"/>
    <xf numFmtId="0" fontId="44" fillId="0" borderId="0" xfId="2" applyNumberFormat="1" applyFont="1" applyAlignment="1"/>
    <xf numFmtId="0" fontId="77" fillId="0" borderId="0" xfId="2" applyNumberFormat="1" applyFont="1" applyAlignment="1"/>
    <xf numFmtId="174" fontId="46" fillId="0" borderId="17" xfId="2" applyNumberFormat="1" applyFont="1" applyBorder="1" applyAlignment="1"/>
    <xf numFmtId="168" fontId="41" fillId="0" borderId="0" xfId="2" applyNumberFormat="1" applyFont="1" applyAlignment="1"/>
    <xf numFmtId="0" fontId="40" fillId="0" borderId="0" xfId="2" applyNumberFormat="1" applyFont="1" applyAlignment="1">
      <alignment horizontal="right"/>
    </xf>
    <xf numFmtId="165" fontId="41" fillId="0" borderId="20" xfId="2" applyNumberFormat="1" applyFont="1" applyBorder="1"/>
    <xf numFmtId="165" fontId="41" fillId="0" borderId="15" xfId="2" applyNumberFormat="1" applyFont="1" applyBorder="1" applyAlignment="1"/>
    <xf numFmtId="174" fontId="46" fillId="0" borderId="47" xfId="2" applyNumberFormat="1" applyFont="1" applyBorder="1" applyAlignment="1"/>
    <xf numFmtId="164" fontId="46" fillId="0" borderId="0" xfId="2" applyNumberFormat="1" applyFont="1" applyAlignment="1"/>
    <xf numFmtId="165" fontId="41" fillId="0" borderId="47" xfId="2" applyNumberFormat="1" applyFont="1" applyBorder="1" applyAlignment="1"/>
    <xf numFmtId="170" fontId="41" fillId="0" borderId="47" xfId="2" applyNumberFormat="1" applyFont="1" applyBorder="1" applyAlignment="1"/>
    <xf numFmtId="170" fontId="41" fillId="0" borderId="0" xfId="2" quotePrefix="1" applyNumberFormat="1" applyFont="1" applyAlignment="1">
      <alignment horizontal="right"/>
    </xf>
    <xf numFmtId="170" fontId="41" fillId="0" borderId="0" xfId="2" quotePrefix="1" applyNumberFormat="1" applyFont="1" applyAlignment="1"/>
    <xf numFmtId="170" fontId="65" fillId="0" borderId="0" xfId="2" applyNumberFormat="1" applyFont="1" applyFill="1" applyAlignment="1"/>
    <xf numFmtId="170" fontId="41" fillId="0" borderId="47" xfId="2" applyNumberFormat="1" applyFont="1" applyBorder="1" applyAlignment="1">
      <alignment horizontal="center"/>
    </xf>
    <xf numFmtId="165" fontId="41" fillId="0" borderId="0" xfId="2" applyNumberFormat="1" applyFont="1" applyAlignment="1">
      <alignment horizontal="left"/>
    </xf>
    <xf numFmtId="170" fontId="41" fillId="0" borderId="10" xfId="2" applyNumberFormat="1" applyFont="1" applyBorder="1" applyAlignment="1">
      <alignment horizontal="right"/>
    </xf>
    <xf numFmtId="170" fontId="46" fillId="0" borderId="47" xfId="2" applyNumberFormat="1" applyFont="1" applyBorder="1" applyAlignment="1"/>
    <xf numFmtId="170" fontId="46" fillId="0" borderId="10" xfId="2" applyNumberFormat="1" applyFont="1" applyBorder="1" applyAlignment="1">
      <alignment horizontal="right"/>
    </xf>
    <xf numFmtId="166" fontId="46" fillId="0" borderId="0" xfId="2" applyNumberFormat="1" applyFont="1" applyBorder="1" applyAlignment="1">
      <alignment horizontal="right"/>
    </xf>
    <xf numFmtId="164" fontId="46" fillId="0" borderId="16" xfId="2" applyNumberFormat="1" applyFont="1" applyBorder="1" applyAlignment="1"/>
    <xf numFmtId="164" fontId="46" fillId="0" borderId="17" xfId="2" applyNumberFormat="1" applyFont="1" applyBorder="1" applyAlignment="1"/>
    <xf numFmtId="168" fontId="41" fillId="0" borderId="0" xfId="2" applyNumberFormat="1" applyFont="1" applyBorder="1" applyAlignment="1"/>
    <xf numFmtId="0" fontId="0" fillId="0" borderId="0" xfId="2" applyFont="1" applyBorder="1" applyAlignment="1"/>
    <xf numFmtId="168" fontId="42" fillId="0" borderId="0" xfId="2" applyNumberFormat="1" applyFont="1" applyAlignment="1"/>
    <xf numFmtId="0" fontId="40" fillId="0" borderId="0" xfId="2" applyNumberFormat="1" applyFont="1" applyAlignment="1">
      <alignment horizontal="left"/>
    </xf>
    <xf numFmtId="165" fontId="41" fillId="0" borderId="18" xfId="2" applyNumberFormat="1" applyFont="1" applyBorder="1" applyAlignment="1"/>
    <xf numFmtId="165" fontId="41" fillId="0" borderId="0" xfId="2" applyNumberFormat="1" applyFont="1" applyAlignment="1">
      <alignment horizontal="right"/>
    </xf>
    <xf numFmtId="166" fontId="41" fillId="0" borderId="47" xfId="2" applyNumberFormat="1" applyFont="1" applyBorder="1" applyAlignment="1">
      <alignment horizontal="center"/>
    </xf>
    <xf numFmtId="170" fontId="46" fillId="0" borderId="40" xfId="2" applyNumberFormat="1" applyFont="1" applyBorder="1" applyAlignment="1"/>
    <xf numFmtId="168" fontId="44" fillId="0" borderId="0" xfId="2" applyNumberFormat="1" applyFont="1" applyAlignment="1"/>
    <xf numFmtId="0" fontId="86" fillId="0" borderId="0" xfId="2" applyNumberFormat="1" applyFont="1" applyAlignment="1"/>
    <xf numFmtId="166" fontId="65" fillId="0" borderId="0" xfId="2" applyNumberFormat="1" applyFont="1" applyFill="1" applyAlignment="1"/>
    <xf numFmtId="164" fontId="41" fillId="0" borderId="0" xfId="2" applyNumberFormat="1" applyFont="1" applyAlignment="1">
      <alignment horizontal="right"/>
    </xf>
    <xf numFmtId="164" fontId="46" fillId="0" borderId="10" xfId="2" applyNumberFormat="1" applyFont="1" applyBorder="1"/>
    <xf numFmtId="0" fontId="44" fillId="0" borderId="0" xfId="4" applyFont="1" applyFill="1"/>
    <xf numFmtId="0" fontId="68" fillId="0" borderId="0" xfId="4" applyFont="1" applyFill="1"/>
    <xf numFmtId="0" fontId="41" fillId="0" borderId="0" xfId="4" applyFont="1" applyFill="1"/>
    <xf numFmtId="166" fontId="41" fillId="0" borderId="0" xfId="4" applyNumberFormat="1" applyFont="1" applyFill="1"/>
    <xf numFmtId="0" fontId="41" fillId="0" borderId="0" xfId="4" applyNumberFormat="1" applyFont="1" applyFill="1" applyBorder="1" applyAlignment="1">
      <alignment horizontal="center"/>
    </xf>
    <xf numFmtId="0" fontId="41" fillId="0" borderId="0" xfId="4" applyFont="1" applyFill="1" applyBorder="1"/>
    <xf numFmtId="174" fontId="46" fillId="0" borderId="0" xfId="4" applyNumberFormat="1" applyFont="1" applyFill="1"/>
    <xf numFmtId="0" fontId="46" fillId="0" borderId="0" xfId="4" applyFont="1" applyFill="1" applyBorder="1"/>
    <xf numFmtId="166" fontId="41" fillId="0" borderId="15" xfId="4" applyNumberFormat="1" applyFont="1" applyFill="1" applyBorder="1"/>
    <xf numFmtId="166" fontId="41" fillId="0" borderId="0" xfId="4" applyNumberFormat="1" applyFont="1" applyFill="1" applyBorder="1"/>
    <xf numFmtId="0" fontId="46" fillId="0" borderId="0" xfId="4" applyFont="1" applyFill="1"/>
    <xf numFmtId="170" fontId="41" fillId="0" borderId="0" xfId="4" applyNumberFormat="1" applyFont="1" applyFill="1" applyBorder="1"/>
    <xf numFmtId="170" fontId="46" fillId="0" borderId="10" xfId="4" applyNumberFormat="1" applyFont="1" applyFill="1" applyBorder="1"/>
    <xf numFmtId="170" fontId="46" fillId="0" borderId="10" xfId="5" applyNumberFormat="1" applyFont="1" applyFill="1" applyBorder="1"/>
    <xf numFmtId="165" fontId="89" fillId="0" borderId="0" xfId="2" applyNumberFormat="1" applyFont="1" applyAlignment="1">
      <alignment horizontal="left"/>
    </xf>
    <xf numFmtId="165" fontId="90" fillId="0" borderId="0" xfId="2" applyNumberFormat="1" applyFont="1" applyAlignment="1"/>
    <xf numFmtId="165" fontId="91" fillId="0" borderId="0" xfId="2" applyNumberFormat="1" applyFont="1" applyAlignment="1"/>
    <xf numFmtId="165" fontId="92" fillId="0" borderId="0" xfId="2" applyNumberFormat="1" applyFont="1" applyAlignment="1">
      <alignment horizontal="centerContinuous"/>
    </xf>
    <xf numFmtId="165" fontId="89" fillId="0" borderId="0" xfId="2" applyNumberFormat="1" applyFont="1" applyAlignment="1"/>
    <xf numFmtId="0" fontId="82" fillId="0" borderId="0" xfId="2" applyNumberFormat="1" applyFont="1" applyAlignment="1"/>
    <xf numFmtId="0" fontId="68" fillId="0" borderId="0" xfId="2" applyNumberFormat="1" applyFont="1" applyAlignment="1">
      <alignment horizontal="left"/>
    </xf>
    <xf numFmtId="165" fontId="89" fillId="0" borderId="0" xfId="2" applyNumberFormat="1" applyFont="1" applyAlignment="1">
      <alignment horizontal="centerContinuous"/>
    </xf>
    <xf numFmtId="0" fontId="93" fillId="0" borderId="0" xfId="2" applyNumberFormat="1" applyFont="1" applyAlignment="1">
      <alignment horizontal="left"/>
    </xf>
    <xf numFmtId="165" fontId="94" fillId="0" borderId="0" xfId="2" applyNumberFormat="1" applyFont="1" applyAlignment="1"/>
    <xf numFmtId="166" fontId="46" fillId="0" borderId="15" xfId="2" applyNumberFormat="1" applyFont="1" applyBorder="1" applyAlignment="1"/>
    <xf numFmtId="0" fontId="0" fillId="0" borderId="0" xfId="2" applyFont="1" applyBorder="1"/>
    <xf numFmtId="174" fontId="46" fillId="0" borderId="0" xfId="2" quotePrefix="1" applyNumberFormat="1" applyFont="1" applyAlignment="1"/>
    <xf numFmtId="174" fontId="46" fillId="0" borderId="15" xfId="2" applyNumberFormat="1" applyFont="1" applyBorder="1" applyAlignment="1"/>
    <xf numFmtId="174" fontId="46" fillId="0" borderId="0" xfId="2" applyNumberFormat="1" applyFont="1" applyBorder="1"/>
    <xf numFmtId="164" fontId="46" fillId="0" borderId="0" xfId="2" applyNumberFormat="1" applyFont="1" applyBorder="1"/>
    <xf numFmtId="0" fontId="46"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6" fillId="0" borderId="15" xfId="2" applyNumberFormat="1" applyFont="1" applyBorder="1" applyAlignment="1">
      <alignment horizontal="right"/>
    </xf>
    <xf numFmtId="166" fontId="0" fillId="0" borderId="0" xfId="2" applyNumberFormat="1" applyFont="1" applyBorder="1"/>
    <xf numFmtId="170" fontId="46" fillId="0" borderId="15" xfId="2" applyNumberFormat="1" applyFont="1" applyBorder="1" applyAlignment="1"/>
    <xf numFmtId="170" fontId="0" fillId="0" borderId="10" xfId="2" applyNumberFormat="1" applyFont="1" applyBorder="1"/>
    <xf numFmtId="166" fontId="46" fillId="0" borderId="0" xfId="2" applyNumberFormat="1" applyFont="1"/>
    <xf numFmtId="172" fontId="0" fillId="0" borderId="0" xfId="2" applyNumberFormat="1" applyFont="1" applyBorder="1"/>
    <xf numFmtId="170" fontId="41" fillId="0" borderId="0" xfId="2" applyNumberFormat="1" applyFont="1" applyBorder="1"/>
    <xf numFmtId="0" fontId="46" fillId="0" borderId="0" xfId="2" applyFont="1" applyBorder="1"/>
    <xf numFmtId="170" fontId="46" fillId="0" borderId="15" xfId="2" applyNumberFormat="1" applyFont="1" applyBorder="1" applyAlignment="1">
      <alignment horizontal="center"/>
    </xf>
    <xf numFmtId="170" fontId="41" fillId="0" borderId="0" xfId="2" applyNumberFormat="1" applyFont="1" applyAlignment="1">
      <alignment horizontal="right" vertical="center"/>
    </xf>
    <xf numFmtId="170" fontId="41" fillId="0" borderId="21" xfId="2" applyNumberFormat="1" applyFont="1" applyBorder="1" applyAlignment="1">
      <alignment horizontal="right" vertical="center"/>
    </xf>
    <xf numFmtId="170" fontId="46" fillId="0" borderId="15" xfId="2" applyNumberFormat="1" applyFont="1" applyBorder="1"/>
    <xf numFmtId="170" fontId="46" fillId="0" borderId="0" xfId="2" applyNumberFormat="1" applyFont="1" applyBorder="1"/>
    <xf numFmtId="170" fontId="46" fillId="0" borderId="10" xfId="1" applyNumberFormat="1" applyFont="1" applyBorder="1" applyAlignment="1"/>
    <xf numFmtId="172" fontId="46" fillId="0" borderId="10" xfId="2" applyNumberFormat="1" applyFont="1" applyBorder="1"/>
    <xf numFmtId="7" fontId="46" fillId="0" borderId="0" xfId="2" applyNumberFormat="1" applyFont="1"/>
    <xf numFmtId="169" fontId="41" fillId="0" borderId="21" xfId="2" applyNumberFormat="1" applyFont="1" applyBorder="1" applyAlignment="1"/>
    <xf numFmtId="166" fontId="84" fillId="0" borderId="0" xfId="2" applyNumberFormat="1" applyFont="1" applyAlignment="1">
      <alignment horizontal="left"/>
    </xf>
    <xf numFmtId="0" fontId="84" fillId="0" borderId="0" xfId="2" applyFont="1" applyAlignment="1"/>
    <xf numFmtId="0" fontId="84" fillId="0" borderId="0" xfId="2" applyFont="1"/>
    <xf numFmtId="166" fontId="84" fillId="0" borderId="0" xfId="2" quotePrefix="1" applyNumberFormat="1" applyFont="1" applyAlignment="1">
      <alignment horizontal="left"/>
    </xf>
    <xf numFmtId="170" fontId="0" fillId="0" borderId="0" xfId="2" applyNumberFormat="1" applyFont="1"/>
    <xf numFmtId="166" fontId="41" fillId="0" borderId="0" xfId="2" quotePrefix="1" applyNumberFormat="1" applyFont="1" applyAlignment="1">
      <alignment horizontal="left"/>
    </xf>
    <xf numFmtId="170" fontId="41" fillId="0" borderId="0" xfId="2" quotePrefix="1" applyNumberFormat="1" applyFont="1" applyFill="1" applyAlignment="1">
      <alignment horizontal="center"/>
    </xf>
    <xf numFmtId="170" fontId="0" fillId="0" borderId="0" xfId="2" applyNumberFormat="1" applyFont="1" applyFill="1" applyBorder="1"/>
    <xf numFmtId="174" fontId="81" fillId="0" borderId="0" xfId="2" applyNumberFormat="1" applyFont="1" applyAlignment="1">
      <alignment horizontal="right"/>
    </xf>
    <xf numFmtId="166" fontId="77" fillId="0" borderId="0" xfId="2" applyNumberFormat="1" applyFont="1" applyAlignment="1"/>
    <xf numFmtId="170" fontId="61" fillId="0" borderId="0" xfId="2" applyNumberFormat="1" applyFont="1" applyAlignment="1">
      <alignment horizontal="right"/>
    </xf>
    <xf numFmtId="170" fontId="78" fillId="0" borderId="20" xfId="2" applyNumberFormat="1" applyFont="1" applyBorder="1" applyAlignment="1"/>
    <xf numFmtId="170" fontId="78" fillId="0" borderId="20" xfId="2" applyNumberFormat="1" applyFont="1" applyBorder="1" applyAlignment="1">
      <alignment horizontal="right"/>
    </xf>
    <xf numFmtId="170" fontId="81" fillId="0" borderId="0" xfId="2" applyNumberFormat="1" applyFont="1" applyBorder="1" applyAlignment="1">
      <alignment horizontal="right"/>
    </xf>
    <xf numFmtId="170" fontId="81" fillId="0" borderId="0" xfId="2" applyNumberFormat="1" applyFont="1" applyAlignment="1">
      <alignment horizontal="center"/>
    </xf>
    <xf numFmtId="170" fontId="67" fillId="0" borderId="0" xfId="2" applyNumberFormat="1" applyFont="1" applyAlignment="1">
      <alignment horizontal="right"/>
    </xf>
    <xf numFmtId="166" fontId="81" fillId="0" borderId="20" xfId="2" applyNumberFormat="1" applyFont="1" applyBorder="1" applyAlignment="1"/>
    <xf numFmtId="166" fontId="81" fillId="0" borderId="20" xfId="2" applyNumberFormat="1" applyFont="1" applyBorder="1" applyAlignment="1">
      <alignment horizontal="right"/>
    </xf>
    <xf numFmtId="166" fontId="81" fillId="0" borderId="0" xfId="2" applyNumberFormat="1" applyFont="1" applyAlignment="1">
      <alignment horizontal="right"/>
    </xf>
    <xf numFmtId="166" fontId="77" fillId="0" borderId="0" xfId="2" applyNumberFormat="1" applyFont="1" applyAlignment="1">
      <alignment horizontal="right"/>
    </xf>
    <xf numFmtId="166" fontId="81" fillId="0" borderId="21" xfId="2" applyNumberFormat="1" applyFont="1" applyBorder="1" applyAlignment="1"/>
    <xf numFmtId="174" fontId="81" fillId="0" borderId="0" xfId="2" applyNumberFormat="1" applyFont="1" applyBorder="1" applyAlignment="1">
      <alignment horizontal="right"/>
    </xf>
    <xf numFmtId="166" fontId="80" fillId="0" borderId="36" xfId="2" applyNumberFormat="1" applyFont="1" applyBorder="1" applyAlignment="1"/>
    <xf numFmtId="165" fontId="80" fillId="0" borderId="0" xfId="2" applyNumberFormat="1" applyFont="1" applyAlignment="1"/>
    <xf numFmtId="165" fontId="95" fillId="0" borderId="0" xfId="2" applyNumberFormat="1" applyFont="1" applyAlignment="1"/>
    <xf numFmtId="165" fontId="63" fillId="0" borderId="20" xfId="2" applyNumberFormat="1" applyFont="1" applyBorder="1" applyAlignment="1"/>
    <xf numFmtId="174" fontId="68" fillId="0" borderId="0" xfId="2" applyNumberFormat="1" applyFont="1" applyAlignment="1"/>
    <xf numFmtId="174" fontId="68" fillId="0" borderId="0" xfId="2" applyNumberFormat="1" applyFont="1" applyBorder="1" applyAlignment="1"/>
    <xf numFmtId="0" fontId="63" fillId="0" borderId="0" xfId="2" applyFont="1" applyAlignment="1"/>
    <xf numFmtId="0" fontId="63" fillId="0" borderId="0" xfId="2" applyFont="1" applyBorder="1" applyAlignment="1"/>
    <xf numFmtId="170" fontId="63" fillId="0" borderId="20" xfId="2" applyNumberFormat="1" applyFont="1" applyBorder="1" applyAlignment="1"/>
    <xf numFmtId="170" fontId="68" fillId="0" borderId="0" xfId="2" applyNumberFormat="1" applyFont="1" applyAlignment="1"/>
    <xf numFmtId="170" fontId="68" fillId="0" borderId="0" xfId="2" applyNumberFormat="1" applyFont="1" applyBorder="1" applyAlignment="1"/>
    <xf numFmtId="170" fontId="68" fillId="0" borderId="0" xfId="2" applyNumberFormat="1" applyFont="1" applyAlignment="1">
      <alignment horizontal="right"/>
    </xf>
    <xf numFmtId="0" fontId="63" fillId="0" borderId="20" xfId="2" applyFont="1" applyBorder="1" applyAlignment="1"/>
    <xf numFmtId="174" fontId="68" fillId="0" borderId="17" xfId="2" applyNumberFormat="1" applyFont="1" applyBorder="1" applyAlignment="1"/>
    <xf numFmtId="0" fontId="63" fillId="0" borderId="36" xfId="2" applyFont="1" applyBorder="1" applyAlignment="1"/>
    <xf numFmtId="165" fontId="63" fillId="0" borderId="0" xfId="2" quotePrefix="1" applyNumberFormat="1" applyFont="1" applyAlignment="1"/>
    <xf numFmtId="0" fontId="96" fillId="0" borderId="0" xfId="2" applyNumberFormat="1" applyFont="1" applyAlignment="1"/>
    <xf numFmtId="0" fontId="68" fillId="0" borderId="0" xfId="2" applyNumberFormat="1" applyFont="1" applyAlignment="1">
      <alignment horizontal="right"/>
    </xf>
    <xf numFmtId="0" fontId="97" fillId="0" borderId="0" xfId="2" applyNumberFormat="1" applyFont="1" applyAlignment="1"/>
    <xf numFmtId="170" fontId="46" fillId="0" borderId="0" xfId="2" applyNumberFormat="1" applyFont="1" applyBorder="1" applyAlignment="1">
      <alignment horizontal="right"/>
    </xf>
    <xf numFmtId="0" fontId="98" fillId="0" borderId="0" xfId="2" applyNumberFormat="1" applyFont="1" applyAlignment="1"/>
    <xf numFmtId="0" fontId="97" fillId="0" borderId="0" xfId="2" applyNumberFormat="1" applyFont="1" applyAlignment="1">
      <alignment horizontal="left"/>
    </xf>
    <xf numFmtId="0" fontId="97" fillId="0" borderId="0" xfId="2" applyNumberFormat="1" applyFont="1" applyBorder="1" applyAlignment="1"/>
    <xf numFmtId="0" fontId="96" fillId="0" borderId="0" xfId="2" applyNumberFormat="1" applyFont="1" applyBorder="1" applyAlignment="1"/>
    <xf numFmtId="0" fontId="0" fillId="0" borderId="0" xfId="17" applyNumberFormat="1" applyFont="1"/>
    <xf numFmtId="0" fontId="46" fillId="0" borderId="0" xfId="17" applyNumberFormat="1" applyFont="1" applyAlignment="1" applyProtection="1">
      <alignment horizontal="center"/>
      <protection locked="0"/>
    </xf>
    <xf numFmtId="0" fontId="46" fillId="0" borderId="0" xfId="17" applyNumberFormat="1" applyFont="1" applyAlignment="1">
      <alignment horizontal="center"/>
    </xf>
    <xf numFmtId="49" fontId="46" fillId="0" borderId="0" xfId="17" applyNumberFormat="1" applyFont="1" applyAlignment="1">
      <alignment horizontal="center"/>
    </xf>
    <xf numFmtId="0" fontId="72" fillId="0" borderId="0" xfId="17" applyNumberFormat="1" applyFont="1" applyAlignment="1"/>
    <xf numFmtId="174" fontId="46" fillId="0" borderId="0" xfId="17" applyNumberFormat="1" applyFont="1" applyBorder="1" applyAlignment="1"/>
    <xf numFmtId="0" fontId="0" fillId="0" borderId="0" xfId="17" applyNumberFormat="1" applyFont="1" applyFill="1"/>
    <xf numFmtId="190" fontId="110" fillId="0" borderId="0" xfId="11" applyNumberFormat="1" applyFont="1" applyAlignment="1">
      <alignment horizontal="right"/>
    </xf>
    <xf numFmtId="190" fontId="67" fillId="0" borderId="0" xfId="11" applyNumberFormat="1" applyFont="1" applyAlignment="1"/>
    <xf numFmtId="43" fontId="77" fillId="0" borderId="0" xfId="11" applyFont="1" applyAlignment="1"/>
    <xf numFmtId="190" fontId="44" fillId="0" borderId="0" xfId="11" applyNumberFormat="1" applyFont="1" applyAlignment="1"/>
    <xf numFmtId="0" fontId="40" fillId="0" borderId="0" xfId="739" quotePrefix="1" applyNumberFormat="1" applyFont="1" applyAlignment="1">
      <alignment horizontal="left"/>
    </xf>
    <xf numFmtId="0" fontId="46" fillId="0" borderId="0" xfId="739" applyNumberFormat="1" applyFont="1" applyAlignment="1"/>
    <xf numFmtId="0" fontId="97" fillId="0" borderId="0" xfId="739" applyNumberFormat="1" applyFont="1" applyAlignment="1"/>
    <xf numFmtId="0" fontId="96" fillId="0" borderId="0" xfId="739" applyNumberFormat="1" applyFont="1" applyAlignment="1"/>
    <xf numFmtId="0" fontId="97" fillId="0" borderId="0" xfId="739" applyNumberFormat="1" applyFont="1" applyBorder="1" applyAlignment="1"/>
    <xf numFmtId="37" fontId="96" fillId="0" borderId="0" xfId="739" applyNumberFormat="1" applyFont="1" applyBorder="1" applyAlignment="1"/>
    <xf numFmtId="0" fontId="98" fillId="0" borderId="0" xfId="739" applyNumberFormat="1" applyFont="1" applyAlignment="1"/>
    <xf numFmtId="37" fontId="96" fillId="0" borderId="0" xfId="739" applyNumberFormat="1" applyFont="1" applyAlignment="1"/>
    <xf numFmtId="37" fontId="97"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6" fontId="66" fillId="0" borderId="0" xfId="2" applyNumberFormat="1" applyFont="1" applyAlignment="1"/>
    <xf numFmtId="177" fontId="46" fillId="0" borderId="0" xfId="740" quotePrefix="1" applyNumberFormat="1" applyFont="1" applyFill="1" applyAlignment="1">
      <alignment horizontal="left"/>
    </xf>
    <xf numFmtId="177" fontId="46" fillId="0" borderId="16" xfId="740" applyNumberFormat="1" applyFont="1" applyFill="1" applyBorder="1" applyAlignment="1">
      <alignment horizontal="right"/>
    </xf>
    <xf numFmtId="177" fontId="46" fillId="0" borderId="0" xfId="740" applyNumberFormat="1" applyFont="1" applyFill="1" applyAlignment="1">
      <alignment horizontal="center"/>
    </xf>
    <xf numFmtId="177" fontId="72" fillId="0" borderId="0" xfId="740" applyNumberFormat="1" applyFont="1" applyFill="1" applyAlignment="1"/>
    <xf numFmtId="177" fontId="101" fillId="0" borderId="0" xfId="740" applyNumberFormat="1" applyFont="1" applyFill="1" applyAlignment="1"/>
    <xf numFmtId="165" fontId="101" fillId="0" borderId="0" xfId="740" applyNumberFormat="1" applyFont="1" applyFill="1" applyAlignment="1"/>
    <xf numFmtId="177" fontId="46" fillId="0" borderId="0" xfId="740" applyNumberFormat="1" applyFont="1" applyFill="1" applyAlignment="1"/>
    <xf numFmtId="177" fontId="46" fillId="0" borderId="16" xfId="740" applyNumberFormat="1" applyFont="1" applyFill="1" applyBorder="1" applyAlignment="1"/>
    <xf numFmtId="177" fontId="46" fillId="0" borderId="0" xfId="740" applyNumberFormat="1" applyFont="1" applyFill="1" applyBorder="1" applyAlignment="1"/>
    <xf numFmtId="177" fontId="46" fillId="0" borderId="0" xfId="740" applyNumberFormat="1" applyFont="1" applyFill="1" applyAlignment="1">
      <alignment horizontal="right"/>
    </xf>
    <xf numFmtId="180" fontId="46" fillId="0" borderId="17" xfId="740" applyNumberFormat="1" applyFont="1" applyFill="1" applyBorder="1" applyAlignment="1"/>
    <xf numFmtId="181" fontId="46" fillId="0" borderId="0" xfId="740" applyNumberFormat="1" applyFont="1" applyFill="1" applyAlignment="1">
      <alignment horizontal="right"/>
    </xf>
    <xf numFmtId="183" fontId="46" fillId="0" borderId="0" xfId="740" applyNumberFormat="1" applyFont="1" applyFill="1" applyBorder="1" applyAlignment="1"/>
    <xf numFmtId="0" fontId="63" fillId="0" borderId="0" xfId="836" applyNumberFormat="1" applyFont="1" applyFill="1" applyAlignment="1"/>
    <xf numFmtId="0" fontId="63" fillId="0" borderId="0" xfId="836" applyNumberFormat="1" applyFont="1" applyFill="1" applyAlignment="1">
      <alignment horizontal="right"/>
    </xf>
    <xf numFmtId="0" fontId="63" fillId="0" borderId="0" xfId="836" applyFont="1" applyFill="1"/>
    <xf numFmtId="177" fontId="63" fillId="0" borderId="0" xfId="836" applyNumberFormat="1" applyFont="1" applyFill="1" applyAlignment="1"/>
    <xf numFmtId="177" fontId="63" fillId="0" borderId="0" xfId="836" applyNumberFormat="1" applyFont="1" applyFill="1" applyBorder="1" applyAlignment="1"/>
    <xf numFmtId="173" fontId="67" fillId="0" borderId="0" xfId="836" applyNumberFormat="1" applyFont="1" applyFill="1" applyAlignment="1"/>
    <xf numFmtId="0" fontId="68" fillId="0" borderId="0" xfId="836" applyNumberFormat="1" applyFont="1" applyFill="1" applyAlignment="1"/>
    <xf numFmtId="0" fontId="46" fillId="0" borderId="0" xfId="836" applyNumberFormat="1" applyFont="1" applyFill="1" applyAlignment="1"/>
    <xf numFmtId="173" fontId="41" fillId="0" borderId="0" xfId="836" applyNumberFormat="1" applyFont="1" applyFill="1" applyAlignment="1"/>
    <xf numFmtId="0" fontId="68" fillId="0" borderId="0" xfId="836" applyNumberFormat="1" applyFont="1" applyFill="1" applyAlignment="1">
      <alignment horizontal="right"/>
    </xf>
    <xf numFmtId="173" fontId="63" fillId="0" borderId="0" xfId="836" applyNumberFormat="1" applyFont="1" applyFill="1" applyAlignment="1"/>
    <xf numFmtId="0" fontId="46" fillId="0" borderId="0" xfId="836" applyNumberFormat="1" applyFont="1" applyFill="1" applyAlignment="1">
      <alignment horizontal="right"/>
    </xf>
    <xf numFmtId="0" fontId="68" fillId="0" borderId="0" xfId="836" quotePrefix="1" applyNumberFormat="1" applyFont="1" applyFill="1" applyAlignment="1">
      <alignment horizontal="left"/>
    </xf>
    <xf numFmtId="0" fontId="104" fillId="0" borderId="0" xfId="836" applyNumberFormat="1" applyFont="1" applyFill="1" applyAlignment="1"/>
    <xf numFmtId="181" fontId="41" fillId="0" borderId="0" xfId="836" applyNumberFormat="1" applyFont="1" applyFill="1" applyBorder="1" applyAlignment="1"/>
    <xf numFmtId="173" fontId="63" fillId="0" borderId="0" xfId="836" applyNumberFormat="1" applyFont="1" applyFill="1" applyBorder="1" applyAlignment="1"/>
    <xf numFmtId="181" fontId="41" fillId="0" borderId="0" xfId="836" applyNumberFormat="1" applyFont="1" applyFill="1" applyAlignment="1"/>
    <xf numFmtId="181" fontId="46" fillId="0" borderId="0" xfId="836" applyNumberFormat="1" applyFont="1" applyFill="1" applyAlignment="1"/>
    <xf numFmtId="0" fontId="104" fillId="0" borderId="0" xfId="836" applyNumberFormat="1" applyFont="1" applyFill="1" applyBorder="1" applyAlignment="1"/>
    <xf numFmtId="173" fontId="46" fillId="0" borderId="0" xfId="836" applyNumberFormat="1" applyFont="1" applyFill="1" applyAlignment="1"/>
    <xf numFmtId="173" fontId="68" fillId="0" borderId="0" xfId="836" applyNumberFormat="1" applyFont="1" applyFill="1" applyAlignment="1"/>
    <xf numFmtId="181" fontId="41" fillId="0" borderId="0" xfId="836" quotePrefix="1" applyNumberFormat="1" applyFont="1" applyFill="1" applyAlignment="1">
      <alignment horizontal="left"/>
    </xf>
    <xf numFmtId="173" fontId="68" fillId="0" borderId="0" xfId="836" applyNumberFormat="1" applyFont="1" applyFill="1" applyAlignment="1">
      <alignment horizontal="centerContinuous"/>
    </xf>
    <xf numFmtId="173" fontId="68" fillId="0" borderId="0" xfId="836" applyNumberFormat="1" applyFont="1" applyFill="1" applyAlignment="1">
      <alignment horizontal="center"/>
    </xf>
    <xf numFmtId="0" fontId="104" fillId="0" borderId="0" xfId="836" applyNumberFormat="1" applyFont="1" applyFill="1" applyAlignment="1">
      <alignment horizontal="center"/>
    </xf>
    <xf numFmtId="0" fontId="68" fillId="0" borderId="0" xfId="836" applyNumberFormat="1" applyFont="1" applyFill="1" applyBorder="1" applyAlignment="1">
      <alignment horizontal="center"/>
    </xf>
    <xf numFmtId="173" fontId="63" fillId="0" borderId="0" xfId="836" applyNumberFormat="1" applyFont="1" applyFill="1" applyAlignment="1">
      <alignment horizontal="right"/>
    </xf>
    <xf numFmtId="176" fontId="63" fillId="0" borderId="0" xfId="836" applyNumberFormat="1" applyFont="1" applyFill="1" applyAlignment="1"/>
    <xf numFmtId="173" fontId="63" fillId="0" borderId="0" xfId="836" applyNumberFormat="1" applyFont="1" applyFill="1" applyAlignment="1" applyProtection="1">
      <protection locked="0"/>
    </xf>
    <xf numFmtId="176" fontId="63" fillId="0" borderId="0" xfId="836" applyNumberFormat="1" applyFont="1" applyFill="1" applyAlignment="1" applyProtection="1">
      <protection locked="0"/>
    </xf>
    <xf numFmtId="173" fontId="63" fillId="0" borderId="0" xfId="836" applyNumberFormat="1" applyFont="1" applyFill="1" applyAlignment="1">
      <alignment horizontal="center"/>
    </xf>
    <xf numFmtId="176" fontId="63" fillId="0" borderId="0" xfId="836" applyNumberFormat="1" applyFont="1" applyFill="1" applyAlignment="1" applyProtection="1">
      <alignment horizontal="right"/>
      <protection locked="0"/>
    </xf>
    <xf numFmtId="176" fontId="63" fillId="0" borderId="0" xfId="836" applyNumberFormat="1" applyFont="1" applyFill="1" applyAlignment="1">
      <alignment horizontal="center"/>
    </xf>
    <xf numFmtId="0" fontId="64" fillId="0" borderId="0" xfId="836" applyNumberFormat="1" applyFont="1" applyFill="1" applyAlignment="1"/>
    <xf numFmtId="165" fontId="44" fillId="0" borderId="0" xfId="840" applyNumberFormat="1" applyFont="1" applyAlignment="1"/>
    <xf numFmtId="165" fontId="110" fillId="0" borderId="0" xfId="840" applyNumberFormat="1" applyFont="1" applyAlignment="1">
      <alignment horizontal="right"/>
    </xf>
    <xf numFmtId="39" fontId="44" fillId="0" borderId="0" xfId="840" applyNumberFormat="1" applyFont="1" applyAlignment="1"/>
    <xf numFmtId="40" fontId="44" fillId="0" borderId="0" xfId="840" applyNumberFormat="1" applyFont="1" applyAlignment="1"/>
    <xf numFmtId="165" fontId="67" fillId="0" borderId="0" xfId="840" applyNumberFormat="1" applyFont="1" applyAlignment="1"/>
    <xf numFmtId="5" fontId="46" fillId="0" borderId="0" xfId="840" applyNumberFormat="1" applyFont="1" applyAlignment="1"/>
    <xf numFmtId="40" fontId="46" fillId="0" borderId="0" xfId="840" applyNumberFormat="1" applyFont="1" applyAlignment="1"/>
    <xf numFmtId="165" fontId="77" fillId="0" borderId="0" xfId="840" applyNumberFormat="1" applyFont="1" applyAlignment="1">
      <alignment horizontal="right"/>
    </xf>
    <xf numFmtId="0" fontId="69" fillId="0" borderId="0" xfId="840" quotePrefix="1" applyNumberFormat="1" applyFont="1" applyAlignment="1">
      <alignment horizontal="left"/>
    </xf>
    <xf numFmtId="0" fontId="68" fillId="0" borderId="0" xfId="840" applyNumberFormat="1" applyFont="1" applyAlignment="1"/>
    <xf numFmtId="40" fontId="111" fillId="0" borderId="0" xfId="840" applyNumberFormat="1" applyFont="1" applyAlignment="1">
      <alignment horizontal="center"/>
    </xf>
    <xf numFmtId="40" fontId="46" fillId="0" borderId="0" xfId="840" quotePrefix="1" applyNumberFormat="1" applyFont="1" applyBorder="1" applyAlignment="1">
      <alignment horizontal="left"/>
    </xf>
    <xf numFmtId="40" fontId="46" fillId="0" borderId="0" xfId="840" applyNumberFormat="1" applyFont="1" applyBorder="1" applyAlignment="1">
      <alignment horizontal="left"/>
    </xf>
    <xf numFmtId="39" fontId="46" fillId="0" borderId="0" xfId="840" quotePrefix="1" applyNumberFormat="1" applyFont="1" applyAlignment="1">
      <alignment horizontal="center"/>
    </xf>
    <xf numFmtId="40" fontId="46" fillId="0" borderId="0" xfId="840" applyNumberFormat="1" applyFont="1" applyAlignment="1">
      <alignment horizontal="center"/>
    </xf>
    <xf numFmtId="40" fontId="46" fillId="0" borderId="0" xfId="840" applyNumberFormat="1" applyFont="1" applyBorder="1" applyAlignment="1">
      <alignment horizontal="center"/>
    </xf>
    <xf numFmtId="39" fontId="46" fillId="0" borderId="0" xfId="840" applyNumberFormat="1" applyFont="1" applyAlignment="1">
      <alignment horizontal="center"/>
    </xf>
    <xf numFmtId="39" fontId="46" fillId="0" borderId="0" xfId="840" applyNumberFormat="1" applyFont="1" applyBorder="1" applyAlignment="1">
      <alignment horizontal="center"/>
    </xf>
    <xf numFmtId="37" fontId="46" fillId="0" borderId="0" xfId="840" applyNumberFormat="1" applyFont="1" applyFill="1" applyBorder="1" applyAlignment="1"/>
    <xf numFmtId="186" fontId="46" fillId="0" borderId="0" xfId="840" quotePrefix="1" applyNumberFormat="1" applyFont="1" applyBorder="1" applyAlignment="1">
      <alignment horizontal="center"/>
    </xf>
    <xf numFmtId="165" fontId="67" fillId="0" borderId="0" xfId="840" applyNumberFormat="1" applyFont="1" applyBorder="1" applyAlignment="1"/>
    <xf numFmtId="42" fontId="46" fillId="0" borderId="0" xfId="840" applyNumberFormat="1" applyFont="1" applyAlignment="1"/>
    <xf numFmtId="42" fontId="46" fillId="0" borderId="0" xfId="840" applyNumberFormat="1" applyFont="1" applyBorder="1" applyAlignment="1"/>
    <xf numFmtId="42" fontId="46" fillId="0" borderId="0" xfId="840" applyNumberFormat="1" applyFont="1" applyFill="1" applyBorder="1" applyAlignment="1"/>
    <xf numFmtId="37" fontId="46" fillId="0" borderId="0" xfId="840" applyNumberFormat="1" applyFont="1" applyAlignment="1"/>
    <xf numFmtId="165" fontId="77" fillId="0" borderId="0" xfId="840" applyNumberFormat="1" applyFont="1" applyAlignment="1"/>
    <xf numFmtId="0" fontId="46" fillId="0" borderId="0" xfId="840" applyNumberFormat="1" applyFont="1" applyAlignment="1"/>
    <xf numFmtId="41" fontId="46" fillId="0" borderId="0" xfId="840" applyNumberFormat="1" applyFont="1" applyBorder="1" applyAlignment="1"/>
    <xf numFmtId="41" fontId="46" fillId="0" borderId="0" xfId="840" applyNumberFormat="1" applyFont="1" applyAlignment="1"/>
    <xf numFmtId="41" fontId="46" fillId="0" borderId="16" xfId="840" applyNumberFormat="1" applyFont="1" applyFill="1" applyBorder="1" applyAlignment="1"/>
    <xf numFmtId="41" fontId="46" fillId="0" borderId="0" xfId="840" applyNumberFormat="1" applyFont="1" applyFill="1" applyBorder="1" applyAlignment="1"/>
    <xf numFmtId="0" fontId="46" fillId="0" borderId="0" xfId="840" applyNumberFormat="1" applyFont="1" applyFill="1" applyAlignment="1"/>
    <xf numFmtId="0" fontId="46" fillId="0" borderId="0" xfId="840" applyNumberFormat="1" applyFont="1" applyFill="1" applyAlignment="1">
      <alignment horizontal="left"/>
    </xf>
    <xf numFmtId="37" fontId="46" fillId="0" borderId="0" xfId="840" applyNumberFormat="1" applyFont="1" applyFill="1" applyAlignment="1"/>
    <xf numFmtId="42" fontId="46" fillId="0" borderId="0" xfId="840" applyNumberFormat="1" applyFont="1" applyFill="1" applyAlignment="1"/>
    <xf numFmtId="0" fontId="44" fillId="0" borderId="0" xfId="840" applyNumberFormat="1" applyFont="1" applyAlignment="1">
      <alignment horizontal="left"/>
    </xf>
    <xf numFmtId="166" fontId="60" fillId="0" borderId="0" xfId="2" applyNumberFormat="1" applyFont="1" applyAlignment="1"/>
    <xf numFmtId="166" fontId="60" fillId="0" borderId="0" xfId="2" quotePrefix="1" applyNumberFormat="1" applyFont="1" applyAlignment="1">
      <alignment horizontal="left"/>
    </xf>
    <xf numFmtId="166" fontId="61" fillId="0" borderId="0" xfId="2" applyNumberFormat="1" applyFont="1" applyAlignment="1">
      <alignment horizontal="center"/>
    </xf>
    <xf numFmtId="166" fontId="61" fillId="0" borderId="20" xfId="2" applyNumberFormat="1" applyFont="1" applyBorder="1" applyAlignment="1"/>
    <xf numFmtId="174" fontId="60" fillId="0" borderId="0" xfId="2" applyNumberFormat="1" applyFont="1" applyAlignment="1"/>
    <xf numFmtId="174" fontId="60" fillId="0" borderId="18" xfId="2" applyNumberFormat="1" applyFont="1" applyBorder="1" applyAlignment="1"/>
    <xf numFmtId="166" fontId="61" fillId="0" borderId="0" xfId="2" applyNumberFormat="1" applyFont="1" applyAlignment="1">
      <alignment horizontal="right"/>
    </xf>
    <xf numFmtId="166" fontId="61" fillId="0" borderId="18" xfId="2" applyNumberFormat="1" applyFont="1" applyBorder="1" applyAlignment="1"/>
    <xf numFmtId="170" fontId="61" fillId="0" borderId="0" xfId="2" applyNumberFormat="1" applyFont="1" applyAlignment="1"/>
    <xf numFmtId="170" fontId="61" fillId="0" borderId="18" xfId="2" applyNumberFormat="1" applyFont="1" applyBorder="1" applyAlignment="1"/>
    <xf numFmtId="170" fontId="61" fillId="0" borderId="66" xfId="2" applyNumberFormat="1" applyFont="1" applyBorder="1" applyAlignment="1"/>
    <xf numFmtId="170" fontId="60" fillId="0" borderId="10" xfId="2" applyNumberFormat="1" applyFont="1" applyBorder="1" applyAlignment="1">
      <alignment horizontal="right"/>
    </xf>
    <xf numFmtId="170" fontId="60" fillId="0" borderId="0" xfId="2" applyNumberFormat="1" applyFont="1" applyAlignment="1"/>
    <xf numFmtId="170" fontId="60" fillId="0" borderId="18" xfId="2" applyNumberFormat="1" applyFont="1" applyBorder="1" applyAlignment="1"/>
    <xf numFmtId="170" fontId="65" fillId="0" borderId="0" xfId="2" applyNumberFormat="1" applyFont="1" applyBorder="1" applyAlignment="1"/>
    <xf numFmtId="170" fontId="61" fillId="0" borderId="0" xfId="2" applyNumberFormat="1" applyFont="1" applyBorder="1" applyAlignment="1"/>
    <xf numFmtId="170" fontId="61" fillId="0" borderId="0" xfId="2" applyNumberFormat="1" applyFont="1" applyBorder="1" applyAlignment="1">
      <alignment horizontal="right"/>
    </xf>
    <xf numFmtId="166" fontId="61" fillId="0" borderId="0" xfId="2" quotePrefix="1" applyNumberFormat="1" applyFont="1" applyAlignment="1">
      <alignment horizontal="left"/>
    </xf>
    <xf numFmtId="170" fontId="60" fillId="0" borderId="16"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5" fillId="0" borderId="18" xfId="2" applyNumberFormat="1" applyFont="1" applyBorder="1" applyAlignment="1"/>
    <xf numFmtId="170" fontId="66" fillId="0" borderId="0" xfId="2" applyNumberFormat="1" applyFont="1" applyAlignment="1"/>
    <xf numFmtId="170" fontId="66" fillId="0" borderId="18" xfId="2" applyNumberFormat="1" applyFont="1" applyBorder="1" applyAlignment="1"/>
    <xf numFmtId="170" fontId="60" fillId="0" borderId="0" xfId="2" applyNumberFormat="1" applyFont="1" applyAlignment="1">
      <alignment horizontal="right"/>
    </xf>
    <xf numFmtId="166" fontId="65" fillId="0" borderId="18" xfId="2" applyNumberFormat="1" applyFont="1" applyBorder="1" applyAlignment="1"/>
    <xf numFmtId="166" fontId="46" fillId="0" borderId="0" xfId="2" applyNumberFormat="1" applyFont="1" applyFill="1" applyAlignment="1">
      <alignment horizontal="left"/>
    </xf>
    <xf numFmtId="174" fontId="60" fillId="0" borderId="17" xfId="2" applyNumberFormat="1" applyFont="1" applyBorder="1" applyAlignment="1"/>
    <xf numFmtId="174" fontId="66" fillId="0" borderId="0" xfId="2" applyNumberFormat="1" applyFont="1" applyAlignment="1">
      <alignment horizontal="right"/>
    </xf>
    <xf numFmtId="174" fontId="66" fillId="0" borderId="18" xfId="2" applyNumberFormat="1" applyFont="1" applyBorder="1" applyAlignment="1"/>
    <xf numFmtId="166" fontId="48" fillId="0" borderId="0" xfId="2" applyNumberFormat="1" applyFont="1" applyFill="1" applyAlignment="1"/>
    <xf numFmtId="43" fontId="44" fillId="0" borderId="0" xfId="5" applyFont="1" applyFill="1" applyBorder="1" applyAlignment="1">
      <alignment horizontal="right"/>
    </xf>
    <xf numFmtId="0" fontId="83" fillId="0" borderId="0" xfId="8" applyFont="1" applyAlignment="1"/>
    <xf numFmtId="0" fontId="139" fillId="0" borderId="0" xfId="8" applyFont="1" applyAlignment="1"/>
    <xf numFmtId="0" fontId="115" fillId="0" borderId="0" xfId="8" applyFont="1" applyAlignment="1"/>
    <xf numFmtId="0" fontId="51" fillId="0" borderId="0" xfId="8" applyFont="1" applyAlignment="1"/>
    <xf numFmtId="0" fontId="51" fillId="0" borderId="0" xfId="8" applyFont="1" applyAlignment="1">
      <alignment horizontal="left"/>
    </xf>
    <xf numFmtId="0" fontId="51" fillId="0" borderId="0" xfId="8" applyFont="1" applyAlignment="1">
      <alignment horizontal="right" indent="15"/>
    </xf>
    <xf numFmtId="0" fontId="115" fillId="0" borderId="0" xfId="8" applyFont="1" applyAlignment="1">
      <alignment horizontal="right"/>
    </xf>
    <xf numFmtId="0" fontId="44" fillId="0" borderId="0" xfId="8" applyFont="1" applyAlignment="1">
      <alignment horizontal="center"/>
    </xf>
    <xf numFmtId="0" fontId="51" fillId="0" borderId="0" xfId="8" applyFont="1" applyAlignment="1">
      <alignment horizontal="center"/>
    </xf>
    <xf numFmtId="0" fontId="51" fillId="0" borderId="0" xfId="8" applyFont="1" applyAlignment="1">
      <alignment horizontal="right"/>
    </xf>
    <xf numFmtId="0" fontId="115" fillId="0" borderId="0" xfId="8" quotePrefix="1" applyFont="1" applyAlignment="1">
      <alignment horizontal="right"/>
    </xf>
    <xf numFmtId="165" fontId="51" fillId="0" borderId="0" xfId="8" applyNumberFormat="1" applyFont="1" applyAlignment="1">
      <alignment horizontal="right"/>
    </xf>
    <xf numFmtId="0" fontId="141" fillId="0" borderId="0" xfId="8" applyFont="1"/>
    <xf numFmtId="0" fontId="115" fillId="0" borderId="0" xfId="8" applyFont="1" applyAlignment="1">
      <alignment horizontal="center"/>
    </xf>
    <xf numFmtId="188" fontId="51" fillId="0" borderId="0" xfId="8" quotePrefix="1" applyNumberFormat="1" applyFont="1"/>
    <xf numFmtId="3" fontId="51" fillId="0" borderId="0" xfId="8" quotePrefix="1" applyNumberFormat="1" applyFont="1"/>
    <xf numFmtId="3" fontId="51" fillId="0" borderId="0" xfId="8" quotePrefix="1" applyNumberFormat="1" applyFont="1" applyAlignment="1">
      <alignment horizontal="center"/>
    </xf>
    <xf numFmtId="0" fontId="51" fillId="0" borderId="0" xfId="8" applyFont="1" applyFill="1"/>
    <xf numFmtId="188" fontId="51" fillId="0" borderId="0" xfId="8" applyNumberFormat="1" applyFont="1" applyAlignment="1"/>
    <xf numFmtId="3" fontId="51" fillId="0" borderId="0" xfId="8" applyNumberFormat="1" applyFont="1"/>
    <xf numFmtId="188" fontId="51" fillId="0" borderId="0" xfId="8" applyNumberFormat="1" applyFont="1" applyBorder="1"/>
    <xf numFmtId="0" fontId="139" fillId="0" borderId="0" xfId="8" applyFont="1" applyAlignment="1">
      <alignment horizontal="center"/>
    </xf>
    <xf numFmtId="0" fontId="51" fillId="0" borderId="0" xfId="8" applyFont="1" applyBorder="1"/>
    <xf numFmtId="191" fontId="51" fillId="0" borderId="0" xfId="8" applyNumberFormat="1" applyFont="1" applyBorder="1"/>
    <xf numFmtId="175" fontId="51" fillId="0" borderId="0" xfId="8" quotePrefix="1" applyNumberFormat="1" applyFont="1" applyAlignment="1">
      <alignment horizontal="right"/>
    </xf>
    <xf numFmtId="192" fontId="51" fillId="0" borderId="0" xfId="8" applyNumberFormat="1" applyFont="1"/>
    <xf numFmtId="175" fontId="51" fillId="0" borderId="0" xfId="8" quotePrefix="1" applyNumberFormat="1" applyFont="1" applyBorder="1" applyAlignment="1"/>
    <xf numFmtId="0" fontId="45" fillId="0" borderId="0" xfId="860" applyNumberFormat="1" applyFont="1" applyAlignment="1">
      <alignment horizontal="centerContinuous"/>
    </xf>
    <xf numFmtId="37" fontId="45" fillId="0" borderId="0" xfId="860" applyNumberFormat="1" applyFont="1" applyAlignment="1">
      <alignment horizontal="centerContinuous"/>
    </xf>
    <xf numFmtId="0" fontId="45" fillId="0" borderId="0" xfId="860" applyNumberFormat="1" applyFont="1" applyAlignment="1"/>
    <xf numFmtId="0" fontId="44" fillId="0" borderId="0" xfId="860" applyNumberFormat="1" applyFont="1" applyAlignment="1">
      <alignment horizontal="centerContinuous"/>
    </xf>
    <xf numFmtId="37" fontId="68" fillId="0" borderId="0" xfId="860" applyNumberFormat="1" applyFont="1" applyAlignment="1">
      <alignment horizontal="centerContinuous"/>
    </xf>
    <xf numFmtId="0" fontId="44" fillId="0" borderId="0" xfId="860" applyNumberFormat="1" applyFont="1" applyAlignment="1"/>
    <xf numFmtId="0" fontId="45" fillId="0" borderId="67" xfId="860" applyNumberFormat="1" applyFont="1" applyBorder="1" applyAlignment="1">
      <alignment horizontal="centerContinuous"/>
    </xf>
    <xf numFmtId="0" fontId="44" fillId="0" borderId="36" xfId="860" applyNumberFormat="1" applyFont="1" applyBorder="1" applyAlignment="1">
      <alignment horizontal="centerContinuous"/>
    </xf>
    <xf numFmtId="37" fontId="68" fillId="0" borderId="68" xfId="860" applyNumberFormat="1" applyFont="1" applyBorder="1" applyAlignment="1"/>
    <xf numFmtId="0" fontId="45" fillId="0" borderId="36" xfId="860" applyNumberFormat="1" applyFont="1" applyBorder="1" applyAlignment="1"/>
    <xf numFmtId="0" fontId="44" fillId="0" borderId="36" xfId="860" applyNumberFormat="1" applyFont="1" applyBorder="1"/>
    <xf numFmtId="37" fontId="68" fillId="0" borderId="0" xfId="860" applyNumberFormat="1" applyFont="1" applyAlignment="1"/>
    <xf numFmtId="37" fontId="44" fillId="0" borderId="0" xfId="860" applyNumberFormat="1" applyFont="1" applyAlignment="1"/>
    <xf numFmtId="37" fontId="42" fillId="0" borderId="0" xfId="860" applyNumberFormat="1" applyFont="1" applyAlignment="1"/>
    <xf numFmtId="0" fontId="44" fillId="0" borderId="66" xfId="860" applyNumberFormat="1" applyFont="1" applyBorder="1" applyAlignment="1"/>
    <xf numFmtId="0" fontId="142" fillId="0" borderId="0" xfId="860" applyNumberFormat="1" applyFont="1" applyAlignment="1"/>
    <xf numFmtId="37" fontId="44" fillId="0" borderId="0" xfId="860" applyNumberFormat="1" applyFont="1" applyAlignment="1">
      <alignment horizontal="left"/>
    </xf>
    <xf numFmtId="0" fontId="44" fillId="0" borderId="16" xfId="860" applyNumberFormat="1" applyFont="1" applyBorder="1" applyAlignment="1"/>
    <xf numFmtId="0" fontId="142" fillId="0" borderId="16" xfId="860" applyNumberFormat="1" applyFont="1" applyBorder="1" applyAlignment="1"/>
    <xf numFmtId="0" fontId="112" fillId="0" borderId="0" xfId="860" applyNumberFormat="1" applyFont="1" applyAlignment="1"/>
    <xf numFmtId="0" fontId="44" fillId="0" borderId="20" xfId="860" applyNumberFormat="1" applyFont="1" applyBorder="1" applyAlignment="1"/>
    <xf numFmtId="0" fontId="44" fillId="0" borderId="40" xfId="860" applyNumberFormat="1" applyFont="1" applyBorder="1" applyAlignment="1"/>
    <xf numFmtId="165" fontId="44" fillId="0" borderId="0" xfId="860" applyNumberFormat="1" applyFont="1" applyAlignment="1">
      <alignment horizontal="left"/>
    </xf>
    <xf numFmtId="0" fontId="44" fillId="0" borderId="0" xfId="860" applyNumberFormat="1" applyFont="1" applyBorder="1" applyAlignment="1"/>
    <xf numFmtId="0" fontId="45" fillId="0" borderId="0" xfId="860" applyNumberFormat="1" applyFont="1" applyBorder="1" applyAlignment="1"/>
    <xf numFmtId="0" fontId="143" fillId="0" borderId="0" xfId="860" applyFont="1" applyBorder="1" applyAlignment="1">
      <alignment vertical="top" wrapText="1"/>
    </xf>
    <xf numFmtId="0" fontId="44" fillId="0" borderId="16" xfId="860" applyNumberFormat="1" applyFont="1" applyBorder="1" applyAlignment="1">
      <alignment horizontal="left"/>
    </xf>
    <xf numFmtId="0" fontId="85" fillId="0" borderId="0" xfId="860" applyNumberFormat="1" applyFont="1" applyAlignment="1"/>
    <xf numFmtId="0" fontId="142" fillId="0" borderId="0" xfId="860" applyNumberFormat="1" applyFont="1" applyBorder="1" applyAlignment="1"/>
    <xf numFmtId="0" fontId="85" fillId="0" borderId="0" xfId="860" applyNumberFormat="1" applyFont="1" applyBorder="1" applyAlignment="1"/>
    <xf numFmtId="0" fontId="44" fillId="0" borderId="0" xfId="860" applyNumberFormat="1" applyFont="1" applyAlignment="1">
      <alignment horizontal="left"/>
    </xf>
    <xf numFmtId="0" fontId="44" fillId="0" borderId="0" xfId="860" applyNumberFormat="1" applyFont="1" applyBorder="1" applyAlignment="1">
      <alignment horizontal="left"/>
    </xf>
    <xf numFmtId="170" fontId="39" fillId="0" borderId="0" xfId="0" applyNumberFormat="1" applyFont="1" applyAlignment="1"/>
    <xf numFmtId="166" fontId="39" fillId="0" borderId="0" xfId="0" applyNumberFormat="1" applyFont="1" applyAlignment="1" applyProtection="1">
      <protection locked="0"/>
    </xf>
    <xf numFmtId="166" fontId="39" fillId="0" borderId="0" xfId="0" applyNumberFormat="1" applyFont="1" applyBorder="1" applyAlignment="1" applyProtection="1"/>
    <xf numFmtId="170" fontId="39" fillId="0" borderId="0" xfId="0" applyNumberFormat="1" applyFont="1" applyAlignment="1" applyProtection="1">
      <protection locked="0"/>
    </xf>
    <xf numFmtId="170" fontId="39" fillId="0" borderId="0" xfId="0" applyNumberFormat="1" applyFont="1" applyAlignment="1" applyProtection="1"/>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applyNumberFormat="1" applyFont="1" applyAlignment="1" applyProtection="1">
      <alignment horizontal="center"/>
    </xf>
    <xf numFmtId="170" fontId="39" fillId="0" borderId="0" xfId="0" applyNumberFormat="1" applyFont="1" applyFill="1" applyAlignment="1" applyProtection="1"/>
    <xf numFmtId="37" fontId="39" fillId="0" borderId="0" xfId="2" applyNumberFormat="1" applyFont="1" applyBorder="1"/>
    <xf numFmtId="49" fontId="39" fillId="0" borderId="0" xfId="17" applyNumberFormat="1" applyFont="1" applyBorder="1" applyAlignment="1">
      <alignment horizontal="center"/>
    </xf>
    <xf numFmtId="0" fontId="68" fillId="0" borderId="0" xfId="0" applyNumberFormat="1" applyFont="1" applyFill="1"/>
    <xf numFmtId="0" fontId="44" fillId="0" borderId="0" xfId="0" applyNumberFormat="1" applyFont="1" applyFill="1"/>
    <xf numFmtId="0" fontId="44" fillId="0" borderId="0" xfId="0" applyNumberFormat="1" applyFont="1" applyFill="1" applyAlignment="1">
      <alignment horizontal="right"/>
    </xf>
    <xf numFmtId="0" fontId="45" fillId="0" borderId="0" xfId="0" applyNumberFormat="1" applyFont="1" applyFill="1"/>
    <xf numFmtId="7" fontId="44" fillId="0" borderId="0" xfId="0" applyNumberFormat="1" applyFont="1" applyFill="1"/>
    <xf numFmtId="39" fontId="44" fillId="0" borderId="0" xfId="0" applyNumberFormat="1" applyFont="1" applyFill="1"/>
    <xf numFmtId="39" fontId="44" fillId="0" borderId="0" xfId="0" applyNumberFormat="1" applyFont="1" applyFill="1" applyAlignment="1">
      <alignment horizontal="center"/>
    </xf>
    <xf numFmtId="39" fontId="44" fillId="0" borderId="0" xfId="0" applyNumberFormat="1" applyFont="1" applyFill="1" applyAlignment="1">
      <alignment horizontal="right"/>
    </xf>
    <xf numFmtId="43" fontId="44" fillId="0" borderId="0" xfId="0" applyNumberFormat="1" applyFont="1" applyFill="1" applyAlignment="1">
      <alignment horizontal="center"/>
    </xf>
    <xf numFmtId="0" fontId="45" fillId="0" borderId="0" xfId="0" applyNumberFormat="1" applyFont="1" applyFill="1" applyBorder="1"/>
    <xf numFmtId="39" fontId="45" fillId="0" borderId="0" xfId="0" applyNumberFormat="1" applyFont="1" applyFill="1" applyBorder="1"/>
    <xf numFmtId="0" fontId="44" fillId="0" borderId="0" xfId="0" applyNumberFormat="1" applyFont="1" applyFill="1" applyBorder="1"/>
    <xf numFmtId="39" fontId="44" fillId="0" borderId="0" xfId="0" quotePrefix="1" applyNumberFormat="1" applyFont="1" applyFill="1" applyAlignment="1">
      <alignment horizontal="center"/>
    </xf>
    <xf numFmtId="39" fontId="45" fillId="0" borderId="0" xfId="0" applyNumberFormat="1" applyFont="1" applyFill="1" applyBorder="1" applyAlignment="1">
      <alignment horizontal="right"/>
    </xf>
    <xf numFmtId="0" fontId="44" fillId="0" borderId="0" xfId="0" applyNumberFormat="1" applyFont="1" applyFill="1" applyBorder="1" applyAlignment="1">
      <alignment horizontal="right"/>
    </xf>
    <xf numFmtId="187" fontId="44" fillId="0" borderId="0" xfId="0" applyNumberFormat="1" applyFont="1" applyFill="1"/>
    <xf numFmtId="0" fontId="44" fillId="0" borderId="0" xfId="0" applyNumberFormat="1" applyFont="1" applyFill="1" applyAlignment="1"/>
    <xf numFmtId="0" fontId="44" fillId="0" borderId="0" xfId="0" applyNumberFormat="1" applyFont="1" applyFill="1" applyAlignment="1">
      <alignment horizontal="left" vertical="top"/>
    </xf>
    <xf numFmtId="177" fontId="39" fillId="0" borderId="0" xfId="740" applyNumberFormat="1" applyFont="1" applyFill="1" applyAlignment="1">
      <alignment horizontal="center"/>
    </xf>
    <xf numFmtId="170" fontId="39" fillId="0" borderId="0" xfId="2" applyNumberFormat="1" applyFont="1" applyAlignment="1"/>
    <xf numFmtId="165" fontId="39" fillId="0" borderId="0" xfId="0" applyNumberFormat="1" applyFont="1" applyAlignment="1" applyProtection="1">
      <protection locked="0"/>
    </xf>
    <xf numFmtId="164" fontId="39" fillId="0" borderId="0" xfId="0" applyFont="1"/>
    <xf numFmtId="164" fontId="39" fillId="0" borderId="0" xfId="0" applyFont="1" applyAlignment="1"/>
    <xf numFmtId="164" fontId="39" fillId="0" borderId="0" xfId="0" applyFont="1" applyAlignment="1">
      <alignment horizontal="center"/>
    </xf>
    <xf numFmtId="164" fontId="97" fillId="0" borderId="0" xfId="0" applyFont="1"/>
    <xf numFmtId="166" fontId="39" fillId="0" borderId="0" xfId="2" applyNumberFormat="1" applyFont="1" applyFill="1" applyBorder="1" applyAlignment="1"/>
    <xf numFmtId="0" fontId="39" fillId="0" borderId="0" xfId="17" applyNumberFormat="1" applyFont="1" applyAlignment="1">
      <alignment horizontal="left"/>
    </xf>
    <xf numFmtId="164" fontId="68" fillId="0" borderId="0" xfId="0" applyFont="1"/>
    <xf numFmtId="0" fontId="147" fillId="0" borderId="0" xfId="860" applyNumberFormat="1" applyFont="1" applyAlignment="1"/>
    <xf numFmtId="37" fontId="44" fillId="34" borderId="0" xfId="860" applyNumberFormat="1" applyFont="1" applyFill="1" applyAlignment="1">
      <alignment horizontal="left"/>
    </xf>
    <xf numFmtId="0" fontId="45" fillId="34" borderId="0" xfId="860" applyNumberFormat="1" applyFont="1" applyFill="1" applyAlignment="1"/>
    <xf numFmtId="0" fontId="45" fillId="34" borderId="0" xfId="860" applyNumberFormat="1" applyFont="1" applyFill="1" applyBorder="1" applyAlignment="1"/>
    <xf numFmtId="174" fontId="41" fillId="0" borderId="0" xfId="0" applyNumberFormat="1" applyFont="1" applyAlignment="1" applyProtection="1"/>
    <xf numFmtId="37" fontId="39" fillId="0" borderId="0" xfId="2" applyNumberFormat="1" applyFont="1" applyAlignment="1"/>
    <xf numFmtId="174" fontId="39" fillId="0" borderId="0" xfId="2" applyNumberFormat="1" applyFont="1" applyAlignment="1"/>
    <xf numFmtId="170" fontId="39" fillId="0" borderId="0" xfId="2" quotePrefix="1" applyNumberFormat="1" applyFont="1" applyAlignment="1">
      <alignment horizontal="center"/>
    </xf>
    <xf numFmtId="174" fontId="39" fillId="0" borderId="0" xfId="2" applyNumberFormat="1" applyFont="1" applyAlignment="1">
      <alignment horizontal="right"/>
    </xf>
    <xf numFmtId="174" fontId="39" fillId="0" borderId="0" xfId="2" quotePrefix="1" applyNumberFormat="1" applyFont="1" applyAlignment="1">
      <alignment horizontal="center"/>
    </xf>
    <xf numFmtId="187" fontId="99" fillId="0" borderId="0" xfId="8" applyNumberFormat="1" applyFont="1"/>
    <xf numFmtId="0" fontId="39" fillId="0" borderId="0" xfId="17" quotePrefix="1" applyNumberFormat="1" applyFont="1" applyAlignment="1">
      <alignment horizontal="left"/>
    </xf>
    <xf numFmtId="164" fontId="63" fillId="0" borderId="0" xfId="0" applyFont="1"/>
    <xf numFmtId="164" fontId="46" fillId="0" borderId="0" xfId="0" applyFont="1"/>
    <xf numFmtId="0" fontId="140" fillId="0" borderId="0" xfId="8" applyFont="1" applyFill="1" applyAlignment="1">
      <alignment horizontal="left"/>
    </xf>
    <xf numFmtId="166" fontId="39" fillId="0" borderId="0" xfId="2" applyNumberFormat="1" applyFont="1" applyBorder="1" applyAlignment="1"/>
    <xf numFmtId="164" fontId="39" fillId="0" borderId="0" xfId="2" applyNumberFormat="1" applyFont="1" applyBorder="1" applyAlignment="1"/>
    <xf numFmtId="170" fontId="39" fillId="0" borderId="0" xfId="2" applyNumberFormat="1" applyFont="1" applyBorder="1"/>
    <xf numFmtId="165" fontId="39" fillId="0" borderId="0" xfId="0" applyNumberFormat="1" applyFont="1" applyAlignment="1"/>
    <xf numFmtId="165" fontId="46" fillId="0" borderId="0" xfId="0" applyNumberFormat="1" applyFont="1" applyAlignment="1"/>
    <xf numFmtId="174" fontId="39" fillId="0" borderId="0" xfId="0" quotePrefix="1" applyNumberFormat="1" applyFont="1" applyAlignment="1" applyProtection="1">
      <alignment horizontal="left"/>
    </xf>
    <xf numFmtId="170" fontId="46" fillId="0" borderId="20" xfId="0" applyNumberFormat="1" applyFont="1" applyBorder="1" applyAlignment="1"/>
    <xf numFmtId="165" fontId="39" fillId="0" borderId="0" xfId="0" quotePrefix="1" applyNumberFormat="1" applyFont="1" applyAlignment="1">
      <alignment horizontal="center"/>
    </xf>
    <xf numFmtId="170" fontId="41" fillId="0" borderId="0" xfId="2" quotePrefix="1" applyNumberFormat="1" applyFont="1" applyFill="1" applyAlignment="1">
      <alignment horizontal="right"/>
    </xf>
    <xf numFmtId="170" fontId="46" fillId="0" borderId="45" xfId="2" applyNumberFormat="1" applyFont="1" applyFill="1" applyBorder="1" applyAlignment="1"/>
    <xf numFmtId="170" fontId="41" fillId="0" borderId="21" xfId="2" applyNumberFormat="1" applyFont="1" applyFill="1" applyBorder="1" applyAlignment="1"/>
    <xf numFmtId="170" fontId="46" fillId="0" borderId="21" xfId="2" applyNumberFormat="1" applyFont="1" applyFill="1" applyBorder="1" applyAlignment="1"/>
    <xf numFmtId="170" fontId="41" fillId="0" borderId="0" xfId="2" applyNumberFormat="1" applyFont="1"/>
    <xf numFmtId="170" fontId="39" fillId="0" borderId="0" xfId="2" applyNumberFormat="1" applyFont="1" applyAlignment="1">
      <alignment horizontal="right"/>
    </xf>
    <xf numFmtId="177" fontId="102" fillId="0" borderId="0" xfId="740" applyNumberFormat="1" applyFont="1" applyFill="1"/>
    <xf numFmtId="170" fontId="39" fillId="0" borderId="0" xfId="2" applyNumberFormat="1" applyFont="1" applyFill="1" applyAlignment="1">
      <alignment horizontal="right"/>
    </xf>
    <xf numFmtId="170" fontId="39" fillId="0" borderId="0" xfId="2" quotePrefix="1" applyNumberFormat="1" applyFont="1" applyFill="1" applyAlignment="1">
      <alignment horizontal="right"/>
    </xf>
    <xf numFmtId="170" fontId="39" fillId="0" borderId="0" xfId="2" quotePrefix="1" applyNumberFormat="1" applyFont="1" applyAlignment="1">
      <alignment horizontal="right"/>
    </xf>
    <xf numFmtId="170" fontId="39" fillId="0" borderId="0" xfId="2" quotePrefix="1" applyNumberFormat="1" applyFont="1" applyAlignment="1"/>
    <xf numFmtId="170" fontId="39" fillId="0" borderId="20" xfId="2" applyNumberFormat="1" applyFont="1" applyBorder="1" applyAlignment="1"/>
    <xf numFmtId="174" fontId="131" fillId="0" borderId="0" xfId="2" applyNumberFormat="1" applyFont="1" applyBorder="1"/>
    <xf numFmtId="0" fontId="39" fillId="0" borderId="0" xfId="2" applyNumberFormat="1" applyFont="1" applyAlignment="1"/>
    <xf numFmtId="0" fontId="39" fillId="0" borderId="0" xfId="2" applyFont="1" applyBorder="1"/>
    <xf numFmtId="0" fontId="68" fillId="0" borderId="0" xfId="836" applyNumberFormat="1" applyFont="1" applyFill="1" applyAlignment="1">
      <alignment horizontal="center"/>
    </xf>
    <xf numFmtId="0" fontId="68" fillId="0" borderId="20" xfId="836" applyNumberFormat="1" applyFont="1" applyFill="1" applyBorder="1" applyAlignment="1"/>
    <xf numFmtId="181" fontId="63" fillId="0" borderId="0" xfId="836" applyNumberFormat="1" applyFont="1" applyFill="1" applyBorder="1" applyAlignment="1"/>
    <xf numFmtId="181" fontId="63" fillId="0" borderId="0" xfId="836" applyNumberFormat="1" applyFont="1" applyFill="1" applyAlignment="1"/>
    <xf numFmtId="181" fontId="63" fillId="0" borderId="20" xfId="836" applyNumberFormat="1" applyFont="1" applyFill="1" applyBorder="1" applyAlignment="1"/>
    <xf numFmtId="181" fontId="63" fillId="0" borderId="20" xfId="836" applyNumberFormat="1" applyFont="1" applyFill="1" applyBorder="1" applyAlignment="1">
      <alignment horizontal="right"/>
    </xf>
    <xf numFmtId="181" fontId="80" fillId="0" borderId="20" xfId="836" applyNumberFormat="1" applyFont="1" applyFill="1" applyBorder="1"/>
    <xf numFmtId="177" fontId="68" fillId="0" borderId="0" xfId="836" applyNumberFormat="1" applyFont="1" applyFill="1" applyAlignment="1">
      <alignment horizontal="right"/>
    </xf>
    <xf numFmtId="177" fontId="68" fillId="0" borderId="0" xfId="836" applyNumberFormat="1" applyFont="1" applyFill="1" applyAlignment="1"/>
    <xf numFmtId="177" fontId="63" fillId="0" borderId="20" xfId="836" applyNumberFormat="1" applyFont="1" applyFill="1" applyBorder="1" applyAlignment="1"/>
    <xf numFmtId="177" fontId="68" fillId="0" borderId="0" xfId="836" applyNumberFormat="1" applyFont="1" applyFill="1" applyBorder="1" applyAlignment="1"/>
    <xf numFmtId="173" fontId="63" fillId="0" borderId="0" xfId="836" quotePrefix="1" applyNumberFormat="1" applyFont="1" applyFill="1" applyAlignment="1">
      <alignment horizontal="left"/>
    </xf>
    <xf numFmtId="177" fontId="63" fillId="0" borderId="0" xfId="836" applyNumberFormat="1" applyFont="1" applyFill="1" applyBorder="1" applyAlignment="1" applyProtection="1">
      <protection locked="0"/>
    </xf>
    <xf numFmtId="177" fontId="63" fillId="0" borderId="0" xfId="836" applyNumberFormat="1" applyFont="1" applyFill="1" applyBorder="1" applyAlignment="1">
      <alignment horizontal="center"/>
    </xf>
    <xf numFmtId="177" fontId="68" fillId="0" borderId="10" xfId="836" applyNumberFormat="1" applyFont="1" applyFill="1" applyBorder="1" applyAlignment="1"/>
    <xf numFmtId="177" fontId="68" fillId="0" borderId="33" xfId="836" applyNumberFormat="1" applyFont="1" applyFill="1" applyBorder="1" applyAlignment="1">
      <alignment horizontal="right"/>
    </xf>
    <xf numFmtId="180" fontId="63" fillId="0" borderId="0" xfId="836" applyNumberFormat="1" applyFont="1" applyFill="1" applyAlignment="1"/>
    <xf numFmtId="180" fontId="68" fillId="0" borderId="17" xfId="836" applyNumberFormat="1" applyFont="1" applyFill="1" applyBorder="1" applyAlignment="1"/>
    <xf numFmtId="180" fontId="68" fillId="0" borderId="0" xfId="836" applyNumberFormat="1" applyFont="1" applyFill="1" applyAlignment="1">
      <alignment horizontal="right"/>
    </xf>
    <xf numFmtId="180" fontId="68" fillId="0" borderId="0" xfId="836" applyNumberFormat="1" applyFont="1" applyFill="1" applyAlignment="1"/>
    <xf numFmtId="181" fontId="63" fillId="0" borderId="36" xfId="836" applyNumberFormat="1" applyFont="1" applyFill="1" applyBorder="1" applyAlignment="1"/>
    <xf numFmtId="0" fontId="154" fillId="0" borderId="0" xfId="836" quotePrefix="1" applyNumberFormat="1" applyFont="1" applyFill="1" applyAlignment="1">
      <alignment horizontal="left"/>
    </xf>
    <xf numFmtId="173" fontId="80" fillId="0" borderId="0" xfId="836" applyNumberFormat="1" applyFont="1" applyFill="1"/>
    <xf numFmtId="0" fontId="39" fillId="0" borderId="0" xfId="17" applyNumberFormat="1" applyFont="1" applyFill="1" applyAlignment="1">
      <alignment readingOrder="1"/>
    </xf>
    <xf numFmtId="0" fontId="39" fillId="0" borderId="0" xfId="17" applyNumberFormat="1" applyFont="1" applyFill="1" applyAlignment="1"/>
    <xf numFmtId="0" fontId="39" fillId="0" borderId="0" xfId="17" applyNumberFormat="1" applyFont="1" applyFill="1" applyAlignment="1" applyProtection="1">
      <alignment readingOrder="1"/>
      <protection locked="0"/>
    </xf>
    <xf numFmtId="0" fontId="39" fillId="0" borderId="0" xfId="17" applyNumberFormat="1" applyFont="1" applyFill="1" applyAlignment="1" applyProtection="1">
      <protection locked="0"/>
    </xf>
    <xf numFmtId="0" fontId="46" fillId="0" borderId="0" xfId="17" applyNumberFormat="1" applyFont="1" applyAlignment="1" applyProtection="1">
      <protection locked="0"/>
    </xf>
    <xf numFmtId="39" fontId="44" fillId="0" borderId="0" xfId="0" applyNumberFormat="1" applyFont="1" applyFill="1" applyAlignment="1"/>
    <xf numFmtId="39" fontId="44" fillId="0" borderId="0" xfId="0" applyNumberFormat="1" applyFont="1" applyFill="1" applyAlignment="1">
      <alignment horizontal="right" vertical="top"/>
    </xf>
    <xf numFmtId="39" fontId="44" fillId="0" borderId="0" xfId="0" applyNumberFormat="1" applyFont="1" applyFill="1" applyAlignment="1">
      <alignment horizontal="center" vertical="top"/>
    </xf>
    <xf numFmtId="0" fontId="44" fillId="0" borderId="0" xfId="0" quotePrefix="1" applyNumberFormat="1" applyFont="1" applyFill="1" applyAlignment="1"/>
    <xf numFmtId="0" fontId="44" fillId="0" borderId="0" xfId="0" applyNumberFormat="1" applyFont="1" applyFill="1" applyAlignment="1">
      <alignment horizontal="center" vertical="top"/>
    </xf>
    <xf numFmtId="177" fontId="39" fillId="0" borderId="0" xfId="740" applyNumberFormat="1" applyFont="1" applyFill="1" applyBorder="1" applyAlignment="1">
      <alignment horizontal="right"/>
    </xf>
    <xf numFmtId="177" fontId="39" fillId="0" borderId="0" xfId="740" applyNumberFormat="1" applyFont="1" applyFill="1" applyAlignment="1"/>
    <xf numFmtId="177" fontId="39" fillId="0" borderId="0" xfId="740" quotePrefix="1" applyNumberFormat="1" applyFont="1" applyFill="1" applyAlignment="1">
      <alignment horizontal="left"/>
    </xf>
    <xf numFmtId="177" fontId="39" fillId="0" borderId="0" xfId="740" applyNumberFormat="1" applyFont="1" applyFill="1" applyBorder="1" applyAlignment="1"/>
    <xf numFmtId="177" fontId="39" fillId="0" borderId="0" xfId="740" applyNumberFormat="1" applyFont="1" applyFill="1" applyBorder="1" applyAlignment="1">
      <alignment horizontal="center"/>
    </xf>
    <xf numFmtId="177" fontId="99" fillId="0" borderId="0" xfId="740" applyNumberFormat="1" applyFont="1" applyFill="1"/>
    <xf numFmtId="0" fontId="99" fillId="0" borderId="0" xfId="740" applyFont="1" applyFill="1"/>
    <xf numFmtId="181" fontId="39" fillId="0" borderId="0" xfId="740" applyNumberFormat="1" applyFont="1" applyFill="1" applyBorder="1" applyAlignment="1"/>
    <xf numFmtId="181" fontId="39" fillId="0" borderId="0" xfId="740" applyNumberFormat="1" applyFont="1" applyFill="1" applyAlignment="1"/>
    <xf numFmtId="0" fontId="39" fillId="0" borderId="0" xfId="740" quotePrefix="1" applyNumberFormat="1" applyFont="1" applyFill="1" applyAlignment="1">
      <alignment horizontal="left"/>
    </xf>
    <xf numFmtId="182" fontId="39" fillId="0" borderId="0" xfId="741" applyNumberFormat="1" applyFont="1" applyFill="1" applyBorder="1" applyAlignment="1"/>
    <xf numFmtId="0" fontId="46" fillId="0" borderId="0" xfId="2" quotePrefix="1" applyNumberFormat="1" applyFont="1" applyBorder="1" applyAlignment="1">
      <alignment horizontal="center"/>
    </xf>
    <xf numFmtId="0" fontId="46" fillId="0" borderId="0" xfId="2" applyNumberFormat="1" applyFont="1" applyAlignment="1">
      <alignment horizontal="center"/>
    </xf>
    <xf numFmtId="17" fontId="46" fillId="0" borderId="0" xfId="2" quotePrefix="1" applyNumberFormat="1" applyFont="1" applyAlignment="1">
      <alignment horizontal="center"/>
    </xf>
    <xf numFmtId="15" fontId="46" fillId="0" borderId="0" xfId="2" quotePrefix="1" applyNumberFormat="1" applyFont="1" applyAlignment="1">
      <alignment horizontal="center"/>
    </xf>
    <xf numFmtId="0" fontId="46" fillId="0" borderId="0" xfId="2" applyNumberFormat="1" applyFont="1" applyFill="1" applyAlignment="1">
      <alignment horizontal="center"/>
    </xf>
    <xf numFmtId="0" fontId="46" fillId="0" borderId="0" xfId="2" quotePrefix="1" applyNumberFormat="1" applyFont="1" applyFill="1" applyAlignment="1">
      <alignment horizontal="center"/>
    </xf>
    <xf numFmtId="165" fontId="46" fillId="0" borderId="0" xfId="2" applyNumberFormat="1" applyFont="1" applyFill="1" applyAlignment="1"/>
    <xf numFmtId="17" fontId="46" fillId="0" borderId="0" xfId="2" applyNumberFormat="1" applyFont="1" applyFill="1" applyAlignment="1">
      <alignment horizontal="center"/>
    </xf>
    <xf numFmtId="15" fontId="46" fillId="0" borderId="0" xfId="2" applyNumberFormat="1" applyFont="1" applyFill="1" applyAlignment="1">
      <alignment horizontal="center"/>
    </xf>
    <xf numFmtId="166" fontId="60" fillId="0" borderId="0" xfId="2" applyNumberFormat="1" applyFont="1" applyAlignment="1">
      <alignment horizontal="center"/>
    </xf>
    <xf numFmtId="0" fontId="46" fillId="0" borderId="0" xfId="2" quotePrefix="1" applyNumberFormat="1" applyFont="1" applyAlignment="1">
      <alignment horizontal="center"/>
    </xf>
    <xf numFmtId="165" fontId="46" fillId="0" borderId="0" xfId="2" quotePrefix="1" applyNumberFormat="1" applyFont="1" applyAlignment="1">
      <alignment horizontal="center"/>
    </xf>
    <xf numFmtId="166" fontId="46" fillId="0" borderId="0" xfId="2" applyNumberFormat="1" applyFont="1" applyBorder="1" applyAlignment="1">
      <alignment horizontal="center"/>
    </xf>
    <xf numFmtId="165" fontId="46" fillId="0" borderId="0" xfId="2" applyNumberFormat="1" applyFont="1" applyBorder="1" applyAlignment="1">
      <alignment horizontal="center"/>
    </xf>
    <xf numFmtId="165" fontId="46" fillId="0" borderId="0" xfId="2" applyNumberFormat="1" applyFont="1" applyAlignment="1">
      <alignment horizontal="center"/>
    </xf>
    <xf numFmtId="166" fontId="46" fillId="0" borderId="10" xfId="2" applyNumberFormat="1" applyFont="1" applyBorder="1" applyAlignment="1">
      <alignment horizontal="center"/>
    </xf>
    <xf numFmtId="166" fontId="46" fillId="0" borderId="10" xfId="2" quotePrefix="1" applyNumberFormat="1" applyFont="1" applyBorder="1" applyAlignment="1">
      <alignment horizontal="center"/>
    </xf>
    <xf numFmtId="165" fontId="45" fillId="0" borderId="0" xfId="2" applyNumberFormat="1" applyFont="1" applyAlignment="1"/>
    <xf numFmtId="0" fontId="46" fillId="0" borderId="0" xfId="2" applyNumberFormat="1" applyFont="1" applyBorder="1" applyAlignment="1">
      <alignment horizontal="center"/>
    </xf>
    <xf numFmtId="165" fontId="46" fillId="0" borderId="10" xfId="2" applyNumberFormat="1" applyFont="1" applyBorder="1" applyAlignment="1">
      <alignment horizontal="center"/>
    </xf>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165" fontId="162" fillId="0" borderId="0" xfId="2" applyNumberFormat="1" applyFont="1" applyAlignment="1"/>
    <xf numFmtId="165" fontId="162" fillId="0" borderId="0" xfId="2" applyNumberFormat="1" applyFont="1" applyBorder="1" applyAlignment="1"/>
    <xf numFmtId="0" fontId="46" fillId="0" borderId="10" xfId="2" applyNumberFormat="1" applyFont="1" applyFill="1" applyBorder="1" applyAlignment="1">
      <alignment horizontal="center"/>
    </xf>
    <xf numFmtId="0" fontId="46" fillId="0" borderId="0" xfId="2" applyNumberFormat="1" applyFont="1" applyFill="1" applyBorder="1" applyAlignment="1">
      <alignment horizontal="center"/>
    </xf>
    <xf numFmtId="0" fontId="161" fillId="0" borderId="0" xfId="2" applyFont="1"/>
    <xf numFmtId="166" fontId="82" fillId="0" borderId="0" xfId="2" applyNumberFormat="1" applyFont="1" applyAlignment="1"/>
    <xf numFmtId="166" fontId="81" fillId="0" borderId="0" xfId="2" applyNumberFormat="1" applyFont="1" applyAlignment="1">
      <alignment horizontal="center"/>
    </xf>
    <xf numFmtId="164" fontId="46" fillId="0" borderId="0" xfId="0" applyFont="1" applyAlignment="1">
      <alignment horizontal="center"/>
    </xf>
    <xf numFmtId="0" fontId="68" fillId="0" borderId="0" xfId="0" applyNumberFormat="1" applyFont="1" applyAlignment="1">
      <alignment horizontal="center"/>
    </xf>
    <xf numFmtId="164" fontId="68" fillId="0" borderId="0" xfId="0" applyFont="1" applyAlignment="1">
      <alignment horizontal="center"/>
    </xf>
    <xf numFmtId="0" fontId="68" fillId="0" borderId="0" xfId="2" quotePrefix="1" applyNumberFormat="1" applyFont="1" applyAlignment="1">
      <alignment horizontal="center"/>
    </xf>
    <xf numFmtId="0" fontId="68" fillId="0" borderId="0" xfId="2" applyNumberFormat="1" applyFont="1" applyBorder="1" applyAlignment="1"/>
    <xf numFmtId="0" fontId="68" fillId="0" borderId="0" xfId="2" applyNumberFormat="1" applyFont="1" applyAlignment="1">
      <alignment horizontal="center"/>
    </xf>
    <xf numFmtId="0" fontId="45" fillId="0" borderId="0" xfId="860" applyNumberFormat="1" applyFont="1" applyAlignment="1">
      <alignment horizontal="right"/>
    </xf>
    <xf numFmtId="177" fontId="44" fillId="0" borderId="0" xfId="740" applyNumberFormat="1" applyFont="1" applyFill="1" applyAlignment="1"/>
    <xf numFmtId="39" fontId="45" fillId="0" borderId="0" xfId="0" applyNumberFormat="1" applyFont="1" applyFill="1" applyAlignment="1">
      <alignment horizontal="right"/>
    </xf>
    <xf numFmtId="39" fontId="44" fillId="0" borderId="0" xfId="0" quotePrefix="1" applyNumberFormat="1" applyFont="1" applyFill="1" applyAlignment="1"/>
    <xf numFmtId="0" fontId="39" fillId="0" borderId="0" xfId="0" applyNumberFormat="1" applyFont="1" applyFill="1"/>
    <xf numFmtId="39" fontId="45" fillId="0" borderId="0" xfId="0" applyNumberFormat="1" applyFont="1" applyFill="1"/>
    <xf numFmtId="0" fontId="44" fillId="0" borderId="0" xfId="0" applyNumberFormat="1" applyFont="1" applyFill="1" applyBorder="1" applyAlignment="1"/>
    <xf numFmtId="39" fontId="44" fillId="0" borderId="0" xfId="0" applyNumberFormat="1" applyFont="1" applyFill="1" applyBorder="1"/>
    <xf numFmtId="39" fontId="44" fillId="0" borderId="0" xfId="0" applyNumberFormat="1" applyFont="1" applyFill="1" applyBorder="1" applyAlignment="1">
      <alignment horizontal="center"/>
    </xf>
    <xf numFmtId="39" fontId="44" fillId="0" borderId="0" xfId="0" applyNumberFormat="1" applyFont="1" applyFill="1" applyBorder="1" applyAlignment="1">
      <alignment horizontal="right"/>
    </xf>
    <xf numFmtId="39" fontId="44" fillId="0" borderId="0" xfId="0" quotePrefix="1" applyNumberFormat="1" applyFont="1" applyFill="1" applyBorder="1" applyAlignment="1">
      <alignment horizontal="center"/>
    </xf>
    <xf numFmtId="39" fontId="45" fillId="0" borderId="0" xfId="0" applyNumberFormat="1" applyFont="1" applyFill="1" applyBorder="1" applyAlignment="1">
      <alignment horizontal="center" vertical="top"/>
    </xf>
    <xf numFmtId="164" fontId="44" fillId="0" borderId="0" xfId="2" applyNumberFormat="1" applyFont="1" applyAlignment="1"/>
    <xf numFmtId="164" fontId="40" fillId="0" borderId="0" xfId="2" applyNumberFormat="1" applyFont="1" applyAlignment="1">
      <alignment horizontal="right"/>
    </xf>
    <xf numFmtId="164" fontId="42" fillId="0" borderId="0" xfId="2" applyNumberFormat="1" applyFont="1" applyAlignment="1"/>
    <xf numFmtId="164" fontId="46" fillId="0" borderId="0" xfId="2" applyNumberFormat="1" applyFont="1" applyAlignment="1">
      <alignment horizontal="center"/>
    </xf>
    <xf numFmtId="164" fontId="46" fillId="0" borderId="10" xfId="2" applyNumberFormat="1" applyFont="1" applyBorder="1" applyAlignment="1">
      <alignment horizontal="center"/>
    </xf>
    <xf numFmtId="180" fontId="39" fillId="0" borderId="0" xfId="740" applyNumberFormat="1" applyFont="1" applyFill="1" applyAlignment="1">
      <alignment horizontal="center"/>
    </xf>
    <xf numFmtId="43" fontId="39" fillId="0" borderId="0" xfId="0" applyNumberFormat="1" applyFont="1" applyFill="1" applyBorder="1" applyAlignment="1" applyProtection="1"/>
    <xf numFmtId="42" fontId="39" fillId="0" borderId="0" xfId="0" applyNumberFormat="1" applyFont="1" applyBorder="1" applyAlignment="1"/>
    <xf numFmtId="42" fontId="39" fillId="0" borderId="0" xfId="0" applyNumberFormat="1" applyFont="1" applyBorder="1" applyAlignment="1" applyProtection="1">
      <protection locked="0"/>
    </xf>
    <xf numFmtId="41" fontId="39" fillId="0" borderId="0" xfId="0" quotePrefix="1" applyNumberFormat="1" applyFont="1" applyBorder="1" applyAlignment="1">
      <alignment horizontal="right"/>
    </xf>
    <xf numFmtId="41" fontId="39" fillId="0" borderId="0" xfId="0" applyNumberFormat="1" applyFont="1" applyBorder="1" applyAlignment="1"/>
    <xf numFmtId="41" fontId="39" fillId="0" borderId="0" xfId="0" applyNumberFormat="1" applyFont="1" applyBorder="1" applyAlignment="1" applyProtection="1">
      <protection locked="0"/>
    </xf>
    <xf numFmtId="41" fontId="39" fillId="0" borderId="0" xfId="0" quotePrefix="1" applyNumberFormat="1" applyFont="1" applyBorder="1" applyAlignment="1">
      <alignment horizontal="center"/>
    </xf>
    <xf numFmtId="41" fontId="39" fillId="0" borderId="0" xfId="0" quotePrefix="1" applyNumberFormat="1" applyFont="1" applyBorder="1" applyAlignment="1"/>
    <xf numFmtId="41" fontId="39" fillId="0" borderId="0" xfId="0" applyNumberFormat="1" applyFont="1" applyBorder="1" applyAlignment="1">
      <alignment horizontal="center"/>
    </xf>
    <xf numFmtId="41" fontId="39" fillId="0" borderId="0" xfId="0" applyNumberFormat="1" applyFont="1" applyBorder="1" applyAlignment="1">
      <alignment horizontal="right"/>
    </xf>
    <xf numFmtId="41" fontId="39" fillId="0" borderId="0" xfId="0" applyNumberFormat="1" applyFont="1" applyBorder="1" applyAlignment="1" applyProtection="1">
      <alignment horizontal="right"/>
      <protection locked="0"/>
    </xf>
    <xf numFmtId="174" fontId="46" fillId="0" borderId="48" xfId="2" applyNumberFormat="1" applyFont="1" applyFill="1" applyBorder="1" applyAlignment="1">
      <alignment horizontal="right"/>
    </xf>
    <xf numFmtId="174" fontId="46" fillId="0" borderId="72" xfId="2" applyNumberFormat="1" applyFont="1" applyFill="1" applyBorder="1" applyAlignment="1"/>
    <xf numFmtId="0" fontId="68" fillId="0" borderId="0" xfId="836" quotePrefix="1" applyNumberFormat="1" applyFont="1" applyFill="1" applyAlignment="1"/>
    <xf numFmtId="43" fontId="44" fillId="0" borderId="0" xfId="0" applyNumberFormat="1" applyFont="1" applyFill="1"/>
    <xf numFmtId="43" fontId="44" fillId="0" borderId="0" xfId="0" applyNumberFormat="1" applyFont="1" applyFill="1" applyAlignment="1"/>
    <xf numFmtId="190" fontId="163" fillId="0" borderId="0" xfId="11" applyNumberFormat="1" applyFont="1" applyAlignment="1">
      <alignment horizontal="right"/>
    </xf>
    <xf numFmtId="0" fontId="39" fillId="0" borderId="0" xfId="17" applyNumberFormat="1" applyFont="1" applyAlignment="1"/>
    <xf numFmtId="164" fontId="39" fillId="0" borderId="0" xfId="0" applyFont="1" applyProtection="1"/>
    <xf numFmtId="4" fontId="46" fillId="0" borderId="0" xfId="1028" applyNumberFormat="1" applyFont="1" applyBorder="1" applyAlignment="1" applyProtection="1">
      <alignment horizontal="left"/>
    </xf>
    <xf numFmtId="164" fontId="99" fillId="0" borderId="0" xfId="1028" applyNumberFormat="1" applyFont="1" applyBorder="1" applyAlignment="1" applyProtection="1"/>
    <xf numFmtId="4" fontId="103" fillId="0" borderId="0" xfId="0" applyNumberFormat="1" applyFont="1" applyBorder="1" applyAlignment="1" applyProtection="1">
      <alignment horizontal="left"/>
    </xf>
    <xf numFmtId="37" fontId="103" fillId="0" borderId="0" xfId="0" applyNumberFormat="1" applyFont="1" applyBorder="1" applyAlignment="1" applyProtection="1">
      <alignment horizontal="right"/>
    </xf>
    <xf numFmtId="164" fontId="99" fillId="0" borderId="0" xfId="0" applyNumberFormat="1" applyFont="1" applyBorder="1" applyAlignment="1" applyProtection="1"/>
    <xf numFmtId="166" fontId="39" fillId="0" borderId="0" xfId="2" applyNumberFormat="1" applyFont="1" applyAlignment="1"/>
    <xf numFmtId="165" fontId="69" fillId="0" borderId="0" xfId="840" applyNumberFormat="1" applyFont="1" applyAlignment="1">
      <alignment horizontal="left"/>
    </xf>
    <xf numFmtId="0" fontId="69" fillId="0" borderId="0" xfId="840" applyNumberFormat="1" applyFont="1" applyAlignment="1">
      <alignment horizontal="left"/>
    </xf>
    <xf numFmtId="0" fontId="46" fillId="0" borderId="0" xfId="840" applyNumberFormat="1" applyFont="1" applyAlignment="1">
      <alignment horizontal="left"/>
    </xf>
    <xf numFmtId="0" fontId="39" fillId="0" borderId="0" xfId="840" applyNumberFormat="1" applyFont="1" applyFill="1" applyAlignment="1">
      <alignment horizontal="left"/>
    </xf>
    <xf numFmtId="0" fontId="39" fillId="0" borderId="0" xfId="2" applyNumberFormat="1" applyFont="1" applyAlignment="1">
      <alignment horizontal="left"/>
    </xf>
    <xf numFmtId="37" fontId="68" fillId="0" borderId="0" xfId="2" applyNumberFormat="1" applyFont="1" applyFill="1" applyAlignment="1">
      <alignment horizontal="center"/>
    </xf>
    <xf numFmtId="37" fontId="68" fillId="0" borderId="0" xfId="2" quotePrefix="1" applyNumberFormat="1" applyFont="1" applyFill="1" applyAlignment="1">
      <alignment horizontal="center"/>
    </xf>
    <xf numFmtId="165" fontId="39" fillId="0" borderId="0" xfId="2" applyNumberFormat="1" applyFont="1" applyAlignment="1" applyProtection="1">
      <protection locked="0"/>
    </xf>
    <xf numFmtId="165" fontId="39" fillId="0" borderId="0" xfId="2" applyNumberFormat="1" applyFont="1" applyFill="1" applyAlignment="1" applyProtection="1">
      <protection locked="0"/>
    </xf>
    <xf numFmtId="165" fontId="39" fillId="0" borderId="0" xfId="2" applyNumberFormat="1" applyFont="1" applyProtection="1">
      <protection locked="0"/>
    </xf>
    <xf numFmtId="165" fontId="39" fillId="0" borderId="0" xfId="17" applyNumberFormat="1" applyFont="1" applyAlignment="1" applyProtection="1">
      <protection locked="0"/>
    </xf>
    <xf numFmtId="0" fontId="46" fillId="0" borderId="0" xfId="17" applyNumberFormat="1" applyFont="1" applyAlignment="1"/>
    <xf numFmtId="170" fontId="46" fillId="0" borderId="66" xfId="2" applyNumberFormat="1" applyFont="1" applyBorder="1" applyAlignment="1"/>
    <xf numFmtId="0" fontId="54" fillId="0" borderId="0" xfId="2" applyNumberFormat="1" applyFont="1" applyAlignment="1">
      <alignment horizontal="right"/>
    </xf>
    <xf numFmtId="0" fontId="63" fillId="0" borderId="0" xfId="2" applyNumberFormat="1" applyFont="1" applyBorder="1" applyAlignment="1"/>
    <xf numFmtId="0" fontId="68" fillId="0" borderId="0" xfId="2" quotePrefix="1" applyNumberFormat="1" applyFont="1" applyBorder="1" applyAlignment="1" applyProtection="1">
      <alignment horizontal="right"/>
      <protection locked="0"/>
    </xf>
    <xf numFmtId="0" fontId="154" fillId="0" borderId="0" xfId="2" applyNumberFormat="1" applyFont="1" applyAlignment="1"/>
    <xf numFmtId="0" fontId="68" fillId="0" borderId="10" xfId="2" applyNumberFormat="1" applyFont="1" applyBorder="1" applyAlignment="1">
      <alignment horizontal="center"/>
    </xf>
    <xf numFmtId="0" fontId="68" fillId="0" borderId="10" xfId="2" quotePrefix="1" applyNumberFormat="1" applyFont="1" applyBorder="1" applyAlignment="1">
      <alignment horizontal="center"/>
    </xf>
    <xf numFmtId="174" fontId="68" fillId="0" borderId="24" xfId="2" applyNumberFormat="1" applyFont="1" applyBorder="1" applyAlignment="1" applyProtection="1">
      <protection locked="0"/>
    </xf>
    <xf numFmtId="174" fontId="68" fillId="0" borderId="21" xfId="2" applyNumberFormat="1" applyFont="1" applyBorder="1" applyAlignment="1" applyProtection="1">
      <protection locked="0"/>
    </xf>
    <xf numFmtId="174" fontId="63" fillId="0" borderId="0" xfId="2" applyNumberFormat="1" applyFont="1" applyAlignment="1"/>
    <xf numFmtId="174" fontId="63" fillId="0" borderId="0" xfId="2" applyNumberFormat="1" applyFont="1" applyAlignment="1" applyProtection="1">
      <protection locked="0"/>
    </xf>
    <xf numFmtId="0" fontId="63" fillId="0" borderId="24" xfId="2" applyFont="1" applyBorder="1" applyAlignment="1" applyProtection="1">
      <protection locked="0"/>
    </xf>
    <xf numFmtId="0" fontId="63" fillId="0" borderId="21" xfId="2" applyFont="1" applyBorder="1" applyAlignment="1" applyProtection="1">
      <protection locked="0"/>
    </xf>
    <xf numFmtId="0" fontId="63" fillId="0" borderId="0" xfId="2" applyFont="1" applyAlignment="1" applyProtection="1">
      <protection locked="0"/>
    </xf>
    <xf numFmtId="0" fontId="63" fillId="0" borderId="0" xfId="2" quotePrefix="1" applyNumberFormat="1" applyFont="1" applyAlignment="1">
      <alignment horizontal="left"/>
    </xf>
    <xf numFmtId="170" fontId="63" fillId="0" borderId="0" xfId="2" applyNumberFormat="1" applyFont="1" applyBorder="1" applyAlignment="1" applyProtection="1">
      <protection locked="0"/>
    </xf>
    <xf numFmtId="170" fontId="63" fillId="0" borderId="0" xfId="2" applyNumberFormat="1" applyFont="1" applyAlignment="1" applyProtection="1">
      <protection locked="0"/>
    </xf>
    <xf numFmtId="170" fontId="63" fillId="0" borderId="24" xfId="2" applyNumberFormat="1" applyFont="1" applyBorder="1" applyAlignment="1" applyProtection="1">
      <protection locked="0"/>
    </xf>
    <xf numFmtId="170" fontId="63" fillId="0" borderId="21" xfId="2" applyNumberFormat="1" applyFont="1" applyBorder="1" applyAlignment="1" applyProtection="1">
      <protection locked="0"/>
    </xf>
    <xf numFmtId="170" fontId="68" fillId="0" borderId="20" xfId="2" applyNumberFormat="1" applyFont="1" applyBorder="1" applyAlignment="1">
      <alignment horizontal="right"/>
    </xf>
    <xf numFmtId="170" fontId="68" fillId="0" borderId="0" xfId="2" applyNumberFormat="1" applyFont="1" applyBorder="1" applyAlignment="1">
      <alignment horizontal="right"/>
    </xf>
    <xf numFmtId="170" fontId="68" fillId="0" borderId="0" xfId="2" applyNumberFormat="1" applyFont="1" applyAlignment="1" applyProtection="1">
      <protection locked="0"/>
    </xf>
    <xf numFmtId="170" fontId="68" fillId="0" borderId="24" xfId="2" applyNumberFormat="1" applyFont="1" applyBorder="1" applyAlignment="1" applyProtection="1">
      <protection locked="0"/>
    </xf>
    <xf numFmtId="170" fontId="68" fillId="0" borderId="21" xfId="2" applyNumberFormat="1" applyFont="1" applyBorder="1" applyAlignment="1" applyProtection="1">
      <protection locked="0"/>
    </xf>
    <xf numFmtId="170" fontId="63" fillId="0" borderId="20" xfId="2" applyNumberFormat="1" applyFont="1" applyBorder="1" applyAlignment="1" applyProtection="1">
      <protection locked="0"/>
    </xf>
    <xf numFmtId="170" fontId="63" fillId="0" borderId="0" xfId="2" quotePrefix="1" applyNumberFormat="1" applyFont="1" applyBorder="1" applyAlignment="1">
      <alignment horizontal="right"/>
    </xf>
    <xf numFmtId="170" fontId="68" fillId="0" borderId="0" xfId="2" quotePrefix="1" applyNumberFormat="1" applyFont="1" applyAlignment="1">
      <alignment horizontal="right"/>
    </xf>
    <xf numFmtId="170" fontId="68" fillId="0" borderId="10" xfId="2" quotePrefix="1" applyNumberFormat="1" applyFont="1" applyBorder="1" applyAlignment="1"/>
    <xf numFmtId="170" fontId="68" fillId="0" borderId="10" xfId="2" quotePrefix="1" applyNumberFormat="1" applyFont="1" applyBorder="1" applyAlignment="1">
      <alignment horizontal="right"/>
    </xf>
    <xf numFmtId="170" fontId="68" fillId="0" borderId="20" xfId="2" applyNumberFormat="1" applyFont="1" applyBorder="1" applyAlignment="1">
      <alignment horizontal="center"/>
    </xf>
    <xf numFmtId="170" fontId="68" fillId="0" borderId="0" xfId="2" applyNumberFormat="1" applyFont="1" applyAlignment="1" applyProtection="1">
      <alignment horizontal="right"/>
      <protection locked="0"/>
    </xf>
    <xf numFmtId="170" fontId="68" fillId="0" borderId="0" xfId="2" quotePrefix="1" applyNumberFormat="1" applyFont="1" applyBorder="1" applyAlignment="1">
      <alignment horizontal="right"/>
    </xf>
    <xf numFmtId="174" fontId="68" fillId="0" borderId="20" xfId="2" applyNumberFormat="1" applyFont="1" applyBorder="1" applyAlignment="1"/>
    <xf numFmtId="174" fontId="68" fillId="0" borderId="0" xfId="2" applyNumberFormat="1" applyFont="1" applyAlignment="1" applyProtection="1">
      <protection locked="0"/>
    </xf>
    <xf numFmtId="166" fontId="63" fillId="0" borderId="36" xfId="2" applyNumberFormat="1" applyFont="1" applyBorder="1" applyAlignment="1"/>
    <xf numFmtId="166" fontId="63" fillId="0" borderId="0" xfId="2" applyNumberFormat="1" applyFont="1" applyAlignment="1"/>
    <xf numFmtId="166" fontId="63" fillId="0" borderId="0" xfId="2" applyNumberFormat="1" applyFont="1" applyBorder="1" applyAlignment="1"/>
    <xf numFmtId="170" fontId="68" fillId="0" borderId="0" xfId="2" applyNumberFormat="1" applyFont="1" applyAlignment="1" applyProtection="1">
      <alignment horizontal="right"/>
    </xf>
    <xf numFmtId="170" fontId="68" fillId="0" borderId="0" xfId="2" quotePrefix="1" applyNumberFormat="1" applyFont="1" applyAlignment="1">
      <alignment horizontal="center"/>
    </xf>
    <xf numFmtId="170" fontId="68" fillId="0" borderId="0" xfId="2" applyNumberFormat="1" applyFont="1" applyAlignment="1">
      <alignment horizontal="center"/>
    </xf>
    <xf numFmtId="170" fontId="68" fillId="0" borderId="0" xfId="2" applyNumberFormat="1" applyFont="1" applyBorder="1" applyAlignment="1">
      <alignment horizontal="center"/>
    </xf>
    <xf numFmtId="170" fontId="68" fillId="0" borderId="0" xfId="2" applyNumberFormat="1" applyFont="1" applyAlignment="1" applyProtection="1">
      <alignment horizontal="center"/>
      <protection locked="0"/>
    </xf>
    <xf numFmtId="170" fontId="68" fillId="0" borderId="20" xfId="2" quotePrefix="1" applyNumberFormat="1" applyFont="1" applyBorder="1" applyAlignment="1">
      <alignment horizontal="center"/>
    </xf>
    <xf numFmtId="170" fontId="68" fillId="0" borderId="0" xfId="2" quotePrefix="1" applyNumberFormat="1" applyFont="1" applyBorder="1" applyAlignment="1">
      <alignment horizontal="center"/>
    </xf>
    <xf numFmtId="43" fontId="45" fillId="0" borderId="0" xfId="0" applyNumberFormat="1" applyFont="1" applyFill="1"/>
    <xf numFmtId="43" fontId="44" fillId="0" borderId="0" xfId="0" applyNumberFormat="1" applyFont="1" applyFill="1" applyAlignment="1">
      <alignment horizontal="center" vertical="top"/>
    </xf>
    <xf numFmtId="43" fontId="44" fillId="0" borderId="0" xfId="0" applyNumberFormat="1" applyFont="1" applyFill="1" applyBorder="1" applyAlignment="1">
      <alignment horizontal="center"/>
    </xf>
    <xf numFmtId="43" fontId="45" fillId="0" borderId="0" xfId="0" applyNumberFormat="1" applyFont="1" applyFill="1" applyBorder="1" applyAlignment="1">
      <alignment horizontal="center" vertical="top"/>
    </xf>
    <xf numFmtId="43" fontId="44" fillId="0" borderId="0" xfId="0" applyNumberFormat="1" applyFont="1" applyFill="1" applyBorder="1"/>
    <xf numFmtId="0" fontId="0" fillId="0" borderId="0" xfId="17" applyNumberFormat="1" applyFont="1" applyBorder="1"/>
    <xf numFmtId="0" fontId="104" fillId="0" borderId="0" xfId="17" applyNumberFormat="1" applyFont="1" applyBorder="1"/>
    <xf numFmtId="0" fontId="109" fillId="0" borderId="0" xfId="17" applyNumberFormat="1" applyFont="1" applyBorder="1" applyAlignment="1" applyProtection="1">
      <protection locked="0"/>
    </xf>
    <xf numFmtId="0" fontId="109" fillId="0" borderId="0" xfId="17" applyNumberFormat="1" applyFont="1" applyBorder="1" applyAlignment="1"/>
    <xf numFmtId="0" fontId="109" fillId="0" borderId="0" xfId="17" applyNumberFormat="1" applyFont="1" applyBorder="1" applyAlignment="1">
      <alignment horizontal="center"/>
    </xf>
    <xf numFmtId="0" fontId="39" fillId="0" borderId="0" xfId="17" applyNumberFormat="1" applyFont="1" applyBorder="1" applyAlignment="1" applyProtection="1"/>
    <xf numFmtId="0" fontId="45" fillId="0" borderId="0" xfId="8" applyFont="1" applyAlignment="1">
      <alignment horizontal="right"/>
    </xf>
    <xf numFmtId="193" fontId="45" fillId="0" borderId="0" xfId="8" quotePrefix="1" applyNumberFormat="1" applyFont="1" applyAlignment="1">
      <alignment horizontal="right"/>
    </xf>
    <xf numFmtId="170" fontId="46" fillId="0" borderId="40" xfId="0" applyNumberFormat="1" applyFont="1" applyBorder="1" applyAlignment="1"/>
    <xf numFmtId="165" fontId="44" fillId="0" borderId="0" xfId="2" applyNumberFormat="1" applyFont="1" applyFill="1" applyAlignment="1"/>
    <xf numFmtId="165" fontId="39" fillId="0" borderId="0" xfId="2" applyNumberFormat="1" applyFont="1" applyFill="1" applyAlignment="1"/>
    <xf numFmtId="165" fontId="39" fillId="0" borderId="0" xfId="2" applyNumberFormat="1" applyFont="1" applyFill="1" applyAlignment="1">
      <alignment horizontal="centerContinuous"/>
    </xf>
    <xf numFmtId="0" fontId="77" fillId="0" borderId="0" xfId="2" applyNumberFormat="1" applyFont="1" applyFill="1" applyAlignment="1">
      <alignment horizontal="left"/>
    </xf>
    <xf numFmtId="166" fontId="39" fillId="0" borderId="0" xfId="2" applyNumberFormat="1" applyFont="1" applyFill="1" applyAlignment="1"/>
    <xf numFmtId="0" fontId="39" fillId="0" borderId="0" xfId="2" applyNumberFormat="1" applyFont="1" applyFill="1" applyAlignment="1">
      <alignment horizontal="left"/>
    </xf>
    <xf numFmtId="174" fontId="39" fillId="0" borderId="0" xfId="2" applyNumberFormat="1" applyFont="1" applyFill="1" applyAlignment="1">
      <alignment horizontal="right"/>
    </xf>
    <xf numFmtId="174" fontId="39" fillId="0" borderId="0" xfId="2" applyNumberFormat="1" applyFont="1" applyFill="1" applyAlignment="1"/>
    <xf numFmtId="170" fontId="39" fillId="0" borderId="0" xfId="2" applyNumberFormat="1" applyFont="1" applyFill="1" applyAlignment="1"/>
    <xf numFmtId="170" fontId="39" fillId="0" borderId="0" xfId="2" applyNumberFormat="1" applyFont="1" applyAlignment="1">
      <alignment horizontal="center"/>
    </xf>
    <xf numFmtId="170" fontId="41" fillId="0" borderId="66" xfId="2" applyNumberFormat="1" applyFont="1" applyBorder="1"/>
    <xf numFmtId="177" fontId="68" fillId="0" borderId="66" xfId="836" applyNumberFormat="1" applyFont="1" applyFill="1" applyBorder="1" applyAlignment="1">
      <alignment horizontal="right"/>
    </xf>
    <xf numFmtId="170" fontId="81" fillId="0" borderId="66" xfId="2" applyNumberFormat="1" applyFont="1" applyBorder="1" applyAlignment="1">
      <alignment horizontal="right"/>
    </xf>
    <xf numFmtId="164" fontId="46" fillId="0" borderId="66" xfId="2" applyNumberFormat="1" applyFont="1" applyBorder="1"/>
    <xf numFmtId="174" fontId="81" fillId="0" borderId="17" xfId="2" applyNumberFormat="1" applyFont="1" applyBorder="1" applyAlignment="1"/>
    <xf numFmtId="180" fontId="0" fillId="0" borderId="0" xfId="17" applyNumberFormat="1" applyFont="1"/>
    <xf numFmtId="164" fontId="41" fillId="0" borderId="66" xfId="0" applyNumberFormat="1" applyFont="1" applyBorder="1" applyAlignment="1" applyProtection="1">
      <protection locked="0"/>
    </xf>
    <xf numFmtId="166" fontId="46" fillId="0" borderId="10" xfId="0" quotePrefix="1" applyNumberFormat="1" applyFont="1" applyBorder="1" applyAlignment="1" applyProtection="1">
      <alignment horizontal="center"/>
    </xf>
    <xf numFmtId="17" fontId="46" fillId="0" borderId="66" xfId="2" quotePrefix="1" applyNumberFormat="1" applyFont="1" applyFill="1" applyBorder="1" applyAlignment="1">
      <alignment horizontal="center"/>
    </xf>
    <xf numFmtId="179" fontId="68" fillId="0" borderId="0" xfId="836" quotePrefix="1" applyNumberFormat="1" applyFont="1" applyFill="1" applyAlignment="1">
      <alignment horizontal="center"/>
    </xf>
    <xf numFmtId="0" fontId="166" fillId="0" borderId="0" xfId="2" applyFont="1"/>
    <xf numFmtId="0" fontId="81" fillId="0" borderId="0" xfId="2" quotePrefix="1" applyNumberFormat="1" applyFont="1" applyAlignment="1">
      <alignment horizontal="center"/>
    </xf>
    <xf numFmtId="0" fontId="46" fillId="0" borderId="0" xfId="840" quotePrefix="1" applyNumberFormat="1" applyFont="1" applyAlignment="1">
      <alignment horizontal="center"/>
    </xf>
    <xf numFmtId="164" fontId="39"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0" fontId="168" fillId="0" borderId="0" xfId="0" applyNumberFormat="1" applyFont="1" applyBorder="1"/>
    <xf numFmtId="0" fontId="168" fillId="0" borderId="0" xfId="0" applyNumberFormat="1" applyFont="1" applyAlignment="1"/>
    <xf numFmtId="0" fontId="44" fillId="0" borderId="0" xfId="0" applyNumberFormat="1" applyFont="1"/>
    <xf numFmtId="0" fontId="44" fillId="0" borderId="0" xfId="0" applyNumberFormat="1" applyFont="1" applyFill="1" applyAlignment="1">
      <alignment horizontal="left" vertical="top" wrapText="1"/>
    </xf>
    <xf numFmtId="165" fontId="39" fillId="0" borderId="0" xfId="2" applyNumberFormat="1" applyFont="1" applyAlignment="1"/>
    <xf numFmtId="0" fontId="46" fillId="0" borderId="0" xfId="2" applyNumberFormat="1" applyFont="1" applyAlignment="1">
      <alignment horizontal="right"/>
    </xf>
    <xf numFmtId="170" fontId="46" fillId="0" borderId="0" xfId="2" applyNumberFormat="1" applyFont="1" applyAlignment="1"/>
    <xf numFmtId="165" fontId="39" fillId="34" borderId="0" xfId="5458" applyNumberFormat="1" applyFont="1" applyFill="1" applyAlignment="1" applyProtection="1">
      <protection locked="0"/>
    </xf>
    <xf numFmtId="37" fontId="39" fillId="0" borderId="0" xfId="2" applyNumberFormat="1" applyFont="1" applyBorder="1" applyAlignment="1"/>
    <xf numFmtId="37" fontId="39" fillId="0" borderId="0" xfId="2" applyNumberFormat="1" applyFont="1" applyAlignment="1">
      <alignment horizontal="right"/>
    </xf>
    <xf numFmtId="169" fontId="39" fillId="0" borderId="0" xfId="2" applyNumberFormat="1" applyFont="1" applyAlignment="1"/>
    <xf numFmtId="37" fontId="39" fillId="0" borderId="0" xfId="2" quotePrefix="1" applyNumberFormat="1" applyFont="1" applyAlignment="1">
      <alignment horizontal="center"/>
    </xf>
    <xf numFmtId="170" fontId="39" fillId="0" borderId="66" xfId="2" applyNumberFormat="1" applyFont="1" applyBorder="1" applyAlignment="1">
      <alignment horizontal="right"/>
    </xf>
    <xf numFmtId="170" fontId="39" fillId="0" borderId="66" xfId="2" applyNumberFormat="1" applyFont="1" applyBorder="1" applyAlignment="1"/>
    <xf numFmtId="166" fontId="39" fillId="0" borderId="0" xfId="2" applyNumberFormat="1" applyFont="1" applyBorder="1" applyAlignment="1">
      <alignment horizontal="right"/>
    </xf>
    <xf numFmtId="0" fontId="39" fillId="0" borderId="0" xfId="2" applyFont="1"/>
    <xf numFmtId="170" fontId="39" fillId="0" borderId="0" xfId="2" applyNumberFormat="1" applyFont="1"/>
    <xf numFmtId="166" fontId="39" fillId="0" borderId="0" xfId="2" applyNumberFormat="1" applyFont="1" applyBorder="1"/>
    <xf numFmtId="3" fontId="39" fillId="0" borderId="0" xfId="2" applyNumberFormat="1" applyFont="1" applyAlignment="1"/>
    <xf numFmtId="37" fontId="39" fillId="0" borderId="0" xfId="2" applyNumberFormat="1" applyFont="1"/>
    <xf numFmtId="0" fontId="39" fillId="0" borderId="0" xfId="5458" applyNumberFormat="1" applyFont="1" applyFill="1" applyAlignment="1">
      <alignment horizontal="left"/>
    </xf>
    <xf numFmtId="165" fontId="39" fillId="0" borderId="0" xfId="5458" applyNumberFormat="1" applyFont="1" applyAlignment="1" applyProtection="1">
      <protection locked="0"/>
    </xf>
    <xf numFmtId="37" fontId="46" fillId="0" borderId="73" xfId="2" applyNumberFormat="1" applyFont="1" applyBorder="1" applyAlignment="1">
      <alignment horizontal="center"/>
    </xf>
    <xf numFmtId="37" fontId="44" fillId="0" borderId="73" xfId="2" applyNumberFormat="1" applyFont="1" applyBorder="1" applyAlignment="1"/>
    <xf numFmtId="37" fontId="39" fillId="0" borderId="73" xfId="2" applyNumberFormat="1" applyFont="1" applyBorder="1" applyAlignment="1"/>
    <xf numFmtId="174" fontId="39" fillId="0" borderId="0" xfId="2" quotePrefix="1" applyNumberFormat="1" applyFont="1" applyAlignment="1">
      <alignment horizontal="right"/>
    </xf>
    <xf numFmtId="170" fontId="39" fillId="0" borderId="0" xfId="1773" applyNumberFormat="1" applyFont="1" applyAlignment="1"/>
    <xf numFmtId="170" fontId="39" fillId="0" borderId="0" xfId="2" applyNumberFormat="1" applyFont="1" applyBorder="1" applyAlignment="1"/>
    <xf numFmtId="170" fontId="39" fillId="0" borderId="0" xfId="2" applyNumberFormat="1" applyFont="1" applyBorder="1" applyAlignment="1">
      <alignment horizontal="right"/>
    </xf>
    <xf numFmtId="37" fontId="39" fillId="0" borderId="0" xfId="2" applyNumberFormat="1" applyFont="1" applyBorder="1" applyAlignment="1">
      <alignment horizontal="right"/>
    </xf>
    <xf numFmtId="170" fontId="39" fillId="0" borderId="0" xfId="2" quotePrefix="1" applyNumberFormat="1" applyFont="1" applyBorder="1" applyAlignment="1">
      <alignment horizontal="center"/>
    </xf>
    <xf numFmtId="37" fontId="39" fillId="0" borderId="0" xfId="2" quotePrefix="1" applyNumberFormat="1" applyFont="1" applyBorder="1" applyAlignment="1">
      <alignment horizontal="center"/>
    </xf>
    <xf numFmtId="37" fontId="39" fillId="0" borderId="0" xfId="2" applyNumberFormat="1" applyFont="1" applyBorder="1" applyAlignment="1">
      <alignment horizontal="center"/>
    </xf>
    <xf numFmtId="174" fontId="39" fillId="0" borderId="0" xfId="2" applyNumberFormat="1" applyFont="1"/>
    <xf numFmtId="0" fontId="39" fillId="0" borderId="0" xfId="2" applyFont="1" applyAlignment="1">
      <alignment horizontal="left"/>
    </xf>
    <xf numFmtId="37" fontId="39" fillId="0" borderId="0" xfId="2" applyNumberFormat="1" applyFont="1" applyFill="1"/>
    <xf numFmtId="174" fontId="39" fillId="0" borderId="73" xfId="2" applyNumberFormat="1" applyFont="1" applyBorder="1" applyAlignment="1"/>
    <xf numFmtId="174" fontId="39" fillId="0" borderId="0" xfId="2" quotePrefix="1" applyNumberFormat="1" applyFont="1" applyAlignment="1"/>
    <xf numFmtId="170" fontId="39" fillId="0" borderId="73" xfId="2" applyNumberFormat="1" applyFont="1" applyBorder="1" applyAlignment="1"/>
    <xf numFmtId="170" fontId="39" fillId="0" borderId="73" xfId="2" applyNumberFormat="1" applyFont="1" applyBorder="1" applyAlignment="1">
      <alignment horizontal="center"/>
    </xf>
    <xf numFmtId="170" fontId="46" fillId="0" borderId="73" xfId="2" applyNumberFormat="1" applyFont="1" applyBorder="1" applyAlignment="1"/>
    <xf numFmtId="174" fontId="46" fillId="0" borderId="73" xfId="2" applyNumberFormat="1" applyFont="1" applyBorder="1" applyAlignment="1"/>
    <xf numFmtId="166" fontId="39" fillId="0" borderId="0" xfId="2" applyNumberFormat="1" applyFont="1"/>
    <xf numFmtId="37" fontId="39" fillId="0" borderId="0" xfId="2" applyNumberFormat="1" applyFont="1" applyAlignment="1">
      <alignment horizontal="center"/>
    </xf>
    <xf numFmtId="166" fontId="61" fillId="0" borderId="28" xfId="2" applyNumberFormat="1" applyFont="1" applyBorder="1" applyAlignment="1"/>
    <xf numFmtId="170" fontId="61" fillId="0" borderId="28" xfId="2" applyNumberFormat="1" applyFont="1" applyBorder="1" applyAlignment="1"/>
    <xf numFmtId="0" fontId="46" fillId="0" borderId="0" xfId="2" applyNumberFormat="1" applyFont="1" applyAlignment="1">
      <alignment horizontal="right"/>
    </xf>
    <xf numFmtId="0" fontId="46"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6" fillId="0" borderId="0" xfId="2" applyNumberFormat="1" applyFont="1" applyFill="1" applyBorder="1" applyAlignment="1"/>
    <xf numFmtId="37" fontId="46"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9" fillId="0" borderId="0" xfId="2" applyNumberFormat="1" applyFont="1" applyBorder="1" applyAlignment="1">
      <alignment horizontal="right"/>
    </xf>
    <xf numFmtId="174" fontId="39" fillId="0" borderId="0" xfId="2" quotePrefix="1" applyNumberFormat="1" applyFont="1" applyBorder="1" applyAlignment="1">
      <alignment horizontal="right"/>
    </xf>
    <xf numFmtId="174" fontId="39" fillId="0" borderId="0" xfId="2" applyNumberFormat="1" applyFont="1" applyBorder="1" applyAlignment="1"/>
    <xf numFmtId="170" fontId="39" fillId="0" borderId="0" xfId="1773" applyNumberFormat="1" applyFont="1" applyBorder="1" applyAlignment="1"/>
    <xf numFmtId="170" fontId="39" fillId="0" borderId="0" xfId="1773" quotePrefix="1" applyNumberFormat="1" applyFont="1" applyBorder="1" applyAlignment="1">
      <alignment horizontal="right"/>
    </xf>
    <xf numFmtId="170" fontId="39" fillId="0" borderId="0" xfId="2" quotePrefix="1" applyNumberFormat="1" applyFont="1" applyBorder="1" applyAlignment="1">
      <alignment horizontal="right"/>
    </xf>
    <xf numFmtId="174" fontId="46" fillId="0" borderId="0" xfId="2" applyNumberFormat="1" applyFont="1" applyBorder="1" applyAlignment="1">
      <alignment horizontal="right"/>
    </xf>
    <xf numFmtId="174" fontId="39" fillId="0" borderId="0" xfId="2" applyNumberFormat="1" applyFont="1" applyBorder="1"/>
    <xf numFmtId="170" fontId="41" fillId="0" borderId="75" xfId="2" applyNumberFormat="1" applyFont="1" applyBorder="1" applyAlignment="1">
      <alignment horizontal="center"/>
    </xf>
    <xf numFmtId="0" fontId="46" fillId="0" borderId="0" xfId="2" applyNumberFormat="1" applyFont="1" applyAlignment="1">
      <alignment horizontal="left"/>
    </xf>
    <xf numFmtId="0" fontId="46" fillId="0" borderId="0" xfId="2" applyNumberFormat="1" applyFont="1" applyFill="1" applyAlignment="1">
      <alignment horizontal="right"/>
    </xf>
    <xf numFmtId="37" fontId="132" fillId="0" borderId="0" xfId="2" applyNumberFormat="1" applyFont="1" applyBorder="1" applyAlignment="1"/>
    <xf numFmtId="37" fontId="46" fillId="0" borderId="75" xfId="2" applyNumberFormat="1" applyFont="1" applyBorder="1" applyAlignment="1">
      <alignment horizontal="center"/>
    </xf>
    <xf numFmtId="170" fontId="46" fillId="0" borderId="0" xfId="2" quotePrefix="1" applyNumberFormat="1" applyFont="1" applyBorder="1" applyAlignment="1"/>
    <xf numFmtId="166" fontId="67" fillId="0" borderId="0" xfId="2" applyNumberFormat="1" applyFont="1" applyBorder="1" applyAlignment="1"/>
    <xf numFmtId="0" fontId="41" fillId="0" borderId="15" xfId="2" applyNumberFormat="1" applyFont="1" applyBorder="1" applyAlignment="1"/>
    <xf numFmtId="0" fontId="46" fillId="0" borderId="15" xfId="2" applyNumberFormat="1" applyFont="1" applyBorder="1" applyAlignment="1">
      <alignment horizontal="center"/>
    </xf>
    <xf numFmtId="0" fontId="46" fillId="0" borderId="15" xfId="2" quotePrefix="1" applyNumberFormat="1" applyFont="1" applyBorder="1" applyAlignment="1">
      <alignment horizontal="center"/>
    </xf>
    <xf numFmtId="0" fontId="41" fillId="0" borderId="15" xfId="2" applyFont="1" applyBorder="1" applyAlignment="1"/>
    <xf numFmtId="170" fontId="46" fillId="0" borderId="15" xfId="2" quotePrefix="1" applyNumberFormat="1" applyFont="1" applyBorder="1" applyAlignment="1"/>
    <xf numFmtId="170" fontId="46" fillId="0" borderId="15" xfId="2" applyNumberFormat="1" applyFont="1" applyBorder="1" applyAlignment="1">
      <alignment vertical="center"/>
    </xf>
    <xf numFmtId="166" fontId="46" fillId="0" borderId="15" xfId="2" applyNumberFormat="1" applyFont="1" applyFill="1" applyBorder="1" applyAlignment="1"/>
    <xf numFmtId="0" fontId="46" fillId="0" borderId="15" xfId="2" applyFont="1" applyFill="1" applyBorder="1" applyAlignment="1"/>
    <xf numFmtId="165" fontId="39" fillId="0" borderId="0" xfId="2" applyNumberFormat="1" applyFont="1" applyFill="1" applyBorder="1" applyAlignment="1"/>
    <xf numFmtId="0" fontId="39" fillId="0" borderId="0" xfId="2" applyFont="1" applyFill="1"/>
    <xf numFmtId="0" fontId="39" fillId="0" borderId="0" xfId="2" applyNumberFormat="1" applyFont="1" applyFill="1" applyAlignment="1"/>
    <xf numFmtId="165" fontId="39" fillId="0" borderId="0" xfId="2" applyNumberFormat="1" applyFont="1" applyFill="1" applyBorder="1" applyAlignment="1" applyProtection="1">
      <protection locked="0"/>
    </xf>
    <xf numFmtId="0" fontId="39" fillId="0" borderId="0" xfId="2" applyNumberFormat="1" applyFont="1" applyFill="1" applyBorder="1" applyAlignment="1"/>
    <xf numFmtId="0" fontId="39" fillId="0" borderId="0" xfId="2" applyNumberFormat="1" applyFont="1" applyFill="1" applyAlignment="1">
      <alignment horizontal="centerContinuous"/>
    </xf>
    <xf numFmtId="165" fontId="39" fillId="0" borderId="0" xfId="2" applyNumberFormat="1" applyFont="1" applyFill="1" applyBorder="1" applyAlignment="1" applyProtection="1">
      <alignment horizontal="center"/>
      <protection locked="0"/>
    </xf>
    <xf numFmtId="0" fontId="39" fillId="0" borderId="20" xfId="2" applyNumberFormat="1" applyFont="1" applyFill="1" applyBorder="1" applyAlignment="1"/>
    <xf numFmtId="165" fontId="39" fillId="0" borderId="20" xfId="2" applyNumberFormat="1" applyFont="1" applyFill="1" applyBorder="1" applyAlignment="1"/>
    <xf numFmtId="165" fontId="39" fillId="0" borderId="15" xfId="2" applyNumberFormat="1" applyFont="1" applyFill="1" applyBorder="1" applyAlignment="1" applyProtection="1">
      <protection locked="0"/>
    </xf>
    <xf numFmtId="165" fontId="39" fillId="0" borderId="0" xfId="2" applyNumberFormat="1" applyFont="1" applyBorder="1" applyAlignment="1" applyProtection="1">
      <protection locked="0"/>
    </xf>
    <xf numFmtId="165" fontId="39" fillId="0" borderId="37" xfId="2" applyNumberFormat="1" applyFont="1" applyFill="1" applyBorder="1" applyAlignment="1"/>
    <xf numFmtId="0" fontId="39" fillId="0" borderId="23" xfId="2" applyNumberFormat="1" applyFont="1" applyFill="1" applyBorder="1" applyAlignment="1"/>
    <xf numFmtId="0" fontId="39" fillId="0" borderId="37" xfId="2" applyNumberFormat="1" applyFont="1" applyFill="1" applyBorder="1" applyAlignment="1"/>
    <xf numFmtId="0" fontId="39" fillId="0" borderId="15" xfId="2" applyNumberFormat="1" applyFont="1" applyFill="1" applyBorder="1" applyAlignment="1"/>
    <xf numFmtId="0" fontId="39" fillId="0" borderId="0" xfId="2" applyFont="1" applyFill="1" applyAlignment="1"/>
    <xf numFmtId="0" fontId="39" fillId="0" borderId="0" xfId="2" applyFont="1" applyFill="1" applyBorder="1" applyAlignment="1"/>
    <xf numFmtId="0" fontId="39" fillId="0" borderId="13" xfId="2" applyFont="1" applyFill="1" applyBorder="1" applyAlignment="1"/>
    <xf numFmtId="0" fontId="39" fillId="0" borderId="28" xfId="2" applyFont="1" applyFill="1" applyBorder="1" applyAlignment="1"/>
    <xf numFmtId="0" fontId="39" fillId="0" borderId="15" xfId="2" applyFont="1" applyFill="1" applyBorder="1" applyAlignment="1"/>
    <xf numFmtId="174" fontId="39" fillId="0" borderId="0" xfId="2" quotePrefix="1" applyNumberFormat="1" applyFont="1" applyFill="1" applyAlignment="1">
      <alignment horizontal="right"/>
    </xf>
    <xf numFmtId="174" fontId="39" fillId="0" borderId="10" xfId="2" applyNumberFormat="1" applyFont="1" applyFill="1" applyBorder="1" applyAlignment="1"/>
    <xf numFmtId="174" fontId="39" fillId="0" borderId="13" xfId="2" applyNumberFormat="1" applyFont="1" applyFill="1" applyBorder="1" applyAlignment="1">
      <alignment horizontal="right"/>
    </xf>
    <xf numFmtId="174" fontId="39" fillId="0" borderId="0" xfId="2" applyNumberFormat="1" applyFont="1" applyFill="1" applyBorder="1" applyAlignment="1"/>
    <xf numFmtId="174" fontId="39" fillId="0" borderId="28" xfId="2" applyNumberFormat="1" applyFont="1" applyFill="1" applyBorder="1" applyAlignment="1">
      <alignment horizontal="right"/>
    </xf>
    <xf numFmtId="169" fontId="39" fillId="0" borderId="0" xfId="2" applyNumberFormat="1" applyFont="1" applyFill="1" applyAlignment="1"/>
    <xf numFmtId="169" fontId="39" fillId="0" borderId="15" xfId="2" applyNumberFormat="1" applyFont="1" applyFill="1" applyBorder="1" applyAlignment="1"/>
    <xf numFmtId="169" fontId="39" fillId="0" borderId="0" xfId="2" applyNumberFormat="1" applyFont="1" applyFill="1" applyBorder="1" applyAlignment="1"/>
    <xf numFmtId="168" fontId="39" fillId="0" borderId="0" xfId="2" applyNumberFormat="1" applyFont="1" applyFill="1" applyAlignment="1" applyProtection="1">
      <protection locked="0"/>
    </xf>
    <xf numFmtId="168" fontId="39" fillId="0" borderId="0" xfId="2" applyNumberFormat="1" applyFont="1" applyFill="1" applyAlignment="1"/>
    <xf numFmtId="166" fontId="39" fillId="0" borderId="15" xfId="2" applyNumberFormat="1" applyFont="1" applyFill="1" applyBorder="1" applyAlignment="1"/>
    <xf numFmtId="170" fontId="39" fillId="0" borderId="38" xfId="2" applyNumberFormat="1" applyFont="1" applyFill="1" applyBorder="1" applyAlignment="1"/>
    <xf numFmtId="170" fontId="39" fillId="0" borderId="0" xfId="2" applyNumberFormat="1" applyFont="1" applyFill="1" applyBorder="1" applyAlignment="1"/>
    <xf numFmtId="170" fontId="39" fillId="0" borderId="28" xfId="2" applyNumberFormat="1" applyFont="1" applyFill="1" applyBorder="1" applyAlignment="1"/>
    <xf numFmtId="170" fontId="39" fillId="0" borderId="13" xfId="2" applyNumberFormat="1" applyFont="1" applyFill="1" applyBorder="1" applyAlignment="1"/>
    <xf numFmtId="170" fontId="39" fillId="0" borderId="0" xfId="2" quotePrefix="1" applyNumberFormat="1" applyFont="1" applyFill="1" applyBorder="1" applyAlignment="1">
      <alignment horizontal="center"/>
    </xf>
    <xf numFmtId="170" fontId="39" fillId="0" borderId="13" xfId="2" quotePrefix="1" applyNumberFormat="1" applyFont="1" applyFill="1" applyBorder="1" applyAlignment="1">
      <alignment horizontal="right"/>
    </xf>
    <xf numFmtId="170" fontId="39" fillId="0" borderId="28" xfId="2" applyNumberFormat="1" applyFont="1" applyFill="1" applyBorder="1" applyAlignment="1">
      <alignment horizontal="right"/>
    </xf>
    <xf numFmtId="170" fontId="39" fillId="0" borderId="13" xfId="2" applyNumberFormat="1" applyFont="1" applyFill="1" applyBorder="1" applyAlignment="1">
      <alignment horizontal="right"/>
    </xf>
    <xf numFmtId="170" fontId="39" fillId="0" borderId="0" xfId="2" applyNumberFormat="1" applyFont="1" applyFill="1" applyBorder="1" applyAlignment="1">
      <alignment horizontal="right"/>
    </xf>
    <xf numFmtId="170" fontId="39" fillId="0" borderId="0" xfId="2" quotePrefix="1" applyNumberFormat="1" applyFont="1" applyFill="1" applyBorder="1" applyAlignment="1">
      <alignment horizontal="right"/>
    </xf>
    <xf numFmtId="170" fontId="39" fillId="0" borderId="12" xfId="2" quotePrefix="1" applyNumberFormat="1" applyFont="1" applyFill="1" applyBorder="1" applyAlignment="1"/>
    <xf numFmtId="170" fontId="39" fillId="0" borderId="71" xfId="2" applyNumberFormat="1" applyFont="1" applyFill="1" applyBorder="1" applyAlignment="1">
      <alignment horizontal="right"/>
    </xf>
    <xf numFmtId="170" fontId="39" fillId="0" borderId="13" xfId="2" quotePrefix="1" applyNumberFormat="1" applyFont="1" applyFill="1" applyBorder="1" applyAlignment="1">
      <alignment horizontal="center"/>
    </xf>
    <xf numFmtId="170" fontId="39" fillId="0" borderId="28" xfId="2" quotePrefix="1" applyNumberFormat="1" applyFont="1" applyFill="1" applyBorder="1" applyAlignment="1">
      <alignment horizontal="right"/>
    </xf>
    <xf numFmtId="0" fontId="39" fillId="0" borderId="15" xfId="2" quotePrefix="1" applyFont="1" applyFill="1" applyBorder="1" applyAlignment="1"/>
    <xf numFmtId="170" fontId="39" fillId="0" borderId="10" xfId="2" quotePrefix="1" applyNumberFormat="1" applyFont="1" applyFill="1" applyBorder="1" applyAlignment="1">
      <alignment horizontal="center"/>
    </xf>
    <xf numFmtId="170" fontId="39" fillId="0" borderId="71" xfId="2" quotePrefix="1" applyNumberFormat="1" applyFont="1" applyFill="1" applyBorder="1" applyAlignment="1">
      <alignment horizontal="right"/>
    </xf>
    <xf numFmtId="0" fontId="39" fillId="0" borderId="15" xfId="2" quotePrefix="1" applyFont="1" applyFill="1" applyBorder="1" applyAlignment="1">
      <alignment horizontal="center"/>
    </xf>
    <xf numFmtId="0" fontId="39" fillId="0" borderId="15" xfId="2" quotePrefix="1" applyFont="1" applyFill="1" applyBorder="1" applyAlignment="1">
      <alignment horizontal="right"/>
    </xf>
    <xf numFmtId="170" fontId="39" fillId="0" borderId="20" xfId="2" applyNumberFormat="1" applyFont="1" applyFill="1" applyBorder="1" applyAlignment="1"/>
    <xf numFmtId="170" fontId="39" fillId="0" borderId="37" xfId="2" applyNumberFormat="1" applyFont="1" applyFill="1" applyBorder="1" applyAlignment="1"/>
    <xf numFmtId="170" fontId="39" fillId="0" borderId="0" xfId="2" applyNumberFormat="1" applyFont="1" applyFill="1" applyAlignment="1">
      <alignment horizontal="center"/>
    </xf>
    <xf numFmtId="165" fontId="46" fillId="0" borderId="0" xfId="2" applyNumberFormat="1" applyFont="1" applyFill="1" applyAlignment="1" applyProtection="1">
      <protection locked="0"/>
    </xf>
    <xf numFmtId="169" fontId="39" fillId="0" borderId="36" xfId="2" applyNumberFormat="1" applyFont="1" applyFill="1" applyBorder="1" applyAlignment="1"/>
    <xf numFmtId="168" fontId="39" fillId="0" borderId="0" xfId="2" applyNumberFormat="1" applyFont="1" applyFill="1" applyBorder="1" applyAlignment="1" applyProtection="1">
      <protection locked="0"/>
    </xf>
    <xf numFmtId="170" fontId="39" fillId="0" borderId="0" xfId="2" applyNumberFormat="1" applyFont="1" applyFill="1" applyAlignment="1" applyProtection="1">
      <protection locked="0"/>
    </xf>
    <xf numFmtId="170" fontId="46" fillId="0" borderId="16" xfId="2" applyNumberFormat="1" applyFont="1" applyFill="1" applyBorder="1" applyAlignment="1" applyProtection="1">
      <protection locked="0"/>
    </xf>
    <xf numFmtId="164" fontId="46" fillId="0" borderId="16" xfId="2" applyNumberFormat="1" applyFont="1" applyBorder="1" applyAlignment="1" applyProtection="1">
      <protection locked="0"/>
    </xf>
    <xf numFmtId="0" fontId="39" fillId="0" borderId="0" xfId="2" quotePrefix="1" applyNumberFormat="1" applyFont="1" applyAlignment="1">
      <alignment horizontal="left"/>
    </xf>
    <xf numFmtId="0" fontId="41" fillId="0" borderId="75" xfId="4" applyFont="1" applyFill="1" applyBorder="1"/>
    <xf numFmtId="166" fontId="41" fillId="0" borderId="75" xfId="4" applyNumberFormat="1" applyFont="1" applyFill="1" applyBorder="1"/>
    <xf numFmtId="170" fontId="46" fillId="0" borderId="16" xfId="5" applyNumberFormat="1" applyFont="1" applyFill="1" applyBorder="1"/>
    <xf numFmtId="170" fontId="46" fillId="0" borderId="0" xfId="4" applyNumberFormat="1" applyFont="1" applyFill="1" applyBorder="1"/>
    <xf numFmtId="170" fontId="46" fillId="0" borderId="0" xfId="5" applyNumberFormat="1" applyFont="1" applyFill="1" applyBorder="1"/>
    <xf numFmtId="0" fontId="46" fillId="0" borderId="66" xfId="2" applyNumberFormat="1" applyFont="1" applyBorder="1" applyAlignment="1">
      <alignment horizontal="center"/>
    </xf>
    <xf numFmtId="165" fontId="41" fillId="0" borderId="0" xfId="2" applyNumberFormat="1" applyFont="1" applyBorder="1"/>
    <xf numFmtId="165" fontId="41" fillId="0" borderId="28" xfId="2" applyNumberFormat="1" applyFont="1" applyBorder="1" applyAlignment="1"/>
    <xf numFmtId="165" fontId="44" fillId="0" borderId="0" xfId="2" applyNumberFormat="1" applyFont="1" applyBorder="1"/>
    <xf numFmtId="165" fontId="45" fillId="0" borderId="0" xfId="2" applyNumberFormat="1" applyFont="1" applyBorder="1" applyAlignment="1"/>
    <xf numFmtId="165" fontId="44" fillId="0" borderId="0" xfId="2" applyNumberFormat="1" applyFont="1" applyBorder="1" applyAlignment="1"/>
    <xf numFmtId="165" fontId="46" fillId="0" borderId="66" xfId="2" applyNumberFormat="1" applyFont="1" applyBorder="1" applyAlignment="1">
      <alignment horizontal="center"/>
    </xf>
    <xf numFmtId="166" fontId="41" fillId="0" borderId="75" xfId="2" applyNumberFormat="1" applyFont="1" applyBorder="1" applyAlignment="1"/>
    <xf numFmtId="170" fontId="46" fillId="0" borderId="0" xfId="2" quotePrefix="1" applyNumberFormat="1" applyFont="1" applyAlignment="1"/>
    <xf numFmtId="166" fontId="46" fillId="0" borderId="0" xfId="2" applyNumberFormat="1" applyFont="1" applyBorder="1"/>
    <xf numFmtId="164" fontId="46" fillId="0" borderId="45" xfId="2" applyNumberFormat="1" applyFont="1" applyBorder="1"/>
    <xf numFmtId="0" fontId="49" fillId="0" borderId="0" xfId="2" applyNumberFormat="1" applyFont="1" applyAlignment="1"/>
    <xf numFmtId="170" fontId="86" fillId="0" borderId="0" xfId="2" applyNumberFormat="1" applyFont="1" applyAlignment="1"/>
    <xf numFmtId="0" fontId="42" fillId="0" borderId="0" xfId="2" applyNumberFormat="1" applyFont="1" applyFill="1" applyAlignment="1"/>
    <xf numFmtId="166" fontId="41" fillId="0" borderId="21" xfId="2" applyNumberFormat="1" applyFont="1" applyFill="1" applyBorder="1" applyAlignment="1"/>
    <xf numFmtId="170" fontId="41" fillId="0" borderId="18" xfId="2" applyNumberFormat="1" applyFont="1" applyFill="1" applyBorder="1" applyAlignment="1"/>
    <xf numFmtId="170" fontId="41" fillId="0" borderId="47" xfId="2" applyNumberFormat="1" applyFont="1" applyFill="1" applyBorder="1" applyAlignment="1"/>
    <xf numFmtId="170" fontId="46" fillId="0" borderId="45" xfId="2" applyNumberFormat="1" applyFont="1" applyFill="1" applyBorder="1" applyAlignment="1">
      <alignment horizontal="right"/>
    </xf>
    <xf numFmtId="166" fontId="61" fillId="0" borderId="0" xfId="2" applyNumberFormat="1" applyFont="1" applyBorder="1" applyAlignment="1"/>
    <xf numFmtId="165" fontId="39" fillId="0" borderId="0" xfId="0" applyNumberFormat="1" applyFont="1" applyAlignment="1">
      <alignment horizontal="left"/>
    </xf>
    <xf numFmtId="165" fontId="0" fillId="0" borderId="0" xfId="2" applyNumberFormat="1" applyFont="1" applyFill="1" applyAlignment="1"/>
    <xf numFmtId="0" fontId="46" fillId="0" borderId="0" xfId="2" applyFont="1" applyFill="1" applyAlignment="1"/>
    <xf numFmtId="164" fontId="46" fillId="0" borderId="45" xfId="2" applyNumberFormat="1" applyFont="1" applyBorder="1" applyAlignment="1" applyProtection="1">
      <protection locked="0"/>
    </xf>
    <xf numFmtId="170" fontId="41" fillId="0" borderId="0" xfId="2" quotePrefix="1" applyNumberFormat="1" applyFont="1" applyFill="1" applyAlignment="1"/>
    <xf numFmtId="170" fontId="41" fillId="0" borderId="13" xfId="2" applyNumberFormat="1" applyFont="1" applyFill="1" applyBorder="1" applyAlignment="1"/>
    <xf numFmtId="170" fontId="46"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41" fillId="0" borderId="75" xfId="2" applyNumberFormat="1" applyFont="1" applyFill="1" applyBorder="1" applyAlignment="1"/>
    <xf numFmtId="170" fontId="46" fillId="0" borderId="13" xfId="2" applyNumberFormat="1" applyFont="1" applyFill="1" applyBorder="1" applyAlignment="1"/>
    <xf numFmtId="170" fontId="44" fillId="0" borderId="0" xfId="2" applyNumberFormat="1" applyFont="1" applyFill="1" applyAlignment="1"/>
    <xf numFmtId="165" fontId="67" fillId="0" borderId="0" xfId="2" applyNumberFormat="1" applyFont="1" applyFill="1" applyAlignment="1"/>
    <xf numFmtId="165" fontId="41" fillId="0" borderId="0" xfId="2" applyNumberFormat="1" applyFont="1" applyFill="1" applyBorder="1" applyAlignment="1"/>
    <xf numFmtId="0" fontId="0" fillId="0" borderId="0" xfId="2" applyFont="1" applyFill="1"/>
    <xf numFmtId="165" fontId="90" fillId="0" borderId="0" xfId="2" applyNumberFormat="1" applyFont="1" applyFill="1" applyAlignment="1"/>
    <xf numFmtId="165" fontId="91" fillId="0" borderId="0" xfId="2" applyNumberFormat="1" applyFont="1" applyFill="1" applyAlignment="1"/>
    <xf numFmtId="165" fontId="89" fillId="0" borderId="0" xfId="2" applyNumberFormat="1" applyFont="1" applyFill="1" applyAlignment="1"/>
    <xf numFmtId="165" fontId="162" fillId="0" borderId="0" xfId="2" applyNumberFormat="1" applyFont="1" applyFill="1" applyAlignment="1"/>
    <xf numFmtId="170" fontId="46" fillId="0" borderId="0" xfId="2" quotePrefix="1" applyNumberFormat="1" applyFont="1" applyFill="1" applyAlignment="1"/>
    <xf numFmtId="170" fontId="46" fillId="0" borderId="40" xfId="2" applyNumberFormat="1" applyFont="1" applyFill="1" applyBorder="1" applyAlignment="1"/>
    <xf numFmtId="0" fontId="82" fillId="0" borderId="0" xfId="2" applyNumberFormat="1" applyFont="1" applyFill="1" applyAlignment="1"/>
    <xf numFmtId="165" fontId="89" fillId="0" borderId="0" xfId="2" applyNumberFormat="1" applyFont="1" applyFill="1" applyAlignment="1">
      <alignment horizontal="centerContinuous"/>
    </xf>
    <xf numFmtId="165" fontId="162" fillId="0" borderId="0" xfId="2" applyNumberFormat="1" applyFont="1" applyFill="1" applyBorder="1" applyAlignment="1"/>
    <xf numFmtId="165" fontId="46" fillId="0" borderId="0" xfId="2" applyNumberFormat="1" applyFont="1" applyFill="1" applyAlignment="1">
      <alignment horizontal="center"/>
    </xf>
    <xf numFmtId="165" fontId="46"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6" fillId="0" borderId="15" xfId="2" applyNumberFormat="1" applyFont="1" applyFill="1" applyBorder="1" applyAlignment="1"/>
    <xf numFmtId="170" fontId="46" fillId="0" borderId="0" xfId="2" applyNumberFormat="1" applyFont="1" applyFill="1" applyAlignment="1">
      <alignment horizontal="right"/>
    </xf>
    <xf numFmtId="170" fontId="41" fillId="0" borderId="75" xfId="2" applyNumberFormat="1" applyFont="1" applyFill="1" applyBorder="1" applyAlignment="1">
      <alignment horizontal="center"/>
    </xf>
    <xf numFmtId="170" fontId="46" fillId="0" borderId="66" xfId="2" applyNumberFormat="1" applyFont="1" applyFill="1" applyBorder="1" applyAlignment="1"/>
    <xf numFmtId="170" fontId="46" fillId="0" borderId="15" xfId="2" applyNumberFormat="1" applyFont="1" applyFill="1" applyBorder="1" applyAlignment="1">
      <alignment horizontal="center"/>
    </xf>
    <xf numFmtId="170" fontId="46" fillId="0" borderId="15" xfId="2" applyNumberFormat="1" applyFont="1" applyFill="1" applyBorder="1"/>
    <xf numFmtId="165" fontId="94" fillId="0" borderId="0" xfId="2" applyNumberFormat="1" applyFont="1" applyFill="1" applyAlignment="1"/>
    <xf numFmtId="170" fontId="46" fillId="0" borderId="0" xfId="2" quotePrefix="1" applyNumberFormat="1" applyFont="1" applyFill="1" applyAlignment="1">
      <alignment horizontal="center"/>
    </xf>
    <xf numFmtId="170" fontId="0" fillId="0" borderId="10" xfId="2" applyNumberFormat="1" applyFont="1" applyFill="1" applyBorder="1"/>
    <xf numFmtId="170" fontId="41" fillId="0" borderId="0" xfId="1" applyNumberFormat="1" applyFont="1" applyFill="1" applyAlignment="1">
      <alignment horizontal="center"/>
    </xf>
    <xf numFmtId="170" fontId="39" fillId="0" borderId="0" xfId="1" applyNumberFormat="1" applyFont="1" applyFill="1" applyAlignment="1">
      <alignment horizontal="center"/>
    </xf>
    <xf numFmtId="170" fontId="41"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6" fillId="0" borderId="0" xfId="2" applyNumberFormat="1" applyFont="1" applyFill="1" applyBorder="1" applyAlignment="1"/>
    <xf numFmtId="0" fontId="46" fillId="0" borderId="10" xfId="2" applyNumberFormat="1" applyFont="1" applyBorder="1" applyAlignment="1">
      <alignment horizontal="center"/>
    </xf>
    <xf numFmtId="170" fontId="46" fillId="0" borderId="16" xfId="4" applyNumberFormat="1" applyFont="1" applyFill="1" applyBorder="1"/>
    <xf numFmtId="0" fontId="161" fillId="0" borderId="0" xfId="2" applyFont="1" applyBorder="1"/>
    <xf numFmtId="0" fontId="46" fillId="0" borderId="0" xfId="2" applyNumberFormat="1" applyFont="1" applyAlignment="1">
      <alignment horizontal="left"/>
    </xf>
    <xf numFmtId="170" fontId="39" fillId="0" borderId="0" xfId="2" quotePrefix="1" applyNumberFormat="1" applyFont="1" applyFill="1" applyAlignment="1">
      <alignment horizontal="center"/>
    </xf>
    <xf numFmtId="174" fontId="39" fillId="0" borderId="0" xfId="2" applyNumberFormat="1" applyFont="1" applyFill="1" applyAlignment="1" applyProtection="1">
      <protection locked="0"/>
    </xf>
    <xf numFmtId="0" fontId="169" fillId="0" borderId="0" xfId="2" applyNumberFormat="1" applyFont="1" applyBorder="1" applyAlignment="1"/>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0" fontId="170" fillId="0" borderId="0" xfId="2" applyFont="1" applyBorder="1" applyAlignment="1"/>
    <xf numFmtId="166" fontId="170" fillId="0" borderId="0" xfId="2" applyNumberFormat="1" applyFont="1" applyBorder="1"/>
    <xf numFmtId="170" fontId="170" fillId="0" borderId="0" xfId="2" applyNumberFormat="1" applyFont="1" applyBorder="1" applyAlignment="1"/>
    <xf numFmtId="166" fontId="169" fillId="0" borderId="0" xfId="2" applyNumberFormat="1" applyFont="1" applyBorder="1" applyAlignment="1"/>
    <xf numFmtId="164" fontId="169" fillId="0" borderId="66"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66"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64" fontId="169" fillId="0" borderId="17" xfId="1940" applyNumberFormat="1" applyFont="1" applyBorder="1" applyAlignment="1"/>
    <xf numFmtId="0" fontId="170" fillId="0" borderId="15" xfId="2"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0" fontId="170" fillId="0" borderId="0" xfId="2"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0" xfId="2" applyNumberFormat="1" applyFont="1" applyBorder="1" applyAlignment="1"/>
    <xf numFmtId="166" fontId="169" fillId="0" borderId="0" xfId="2" applyNumberFormat="1" applyFont="1" applyBorder="1" applyAlignment="1">
      <alignment horizontal="right"/>
    </xf>
    <xf numFmtId="164" fontId="169" fillId="0" borderId="70" xfId="1940" applyNumberFormat="1" applyFont="1" applyBorder="1" applyAlignment="1"/>
    <xf numFmtId="174" fontId="169" fillId="0" borderId="35" xfId="2" applyNumberFormat="1" applyFont="1" applyBorder="1" applyAlignment="1"/>
    <xf numFmtId="164" fontId="169" fillId="0" borderId="35" xfId="1940"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41" fillId="33" borderId="10" xfId="2" applyFont="1" applyFill="1" applyBorder="1" applyAlignment="1">
      <alignment horizontal="center"/>
    </xf>
    <xf numFmtId="0" fontId="0" fillId="0" borderId="10" xfId="2" applyFont="1" applyBorder="1"/>
    <xf numFmtId="174" fontId="0" fillId="0" borderId="0" xfId="2" applyNumberFormat="1" applyFont="1"/>
    <xf numFmtId="37" fontId="46" fillId="0" borderId="10" xfId="2" applyNumberFormat="1" applyFont="1" applyBorder="1" applyAlignment="1">
      <alignment horizontal="centerContinuous"/>
    </xf>
    <xf numFmtId="37" fontId="39" fillId="0" borderId="10" xfId="2" applyNumberFormat="1" applyFont="1" applyBorder="1"/>
    <xf numFmtId="0" fontId="39" fillId="33" borderId="10" xfId="2" applyFont="1" applyFill="1" applyBorder="1" applyAlignment="1">
      <alignment horizontal="center"/>
    </xf>
    <xf numFmtId="0" fontId="46" fillId="0" borderId="10" xfId="2" applyFont="1" applyFill="1" applyBorder="1" applyAlignment="1">
      <alignment horizontal="center"/>
    </xf>
    <xf numFmtId="37" fontId="131" fillId="0" borderId="10" xfId="2" applyNumberFormat="1" applyFont="1" applyFill="1" applyBorder="1"/>
    <xf numFmtId="37" fontId="46" fillId="0" borderId="10" xfId="2" applyNumberFormat="1" applyFont="1" applyBorder="1" applyAlignment="1">
      <alignment horizontal="center"/>
    </xf>
    <xf numFmtId="37" fontId="46" fillId="0" borderId="10" xfId="2" applyNumberFormat="1" applyFont="1" applyBorder="1" applyAlignment="1"/>
    <xf numFmtId="37" fontId="133" fillId="0" borderId="0" xfId="2" applyNumberFormat="1" applyFont="1" applyBorder="1"/>
    <xf numFmtId="37" fontId="67" fillId="0" borderId="0" xfId="2" applyNumberFormat="1" applyFont="1" applyBorder="1" applyAlignment="1"/>
    <xf numFmtId="37" fontId="134" fillId="0" borderId="0" xfId="2" applyNumberFormat="1" applyFont="1" applyBorder="1" applyAlignment="1"/>
    <xf numFmtId="37" fontId="68" fillId="0" borderId="0" xfId="2" applyNumberFormat="1" applyFont="1" applyFill="1" applyBorder="1" applyAlignment="1">
      <alignment horizontal="center"/>
    </xf>
    <xf numFmtId="37" fontId="68" fillId="0" borderId="0" xfId="2" quotePrefix="1" applyNumberFormat="1" applyFont="1" applyFill="1" applyBorder="1" applyAlignment="1">
      <alignment horizontal="center"/>
    </xf>
    <xf numFmtId="37" fontId="46" fillId="0" borderId="10" xfId="2" applyNumberFormat="1" applyFont="1" applyBorder="1" applyAlignment="1" applyProtection="1">
      <alignment horizontal="centerContinuous"/>
      <protection locked="0"/>
    </xf>
    <xf numFmtId="0" fontId="39" fillId="0" borderId="10" xfId="2" applyFont="1" applyFill="1" applyBorder="1" applyAlignment="1">
      <alignment horizontal="center"/>
    </xf>
    <xf numFmtId="170" fontId="39" fillId="0" borderId="0" xfId="2" applyNumberFormat="1" applyFont="1" applyBorder="1" applyAlignment="1">
      <alignment horizontal="center"/>
    </xf>
    <xf numFmtId="37" fontId="46" fillId="0" borderId="10" xfId="2" applyNumberFormat="1" applyFont="1" applyFill="1" applyBorder="1" applyAlignment="1">
      <alignment horizontal="centerContinuous"/>
    </xf>
    <xf numFmtId="37" fontId="39" fillId="0" borderId="10" xfId="2" applyNumberFormat="1" applyFont="1" applyFill="1" applyBorder="1"/>
    <xf numFmtId="174" fontId="39" fillId="0" borderId="0" xfId="2" quotePrefix="1" applyNumberFormat="1" applyFont="1" applyBorder="1" applyAlignment="1"/>
    <xf numFmtId="174" fontId="39" fillId="0" borderId="0" xfId="2" quotePrefix="1" applyNumberFormat="1" applyFont="1" applyBorder="1" applyAlignment="1">
      <alignment horizontal="center"/>
    </xf>
    <xf numFmtId="37" fontId="46" fillId="0" borderId="66" xfId="2" applyNumberFormat="1" applyFont="1" applyBorder="1" applyAlignment="1"/>
    <xf numFmtId="37" fontId="46" fillId="0" borderId="66" xfId="2" applyNumberFormat="1" applyFont="1" applyBorder="1" applyAlignment="1">
      <alignment horizontal="centerContinuous"/>
    </xf>
    <xf numFmtId="169" fontId="39" fillId="0" borderId="0" xfId="2" applyNumberFormat="1" applyFont="1" applyBorder="1" applyAlignment="1"/>
    <xf numFmtId="174" fontId="0" fillId="0" borderId="0" xfId="2" applyNumberFormat="1" applyFont="1" applyBorder="1"/>
    <xf numFmtId="0" fontId="46" fillId="0" borderId="10" xfId="2" applyFont="1" applyFill="1" applyBorder="1" applyAlignment="1">
      <alignment horizontal="center"/>
    </xf>
    <xf numFmtId="166" fontId="39" fillId="0" borderId="0" xfId="2" applyNumberFormat="1" applyFont="1" applyAlignment="1">
      <alignment horizontal="left"/>
    </xf>
    <xf numFmtId="0" fontId="39" fillId="0" borderId="0" xfId="2" quotePrefix="1" applyNumberFormat="1" applyFont="1" applyFill="1" applyAlignment="1">
      <alignment horizontal="left"/>
    </xf>
    <xf numFmtId="0" fontId="46" fillId="0" borderId="0" xfId="17" applyNumberFormat="1" applyFont="1" applyAlignment="1" applyProtection="1">
      <alignment horizontal="right"/>
      <protection locked="0"/>
    </xf>
    <xf numFmtId="37" fontId="46" fillId="0" borderId="76" xfId="2" applyNumberFormat="1" applyFont="1" applyBorder="1" applyAlignment="1">
      <alignment horizontal="centerContinuous"/>
    </xf>
    <xf numFmtId="37" fontId="46" fillId="0" borderId="28" xfId="2" applyNumberFormat="1" applyFont="1" applyBorder="1" applyAlignment="1">
      <alignment horizontal="center"/>
    </xf>
    <xf numFmtId="37" fontId="44" fillId="0" borderId="28" xfId="2" applyNumberFormat="1" applyFont="1" applyBorder="1" applyAlignment="1"/>
    <xf numFmtId="37" fontId="39" fillId="0" borderId="28" xfId="2" applyNumberFormat="1" applyFont="1" applyBorder="1" applyAlignment="1"/>
    <xf numFmtId="37" fontId="39" fillId="0" borderId="28" xfId="2" applyNumberFormat="1" applyFont="1" applyBorder="1" applyAlignment="1">
      <alignment horizontal="center"/>
    </xf>
    <xf numFmtId="37" fontId="46" fillId="0" borderId="28" xfId="2" applyNumberFormat="1" applyFont="1" applyBorder="1" applyAlignment="1"/>
    <xf numFmtId="37" fontId="46" fillId="0" borderId="77" xfId="2" applyNumberFormat="1" applyFont="1" applyBorder="1" applyAlignment="1"/>
    <xf numFmtId="37" fontId="46" fillId="0" borderId="27" xfId="2" applyNumberFormat="1" applyFont="1" applyBorder="1" applyAlignment="1"/>
    <xf numFmtId="37" fontId="46" fillId="0" borderId="78" xfId="2" applyNumberFormat="1" applyFont="1" applyBorder="1" applyAlignment="1">
      <alignment horizontal="center"/>
    </xf>
    <xf numFmtId="37" fontId="46" fillId="0" borderId="66" xfId="2" applyNumberFormat="1" applyFont="1" applyBorder="1" applyAlignment="1">
      <alignment horizontal="center"/>
    </xf>
    <xf numFmtId="174" fontId="39" fillId="0" borderId="21" xfId="2" applyNumberFormat="1" applyFont="1" applyBorder="1" applyAlignment="1"/>
    <xf numFmtId="43" fontId="39" fillId="0" borderId="0" xfId="1767" applyNumberFormat="1" applyFont="1" applyFill="1" applyAlignment="1" applyProtection="1">
      <alignment horizontal="right"/>
    </xf>
    <xf numFmtId="43" fontId="46" fillId="0" borderId="0" xfId="1767" applyNumberFormat="1" applyFont="1" applyFill="1" applyAlignment="1" applyProtection="1">
      <alignment horizontal="right"/>
    </xf>
    <xf numFmtId="43" fontId="46" fillId="0" borderId="35" xfId="1767" applyNumberFormat="1" applyFont="1" applyFill="1" applyBorder="1" applyAlignment="1" applyProtection="1">
      <alignment horizontal="right"/>
    </xf>
    <xf numFmtId="43" fontId="39" fillId="0" borderId="0" xfId="1767" applyNumberFormat="1" applyFont="1" applyFill="1" applyAlignment="1" applyProtection="1"/>
    <xf numFmtId="0" fontId="99" fillId="0" borderId="0" xfId="1767" applyNumberFormat="1" applyFont="1" applyFill="1" applyAlignment="1" applyProtection="1"/>
    <xf numFmtId="164" fontId="39" fillId="0" borderId="0" xfId="1767" applyNumberFormat="1" applyFont="1" applyFill="1" applyAlignment="1" applyProtection="1"/>
    <xf numFmtId="164" fontId="99" fillId="0" borderId="0" xfId="1767" applyNumberFormat="1" applyFont="1" applyFill="1" applyAlignment="1" applyProtection="1"/>
    <xf numFmtId="0" fontId="39" fillId="0" borderId="0" xfId="739" applyNumberFormat="1" applyFont="1" applyAlignment="1"/>
    <xf numFmtId="37" fontId="39" fillId="0" borderId="0" xfId="739" applyNumberFormat="1" applyFont="1" applyAlignment="1"/>
    <xf numFmtId="164" fontId="40" fillId="0" borderId="0" xfId="0" applyFont="1" applyAlignment="1">
      <alignment horizontal="right"/>
    </xf>
    <xf numFmtId="0" fontId="39" fillId="0" borderId="0" xfId="739" applyNumberFormat="1" applyFont="1" applyBorder="1" applyAlignment="1">
      <alignment horizontal="centerContinuous"/>
    </xf>
    <xf numFmtId="166" fontId="39" fillId="0" borderId="0" xfId="739" applyNumberFormat="1" applyFont="1" applyBorder="1" applyAlignment="1" applyProtection="1">
      <protection locked="0"/>
    </xf>
    <xf numFmtId="166" fontId="39" fillId="0" borderId="0" xfId="739" applyNumberFormat="1" applyFont="1" applyAlignment="1"/>
    <xf numFmtId="0" fontId="39" fillId="0" borderId="0" xfId="739" applyNumberFormat="1" applyFont="1" applyBorder="1" applyAlignment="1">
      <alignment horizontal="left"/>
    </xf>
    <xf numFmtId="0" fontId="39" fillId="0" borderId="0" xfId="1776" applyFont="1" applyFill="1"/>
    <xf numFmtId="39" fontId="39" fillId="0" borderId="0" xfId="1776" applyNumberFormat="1" applyFont="1" applyFill="1"/>
    <xf numFmtId="39" fontId="39" fillId="0" borderId="0" xfId="1776" applyNumberFormat="1" applyFont="1" applyFill="1" applyBorder="1"/>
    <xf numFmtId="165" fontId="63" fillId="0" borderId="0" xfId="1776" applyNumberFormat="1" applyFont="1" applyFill="1" applyAlignment="1">
      <alignment horizontal="left"/>
    </xf>
    <xf numFmtId="39" fontId="63" fillId="0" borderId="0" xfId="1776" applyNumberFormat="1" applyFont="1" applyFill="1"/>
    <xf numFmtId="0" fontId="63" fillId="0" borderId="0" xfId="1776" applyFont="1" applyFill="1"/>
    <xf numFmtId="0" fontId="39" fillId="0" borderId="0" xfId="1776" applyFont="1" applyFill="1" applyBorder="1" applyAlignment="1">
      <alignment horizontal="left"/>
    </xf>
    <xf numFmtId="39" fontId="63" fillId="0" borderId="0" xfId="1776" applyNumberFormat="1" applyFont="1" applyFill="1" applyBorder="1"/>
    <xf numFmtId="39" fontId="39" fillId="0" borderId="0" xfId="1776" applyNumberFormat="1" applyFont="1" applyFill="1" applyBorder="1" applyAlignment="1">
      <alignment horizontal="center"/>
    </xf>
    <xf numFmtId="165" fontId="46" fillId="0" borderId="0" xfId="1776" applyNumberFormat="1" applyFont="1" applyFill="1" applyAlignment="1"/>
    <xf numFmtId="39" fontId="46" fillId="0" borderId="0" xfId="1776" applyNumberFormat="1" applyFont="1" applyFill="1" applyAlignment="1"/>
    <xf numFmtId="39" fontId="46" fillId="0" borderId="0" xfId="1776" applyNumberFormat="1" applyFont="1" applyFill="1" applyBorder="1" applyAlignment="1"/>
    <xf numFmtId="39" fontId="46" fillId="0" borderId="0" xfId="1776" applyNumberFormat="1" applyFont="1" applyFill="1"/>
    <xf numFmtId="0" fontId="46" fillId="0" borderId="0" xfId="1776" applyFont="1" applyFill="1"/>
    <xf numFmtId="0" fontId="39" fillId="0" borderId="0" xfId="1776" applyNumberFormat="1" applyFont="1" applyFill="1" applyAlignment="1"/>
    <xf numFmtId="39" fontId="39" fillId="0" borderId="0" xfId="1776" applyNumberFormat="1" applyFont="1" applyFill="1" applyAlignment="1"/>
    <xf numFmtId="39" fontId="46" fillId="0" borderId="0" xfId="1776" applyNumberFormat="1" applyFont="1" applyFill="1" applyAlignment="1">
      <alignment horizontal="center"/>
    </xf>
    <xf numFmtId="39" fontId="39" fillId="0" borderId="0" xfId="1776" applyNumberFormat="1" applyFont="1" applyFill="1" applyBorder="1" applyAlignment="1"/>
    <xf numFmtId="0" fontId="46" fillId="0" borderId="0" xfId="1776" applyNumberFormat="1" applyFont="1" applyFill="1" applyAlignment="1"/>
    <xf numFmtId="44" fontId="46" fillId="0" borderId="0" xfId="1776" applyNumberFormat="1" applyFont="1" applyFill="1" applyAlignment="1"/>
    <xf numFmtId="44" fontId="46" fillId="0" borderId="0" xfId="1776" applyNumberFormat="1" applyFont="1" applyFill="1" applyBorder="1" applyAlignment="1"/>
    <xf numFmtId="8" fontId="46" fillId="0" borderId="0" xfId="1776" applyNumberFormat="1" applyFont="1" applyFill="1"/>
    <xf numFmtId="40" fontId="46" fillId="0" borderId="0" xfId="1776" applyNumberFormat="1" applyFont="1" applyFill="1"/>
    <xf numFmtId="0" fontId="39" fillId="0" borderId="0" xfId="1776" applyNumberFormat="1" applyFont="1" applyFill="1" applyAlignment="1">
      <alignment horizontal="left"/>
    </xf>
    <xf numFmtId="43" fontId="39" fillId="0" borderId="0" xfId="1776" applyNumberFormat="1" applyFont="1" applyFill="1" applyAlignment="1"/>
    <xf numFmtId="43" fontId="39" fillId="0" borderId="0" xfId="1776" applyNumberFormat="1" applyFont="1" applyFill="1" applyBorder="1" applyAlignment="1"/>
    <xf numFmtId="0" fontId="46" fillId="0" borderId="0" xfId="1776" applyNumberFormat="1" applyFont="1" applyFill="1" applyAlignment="1">
      <alignment horizontal="left"/>
    </xf>
    <xf numFmtId="0" fontId="39" fillId="0" borderId="0" xfId="1776" quotePrefix="1" applyNumberFormat="1" applyFont="1" applyFill="1" applyAlignment="1">
      <alignment horizontal="left"/>
    </xf>
    <xf numFmtId="43" fontId="46" fillId="0" borderId="0" xfId="1776" applyNumberFormat="1" applyFont="1" applyFill="1" applyBorder="1" applyAlignment="1">
      <alignment horizontal="right"/>
    </xf>
    <xf numFmtId="0" fontId="39" fillId="0" borderId="0" xfId="1776" applyFont="1" applyFill="1" applyBorder="1"/>
    <xf numFmtId="43" fontId="39" fillId="0" borderId="0" xfId="1776" applyNumberFormat="1" applyFont="1" applyFill="1" applyBorder="1" applyAlignment="1" applyProtection="1"/>
    <xf numFmtId="39" fontId="46" fillId="0" borderId="0" xfId="1776" applyNumberFormat="1" applyFont="1" applyFill="1" applyBorder="1"/>
    <xf numFmtId="0" fontId="46" fillId="0" borderId="0" xfId="1776" applyFont="1" applyFill="1" applyBorder="1"/>
    <xf numFmtId="43" fontId="39" fillId="0" borderId="0" xfId="1776" applyNumberFormat="1" applyFont="1" applyFill="1" applyBorder="1" applyAlignment="1" applyProtection="1">
      <alignment horizontal="right"/>
    </xf>
    <xf numFmtId="39" fontId="39" fillId="0" borderId="46" xfId="1776" applyNumberFormat="1" applyFont="1" applyFill="1" applyBorder="1" applyAlignment="1"/>
    <xf numFmtId="39" fontId="46" fillId="0" borderId="0" xfId="1776" quotePrefix="1" applyNumberFormat="1" applyFont="1" applyFill="1" applyAlignment="1">
      <alignment horizontal="left"/>
    </xf>
    <xf numFmtId="4" fontId="46" fillId="0" borderId="0" xfId="1776" applyNumberFormat="1" applyFont="1" applyFill="1"/>
    <xf numFmtId="0" fontId="39" fillId="0" borderId="0" xfId="1776" applyNumberFormat="1" applyFont="1" applyFill="1" applyBorder="1" applyAlignment="1">
      <alignment horizontal="left"/>
    </xf>
    <xf numFmtId="0" fontId="39" fillId="0" borderId="0" xfId="1776" quotePrefix="1" applyFont="1" applyFill="1" applyAlignment="1">
      <alignment horizontal="left"/>
    </xf>
    <xf numFmtId="0" fontId="84" fillId="0" borderId="0" xfId="1776" applyFont="1"/>
    <xf numFmtId="39" fontId="46" fillId="0" borderId="0" xfId="1776" applyNumberFormat="1" applyFont="1"/>
    <xf numFmtId="0" fontId="39" fillId="0" borderId="0" xfId="1776" applyFont="1"/>
    <xf numFmtId="39" fontId="39" fillId="0" borderId="0" xfId="1776" applyNumberFormat="1" applyFont="1"/>
    <xf numFmtId="39" fontId="39" fillId="0" borderId="0" xfId="1776" applyNumberFormat="1" applyFont="1" applyBorder="1"/>
    <xf numFmtId="165" fontId="39" fillId="0" borderId="0" xfId="1776" applyNumberFormat="1" applyFont="1" applyProtection="1">
      <protection locked="0"/>
    </xf>
    <xf numFmtId="0" fontId="46" fillId="0" borderId="0" xfId="1776" applyNumberFormat="1" applyFont="1" applyAlignment="1">
      <alignment horizontal="left"/>
    </xf>
    <xf numFmtId="39" fontId="39" fillId="0" borderId="0" xfId="1776" applyNumberFormat="1" applyFont="1" applyBorder="1" applyAlignment="1"/>
    <xf numFmtId="0" fontId="54" fillId="0" borderId="0" xfId="1776" applyNumberFormat="1" applyFont="1" applyAlignment="1">
      <alignment horizontal="left"/>
    </xf>
    <xf numFmtId="165" fontId="90" fillId="0" borderId="0" xfId="1776" applyNumberFormat="1" applyFont="1" applyAlignment="1"/>
    <xf numFmtId="39" fontId="90" fillId="0" borderId="0" xfId="1776" applyNumberFormat="1" applyFont="1" applyAlignment="1"/>
    <xf numFmtId="39" fontId="46" fillId="0" borderId="0" xfId="1776" applyNumberFormat="1" applyFont="1" applyBorder="1" applyAlignment="1">
      <alignment horizontal="center"/>
    </xf>
    <xf numFmtId="165" fontId="46" fillId="0" borderId="0" xfId="1776" applyNumberFormat="1" applyFont="1" applyAlignment="1"/>
    <xf numFmtId="39" fontId="46" fillId="0" borderId="0" xfId="1776" applyNumberFormat="1" applyFont="1" applyBorder="1" applyAlignment="1"/>
    <xf numFmtId="0" fontId="46" fillId="0" borderId="0" xfId="1776" applyFont="1"/>
    <xf numFmtId="0" fontId="39" fillId="0" borderId="0" xfId="1776" applyNumberFormat="1" applyFont="1" applyAlignment="1"/>
    <xf numFmtId="39" fontId="46" fillId="0" borderId="0" xfId="1776" applyNumberFormat="1" applyFont="1" applyAlignment="1">
      <alignment horizontal="center"/>
    </xf>
    <xf numFmtId="39" fontId="39" fillId="0" borderId="0" xfId="1776" applyNumberFormat="1" applyFont="1" applyAlignment="1"/>
    <xf numFmtId="0" fontId="46" fillId="0" borderId="0" xfId="1776" applyNumberFormat="1" applyFont="1" applyAlignment="1"/>
    <xf numFmtId="44" fontId="46" fillId="0" borderId="0" xfId="1776" applyNumberFormat="1" applyFont="1" applyAlignment="1"/>
    <xf numFmtId="44" fontId="46" fillId="0" borderId="21" xfId="1776" applyNumberFormat="1" applyFont="1" applyBorder="1" applyAlignment="1"/>
    <xf numFmtId="39" fontId="39" fillId="0" borderId="21" xfId="1776" applyNumberFormat="1" applyFont="1" applyBorder="1" applyAlignment="1"/>
    <xf numFmtId="43" fontId="39" fillId="0" borderId="0" xfId="1776" applyNumberFormat="1" applyFont="1" applyAlignment="1"/>
    <xf numFmtId="43" fontId="39" fillId="0" borderId="21" xfId="1776" applyNumberFormat="1" applyFont="1" applyBorder="1" applyAlignment="1"/>
    <xf numFmtId="43" fontId="39" fillId="0" borderId="0" xfId="1776" applyNumberFormat="1" applyFont="1" applyBorder="1" applyAlignment="1"/>
    <xf numFmtId="43" fontId="39" fillId="0" borderId="18" xfId="1776" applyNumberFormat="1" applyFont="1" applyBorder="1" applyAlignment="1"/>
    <xf numFmtId="43" fontId="46" fillId="0" borderId="21" xfId="1776" applyNumberFormat="1" applyFont="1" applyBorder="1" applyAlignment="1"/>
    <xf numFmtId="43" fontId="46" fillId="0" borderId="0" xfId="1776" applyNumberFormat="1" applyFont="1" applyBorder="1" applyAlignment="1"/>
    <xf numFmtId="39" fontId="46" fillId="0" borderId="0" xfId="1776" applyNumberFormat="1" applyFont="1" applyBorder="1"/>
    <xf numFmtId="43" fontId="94" fillId="0" borderId="0" xfId="1776" applyNumberFormat="1" applyFont="1" applyAlignment="1"/>
    <xf numFmtId="0" fontId="39" fillId="0" borderId="0" xfId="1776" applyNumberFormat="1" applyFont="1" applyAlignment="1">
      <alignment horizontal="left"/>
    </xf>
    <xf numFmtId="43" fontId="46" fillId="0" borderId="18" xfId="1776" applyNumberFormat="1" applyFont="1" applyBorder="1" applyAlignment="1"/>
    <xf numFmtId="0" fontId="39" fillId="0" borderId="0" xfId="1776" applyFont="1" applyBorder="1"/>
    <xf numFmtId="43" fontId="39" fillId="0" borderId="0" xfId="1776" applyNumberFormat="1" applyFont="1"/>
    <xf numFmtId="0" fontId="46" fillId="0" borderId="0" xfId="1776" applyFont="1" applyBorder="1"/>
    <xf numFmtId="39" fontId="39" fillId="0" borderId="18" xfId="1776" applyNumberFormat="1" applyFont="1" applyBorder="1" applyAlignment="1"/>
    <xf numFmtId="44" fontId="46" fillId="0" borderId="18" xfId="1776" applyNumberFormat="1" applyFont="1" applyBorder="1" applyAlignment="1"/>
    <xf numFmtId="39" fontId="39" fillId="0" borderId="36" xfId="1776" applyNumberFormat="1" applyFont="1" applyBorder="1" applyAlignment="1"/>
    <xf numFmtId="0" fontId="39" fillId="0" borderId="0" xfId="1776" quotePrefix="1" applyFont="1" applyAlignment="1">
      <alignment horizontal="left"/>
    </xf>
    <xf numFmtId="165" fontId="42" fillId="0" borderId="0" xfId="840" applyNumberFormat="1" applyFont="1" applyAlignment="1" applyProtection="1">
      <protection locked="0"/>
    </xf>
    <xf numFmtId="40" fontId="39" fillId="0" borderId="0" xfId="840" applyNumberFormat="1" applyFont="1" applyAlignment="1">
      <alignment horizontal="center"/>
    </xf>
    <xf numFmtId="190" fontId="39" fillId="0" borderId="0" xfId="11" applyNumberFormat="1" applyFont="1" applyAlignment="1">
      <alignment horizontal="center"/>
    </xf>
    <xf numFmtId="40" fontId="39" fillId="0" borderId="0" xfId="840" quotePrefix="1" applyNumberFormat="1" applyFont="1" applyAlignment="1">
      <alignment horizontal="center"/>
    </xf>
    <xf numFmtId="165" fontId="39" fillId="0" borderId="0" xfId="840" applyNumberFormat="1" applyFont="1" applyAlignment="1"/>
    <xf numFmtId="39" fontId="39" fillId="0" borderId="0" xfId="840" applyNumberFormat="1" applyFont="1" applyBorder="1" applyAlignment="1"/>
    <xf numFmtId="40" fontId="39" fillId="0" borderId="0" xfId="840" applyNumberFormat="1" applyFont="1" applyAlignment="1"/>
    <xf numFmtId="42" fontId="39" fillId="0" borderId="0" xfId="840" applyNumberFormat="1" applyFont="1" applyAlignment="1"/>
    <xf numFmtId="0" fontId="39" fillId="0" borderId="0" xfId="840" applyNumberFormat="1" applyFont="1" applyAlignment="1"/>
    <xf numFmtId="37" fontId="39" fillId="0" borderId="0" xfId="840" applyNumberFormat="1" applyFont="1" applyAlignment="1"/>
    <xf numFmtId="37" fontId="39" fillId="0" borderId="0" xfId="840" applyNumberFormat="1" applyFont="1" applyBorder="1" applyAlignment="1"/>
    <xf numFmtId="190" fontId="39" fillId="0" borderId="0" xfId="11" applyNumberFormat="1" applyFont="1" applyAlignment="1"/>
    <xf numFmtId="41" fontId="39" fillId="0" borderId="0" xfId="840" applyNumberFormat="1" applyFont="1" applyAlignment="1"/>
    <xf numFmtId="41" fontId="39" fillId="0" borderId="0" xfId="840" applyNumberFormat="1" applyFont="1" applyBorder="1" applyAlignment="1"/>
    <xf numFmtId="41" fontId="39" fillId="0" borderId="0" xfId="11" applyNumberFormat="1" applyFont="1" applyFill="1" applyAlignment="1"/>
    <xf numFmtId="41" fontId="39" fillId="0" borderId="0" xfId="840" quotePrefix="1" applyNumberFormat="1" applyFont="1" applyBorder="1" applyAlignment="1">
      <alignment horizontal="center"/>
    </xf>
    <xf numFmtId="41" fontId="39" fillId="0" borderId="0" xfId="11" applyNumberFormat="1" applyFont="1" applyAlignment="1"/>
    <xf numFmtId="41" fontId="39" fillId="0" borderId="0" xfId="840" applyNumberFormat="1" applyFont="1" applyFill="1" applyAlignment="1"/>
    <xf numFmtId="41" fontId="39" fillId="0" borderId="0" xfId="840" applyNumberFormat="1" applyFont="1" applyFill="1" applyBorder="1" applyAlignment="1"/>
    <xf numFmtId="37" fontId="39" fillId="0" borderId="0" xfId="840" applyNumberFormat="1" applyFont="1" applyFill="1" applyAlignment="1"/>
    <xf numFmtId="41" fontId="39" fillId="0" borderId="0" xfId="840" applyNumberFormat="1" applyFont="1" applyFill="1" applyAlignment="1">
      <alignment horizontal="right"/>
    </xf>
    <xf numFmtId="41" fontId="39" fillId="0" borderId="0" xfId="840" applyNumberFormat="1" applyFont="1" applyFill="1"/>
    <xf numFmtId="41" fontId="39" fillId="0" borderId="0" xfId="840" quotePrefix="1" applyNumberFormat="1" applyFont="1" applyFill="1" applyAlignment="1">
      <alignment horizontal="right"/>
    </xf>
    <xf numFmtId="41" fontId="39" fillId="0" borderId="0" xfId="840" quotePrefix="1" applyNumberFormat="1" applyFont="1" applyFill="1" applyAlignment="1">
      <alignment horizontal="center"/>
    </xf>
    <xf numFmtId="41" fontId="39" fillId="0" borderId="0" xfId="840" quotePrefix="1" applyNumberFormat="1" applyFont="1" applyFill="1" applyBorder="1" applyAlignment="1">
      <alignment horizontal="center"/>
    </xf>
    <xf numFmtId="41" fontId="46" fillId="0" borderId="66" xfId="840" applyNumberFormat="1" applyFont="1" applyBorder="1" applyAlignment="1"/>
    <xf numFmtId="190" fontId="39" fillId="0" borderId="0" xfId="11" applyNumberFormat="1" applyFont="1" applyBorder="1" applyAlignment="1"/>
    <xf numFmtId="40" fontId="39" fillId="0" borderId="0" xfId="840" applyNumberFormat="1" applyFont="1" applyBorder="1" applyAlignment="1"/>
    <xf numFmtId="39" fontId="39" fillId="0" borderId="0" xfId="840" applyNumberFormat="1" applyFont="1" applyAlignment="1"/>
    <xf numFmtId="0" fontId="39" fillId="0" borderId="0" xfId="17" applyNumberFormat="1" applyFont="1" applyAlignment="1" applyProtection="1">
      <protection locked="0"/>
    </xf>
    <xf numFmtId="174" fontId="39" fillId="0" borderId="0" xfId="17" applyNumberFormat="1" applyFont="1" applyAlignment="1"/>
    <xf numFmtId="0" fontId="39" fillId="0" borderId="0" xfId="17" applyNumberFormat="1" applyFont="1" applyBorder="1" applyAlignment="1" applyProtection="1">
      <protection locked="0"/>
    </xf>
    <xf numFmtId="0" fontId="39" fillId="0" borderId="0" xfId="17" applyNumberFormat="1" applyFont="1" applyBorder="1" applyAlignment="1"/>
    <xf numFmtId="170" fontId="39" fillId="0" borderId="0" xfId="17" applyNumberFormat="1" applyFont="1" applyBorder="1" applyAlignment="1"/>
    <xf numFmtId="174" fontId="39" fillId="0" borderId="0" xfId="1049" applyNumberFormat="1" applyFont="1" applyBorder="1" applyAlignment="1">
      <alignment horizontal="center"/>
    </xf>
    <xf numFmtId="170" fontId="39" fillId="0" borderId="0" xfId="17" applyNumberFormat="1" applyFont="1" applyBorder="1" applyAlignment="1" applyProtection="1">
      <protection locked="0"/>
    </xf>
    <xf numFmtId="170" fontId="39" fillId="0" borderId="0" xfId="17" applyNumberFormat="1" applyFont="1" applyBorder="1" applyAlignment="1">
      <alignment horizontal="right"/>
    </xf>
    <xf numFmtId="170" fontId="39" fillId="0" borderId="0" xfId="17" applyNumberFormat="1" applyFont="1" applyBorder="1" applyAlignment="1" applyProtection="1">
      <alignment horizontal="right"/>
    </xf>
    <xf numFmtId="187" fontId="39" fillId="0" borderId="0" xfId="17" applyNumberFormat="1" applyFont="1" applyAlignment="1"/>
    <xf numFmtId="0" fontId="0" fillId="0" borderId="0" xfId="2" applyFont="1" applyBorder="1" applyAlignment="1">
      <alignment horizontal="right"/>
    </xf>
    <xf numFmtId="0" fontId="46" fillId="0" borderId="0" xfId="2" applyNumberFormat="1" applyFont="1" applyAlignment="1">
      <alignment horizontal="left"/>
    </xf>
    <xf numFmtId="165" fontId="65" fillId="0" borderId="0" xfId="2" applyNumberFormat="1" applyFont="1" applyAlignment="1">
      <alignment horizontal="center"/>
    </xf>
    <xf numFmtId="195" fontId="39" fillId="0" borderId="0" xfId="2" applyNumberFormat="1" applyFont="1" applyFill="1" applyAlignment="1" applyProtection="1">
      <protection locked="0"/>
    </xf>
    <xf numFmtId="39" fontId="68" fillId="0" borderId="0" xfId="1776" applyNumberFormat="1" applyFont="1" applyBorder="1" applyAlignment="1">
      <alignment horizontal="right" vertical="top"/>
    </xf>
    <xf numFmtId="0" fontId="68" fillId="0" borderId="0" xfId="1776" applyNumberFormat="1" applyFont="1" applyBorder="1" applyAlignment="1">
      <alignment horizontal="left"/>
    </xf>
    <xf numFmtId="0" fontId="46" fillId="0" borderId="0" xfId="1776" applyNumberFormat="1" applyFont="1" applyBorder="1" applyAlignment="1">
      <alignment horizontal="left" vertical="top"/>
    </xf>
    <xf numFmtId="0" fontId="68" fillId="0" borderId="0" xfId="1776" applyNumberFormat="1" applyFont="1" applyBorder="1" applyAlignment="1">
      <alignment horizontal="center"/>
    </xf>
    <xf numFmtId="39" fontId="42" fillId="0" borderId="0" xfId="1776" applyNumberFormat="1" applyFont="1" applyBorder="1" applyAlignment="1">
      <alignment horizontal="centerContinuous"/>
    </xf>
    <xf numFmtId="44" fontId="46" fillId="0" borderId="0" xfId="1776" applyNumberFormat="1" applyFont="1" applyBorder="1" applyAlignment="1"/>
    <xf numFmtId="39" fontId="68" fillId="0" borderId="0" xfId="1776" applyNumberFormat="1" applyFont="1" applyFill="1" applyBorder="1" applyAlignment="1">
      <alignment horizontal="right" vertical="top"/>
    </xf>
    <xf numFmtId="0" fontId="63" fillId="0" borderId="0" xfId="1776" applyNumberFormat="1" applyFont="1" applyFill="1" applyAlignment="1">
      <alignment horizontal="left"/>
    </xf>
    <xf numFmtId="0" fontId="39" fillId="0" borderId="0" xfId="1776" applyNumberFormat="1" applyFont="1" applyFill="1" applyBorder="1" applyAlignment="1">
      <alignment horizontal="center"/>
    </xf>
    <xf numFmtId="170" fontId="51" fillId="0" borderId="0" xfId="2" applyNumberFormat="1" applyFont="1" applyAlignment="1"/>
    <xf numFmtId="174" fontId="39" fillId="0" borderId="0" xfId="0" applyNumberFormat="1" applyFont="1" applyAlignment="1" applyProtection="1"/>
    <xf numFmtId="170" fontId="46" fillId="0" borderId="0" xfId="0" applyNumberFormat="1" applyFont="1" applyAlignment="1" applyProtection="1"/>
    <xf numFmtId="170" fontId="39" fillId="0" borderId="0" xfId="0" quotePrefix="1" applyNumberFormat="1" applyFont="1" applyAlignment="1" applyProtection="1">
      <alignment horizontal="right"/>
    </xf>
    <xf numFmtId="170" fontId="39" fillId="0" borderId="20" xfId="0" quotePrefix="1" applyNumberFormat="1" applyFont="1" applyBorder="1" applyAlignment="1" applyProtection="1">
      <alignment horizontal="center"/>
    </xf>
    <xf numFmtId="170" fontId="39" fillId="0" borderId="0" xfId="0" quotePrefix="1" applyNumberFormat="1" applyFont="1" applyAlignment="1" applyProtection="1"/>
    <xf numFmtId="172" fontId="41" fillId="0" borderId="0" xfId="0" applyNumberFormat="1" applyFont="1" applyBorder="1" applyAlignment="1" applyProtection="1">
      <protection locked="0"/>
    </xf>
    <xf numFmtId="172" fontId="169" fillId="0" borderId="0" xfId="1940" applyNumberFormat="1" applyFont="1" applyAlignment="1"/>
    <xf numFmtId="10" fontId="44"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8" fillId="0" borderId="0" xfId="861" applyNumberFormat="1" applyAlignment="1" applyProtection="1"/>
    <xf numFmtId="170" fontId="39" fillId="0" borderId="47" xfId="2" applyNumberFormat="1" applyFont="1" applyBorder="1" applyAlignment="1"/>
    <xf numFmtId="0" fontId="41" fillId="0" borderId="79" xfId="4" applyFont="1" applyFill="1" applyBorder="1"/>
    <xf numFmtId="0" fontId="46" fillId="0" borderId="0" xfId="2" applyNumberFormat="1" applyFont="1" applyAlignment="1">
      <alignment horizontal="left"/>
    </xf>
    <xf numFmtId="0" fontId="46" fillId="0" borderId="0" xfId="2" applyNumberFormat="1" applyFont="1" applyAlignment="1">
      <alignment horizontal="left"/>
    </xf>
    <xf numFmtId="174" fontId="166" fillId="0" borderId="0" xfId="2" applyNumberFormat="1" applyFont="1" applyFill="1" applyBorder="1"/>
    <xf numFmtId="174" fontId="167" fillId="0" borderId="15" xfId="2" applyNumberFormat="1" applyFont="1" applyFill="1" applyBorder="1"/>
    <xf numFmtId="164" fontId="39" fillId="0" borderId="0" xfId="1940" applyNumberFormat="1" applyFont="1" applyAlignment="1"/>
    <xf numFmtId="164" fontId="46" fillId="0" borderId="66" xfId="1940" applyNumberFormat="1" applyFont="1" applyBorder="1" applyAlignment="1"/>
    <xf numFmtId="174" fontId="39" fillId="0" borderId="24" xfId="2" applyNumberFormat="1" applyFont="1" applyBorder="1" applyAlignment="1"/>
    <xf numFmtId="174" fontId="39" fillId="0" borderId="15" xfId="2" applyNumberFormat="1" applyFont="1" applyBorder="1" applyAlignment="1"/>
    <xf numFmtId="170" fontId="39" fillId="0" borderId="14" xfId="2" applyNumberFormat="1" applyFont="1" applyBorder="1" applyAlignment="1"/>
    <xf numFmtId="170" fontId="39" fillId="0" borderId="21" xfId="2" applyNumberFormat="1" applyFont="1" applyBorder="1" applyAlignment="1"/>
    <xf numFmtId="170" fontId="39" fillId="0" borderId="18" xfId="2" applyNumberFormat="1" applyFont="1" applyBorder="1"/>
    <xf numFmtId="170" fontId="39" fillId="0" borderId="15" xfId="2" applyNumberFormat="1" applyFont="1" applyBorder="1" applyAlignment="1"/>
    <xf numFmtId="43" fontId="39" fillId="0" borderId="0" xfId="2" applyNumberFormat="1" applyFont="1" applyBorder="1" applyAlignment="1"/>
    <xf numFmtId="170" fontId="39" fillId="0" borderId="25" xfId="2" applyNumberFormat="1" applyFont="1" applyBorder="1" applyAlignment="1"/>
    <xf numFmtId="0" fontId="39" fillId="0" borderId="0" xfId="2" applyFont="1" applyBorder="1" applyAlignment="1"/>
    <xf numFmtId="170" fontId="39" fillId="0" borderId="13" xfId="2" applyNumberFormat="1" applyFont="1" applyBorder="1" applyAlignment="1"/>
    <xf numFmtId="170" fontId="39" fillId="0" borderId="0" xfId="2" quotePrefix="1" applyNumberFormat="1" applyFont="1" applyBorder="1" applyAlignment="1"/>
    <xf numFmtId="170" fontId="39" fillId="0" borderId="12" xfId="2" quotePrefix="1" applyNumberFormat="1" applyFont="1" applyBorder="1" applyAlignment="1">
      <alignment horizontal="center"/>
    </xf>
    <xf numFmtId="170" fontId="39" fillId="0" borderId="18" xfId="2" applyNumberFormat="1" applyFont="1" applyBorder="1" applyAlignment="1"/>
    <xf numFmtId="170" fontId="39" fillId="0" borderId="15" xfId="2" quotePrefix="1" applyNumberFormat="1" applyFont="1" applyBorder="1" applyAlignment="1">
      <alignment horizontal="right"/>
    </xf>
    <xf numFmtId="170" fontId="39" fillId="0" borderId="13" xfId="2" quotePrefix="1" applyNumberFormat="1" applyFont="1" applyBorder="1" applyAlignment="1">
      <alignment horizontal="right"/>
    </xf>
    <xf numFmtId="170" fontId="39" fillId="0" borderId="15" xfId="2" quotePrefix="1" applyNumberFormat="1" applyFont="1" applyBorder="1" applyAlignment="1"/>
    <xf numFmtId="0" fontId="39" fillId="0" borderId="0" xfId="2" quotePrefix="1" applyFont="1" applyBorder="1" applyAlignment="1">
      <alignment horizontal="right"/>
    </xf>
    <xf numFmtId="169" fontId="39" fillId="0" borderId="36" xfId="2" applyNumberFormat="1" applyFont="1" applyBorder="1" applyAlignment="1"/>
    <xf numFmtId="168" fontId="39" fillId="0" borderId="0" xfId="2" applyNumberFormat="1" applyFont="1" applyBorder="1" applyAlignment="1" applyProtection="1">
      <protection locked="0"/>
    </xf>
    <xf numFmtId="168" fontId="39" fillId="0" borderId="0" xfId="2" applyNumberFormat="1" applyFont="1" applyAlignment="1" applyProtection="1">
      <protection locked="0"/>
    </xf>
    <xf numFmtId="170" fontId="39" fillId="0" borderId="19" xfId="2" applyNumberFormat="1" applyFont="1" applyBorder="1" applyAlignment="1"/>
    <xf numFmtId="168" fontId="39" fillId="0" borderId="0" xfId="2" applyNumberFormat="1" applyFont="1" applyAlignment="1"/>
    <xf numFmtId="165" fontId="39" fillId="0" borderId="0" xfId="2" applyNumberFormat="1" applyFont="1" applyBorder="1" applyAlignment="1"/>
    <xf numFmtId="170" fontId="39" fillId="0" borderId="19" xfId="2" applyNumberFormat="1" applyFont="1" applyBorder="1" applyAlignment="1">
      <alignment horizontal="right"/>
    </xf>
    <xf numFmtId="165" fontId="39" fillId="0" borderId="0" xfId="2" applyNumberFormat="1" applyFont="1" applyAlignment="1">
      <alignment horizontal="right"/>
    </xf>
    <xf numFmtId="170" fontId="68" fillId="0" borderId="66" xfId="2" applyNumberFormat="1" applyFont="1" applyBorder="1" applyAlignment="1"/>
    <xf numFmtId="39" fontId="39" fillId="0" borderId="0" xfId="2" applyNumberFormat="1" applyFont="1" applyBorder="1"/>
    <xf numFmtId="174" fontId="39" fillId="0" borderId="0" xfId="2" quotePrefix="1" applyNumberFormat="1" applyFont="1" applyFill="1" applyAlignment="1"/>
    <xf numFmtId="170" fontId="39" fillId="0" borderId="21" xfId="2" applyNumberFormat="1" applyFont="1" applyFill="1" applyBorder="1" applyAlignment="1"/>
    <xf numFmtId="0" fontId="46" fillId="0" borderId="10" xfId="2" applyFont="1" applyFill="1" applyBorder="1" applyAlignment="1" applyProtection="1">
      <alignment horizontal="center"/>
      <protection locked="0"/>
    </xf>
    <xf numFmtId="0" fontId="46" fillId="0" borderId="10" xfId="2" applyFont="1" applyFill="1" applyBorder="1" applyAlignment="1">
      <alignment horizontal="center"/>
    </xf>
    <xf numFmtId="170" fontId="39" fillId="0" borderId="0" xfId="0" applyNumberFormat="1" applyFont="1" applyBorder="1" applyAlignment="1" applyProtection="1">
      <alignment horizontal="center"/>
    </xf>
    <xf numFmtId="170" fontId="39" fillId="0" borderId="0" xfId="0" applyNumberFormat="1" applyFont="1" applyFill="1" applyAlignment="1" applyProtection="1">
      <alignment horizontal="center"/>
    </xf>
    <xf numFmtId="170" fontId="39" fillId="0" borderId="0" xfId="0" applyNumberFormat="1" applyFont="1" applyFill="1" applyBorder="1" applyAlignment="1" applyProtection="1"/>
    <xf numFmtId="170" fontId="39" fillId="0" borderId="0" xfId="0" applyNumberFormat="1" applyFont="1" applyAlignment="1" applyProtection="1">
      <alignment horizontal="right"/>
    </xf>
    <xf numFmtId="174" fontId="39" fillId="0" borderId="0" xfId="0" applyNumberFormat="1" applyFont="1" applyAlignment="1" applyProtection="1">
      <alignment horizontal="right"/>
    </xf>
    <xf numFmtId="170" fontId="41" fillId="0" borderId="0" xfId="0" applyNumberFormat="1" applyFont="1" applyFill="1" applyBorder="1" applyAlignment="1" applyProtection="1"/>
    <xf numFmtId="164" fontId="41" fillId="0" borderId="0" xfId="0" applyNumberFormat="1" applyFont="1" applyBorder="1" applyAlignment="1" applyProtection="1"/>
    <xf numFmtId="164" fontId="41" fillId="0" borderId="66" xfId="0" applyNumberFormat="1" applyFont="1" applyBorder="1" applyAlignment="1" applyProtection="1"/>
    <xf numFmtId="172" fontId="46" fillId="0" borderId="10" xfId="0" applyNumberFormat="1" applyFont="1" applyBorder="1" applyAlignment="1" applyProtection="1"/>
    <xf numFmtId="165" fontId="41" fillId="0" borderId="0" xfId="0" applyNumberFormat="1" applyFont="1" applyBorder="1" applyAlignment="1" applyProtection="1"/>
    <xf numFmtId="173" fontId="41" fillId="0" borderId="0" xfId="0" applyNumberFormat="1" applyFont="1" applyBorder="1" applyAlignment="1" applyProtection="1"/>
    <xf numFmtId="164" fontId="46" fillId="0" borderId="0" xfId="0" applyNumberFormat="1" applyFont="1" applyBorder="1" applyAlignment="1" applyProtection="1"/>
    <xf numFmtId="164" fontId="39" fillId="0" borderId="0" xfId="2" applyNumberFormat="1" applyFont="1" applyAlignment="1" applyProtection="1"/>
    <xf numFmtId="165" fontId="39" fillId="0" borderId="0" xfId="2" applyNumberFormat="1" applyFont="1" applyAlignment="1" applyProtection="1"/>
    <xf numFmtId="164" fontId="46" fillId="0" borderId="16" xfId="2" applyNumberFormat="1" applyFont="1" applyBorder="1" applyAlignment="1" applyProtection="1"/>
    <xf numFmtId="164" fontId="46" fillId="0" borderId="10" xfId="2" applyNumberFormat="1" applyFont="1" applyBorder="1" applyAlignment="1" applyProtection="1"/>
    <xf numFmtId="164" fontId="46" fillId="0" borderId="66" xfId="2" applyNumberFormat="1" applyFont="1" applyBorder="1" applyAlignment="1" applyProtection="1"/>
    <xf numFmtId="0" fontId="46" fillId="0" borderId="0" xfId="2" applyFont="1" applyFill="1" applyBorder="1" applyAlignment="1" applyProtection="1">
      <alignment horizontal="center"/>
      <protection locked="0"/>
    </xf>
    <xf numFmtId="164" fontId="39" fillId="0" borderId="0" xfId="0" applyNumberFormat="1" applyFont="1" applyBorder="1" applyAlignment="1" applyProtection="1"/>
    <xf numFmtId="170" fontId="61" fillId="0" borderId="0" xfId="2" applyNumberFormat="1" applyFont="1" applyAlignment="1" applyProtection="1"/>
    <xf numFmtId="166" fontId="61" fillId="0" borderId="0" xfId="2" applyNumberFormat="1" applyFont="1" applyAlignment="1" applyProtection="1"/>
    <xf numFmtId="164" fontId="39" fillId="0" borderId="66" xfId="0" applyNumberFormat="1" applyFont="1" applyBorder="1" applyAlignment="1" applyProtection="1"/>
    <xf numFmtId="164" fontId="46" fillId="0" borderId="16" xfId="0" applyNumberFormat="1" applyFont="1" applyBorder="1" applyAlignment="1" applyProtection="1"/>
    <xf numFmtId="170" fontId="39" fillId="0" borderId="0" xfId="2" applyNumberFormat="1" applyFont="1" applyAlignment="1" applyProtection="1"/>
    <xf numFmtId="170" fontId="46" fillId="0" borderId="0" xfId="2" applyNumberFormat="1" applyFont="1" applyBorder="1" applyAlignment="1" applyProtection="1"/>
    <xf numFmtId="164" fontId="46" fillId="0" borderId="45" xfId="2" applyNumberFormat="1" applyFont="1" applyBorder="1" applyAlignment="1" applyProtection="1"/>
    <xf numFmtId="164" fontId="39" fillId="0" borderId="19" xfId="2" applyNumberFormat="1" applyFont="1" applyBorder="1" applyAlignment="1" applyProtection="1"/>
    <xf numFmtId="164" fontId="39" fillId="0" borderId="0" xfId="2" applyNumberFormat="1" applyFont="1" applyBorder="1" applyAlignment="1" applyProtection="1"/>
    <xf numFmtId="164" fontId="39" fillId="0" borderId="0" xfId="2" applyNumberFormat="1" applyFont="1" applyFill="1" applyBorder="1" applyAlignment="1" applyProtection="1"/>
    <xf numFmtId="164" fontId="44" fillId="0" borderId="0" xfId="2" applyNumberFormat="1" applyFont="1" applyAlignment="1" applyProtection="1"/>
    <xf numFmtId="164" fontId="46" fillId="0" borderId="16" xfId="2" applyNumberFormat="1" applyFont="1" applyBorder="1" applyAlignment="1" applyProtection="1">
      <alignment horizontal="right"/>
    </xf>
    <xf numFmtId="164" fontId="39" fillId="0" borderId="66" xfId="2" applyNumberFormat="1" applyFont="1" applyBorder="1" applyAlignment="1" applyProtection="1">
      <alignment horizontal="right"/>
    </xf>
    <xf numFmtId="164" fontId="39" fillId="0" borderId="0" xfId="2" applyNumberFormat="1" applyFont="1" applyBorder="1" applyAlignment="1" applyProtection="1">
      <alignment horizontal="right"/>
    </xf>
    <xf numFmtId="164" fontId="46" fillId="0" borderId="66" xfId="2" applyNumberFormat="1" applyFont="1" applyBorder="1" applyAlignment="1" applyProtection="1">
      <alignment horizontal="right"/>
    </xf>
    <xf numFmtId="0" fontId="41" fillId="0" borderId="0" xfId="4" applyFont="1" applyFill="1" applyProtection="1"/>
    <xf numFmtId="164" fontId="46" fillId="0" borderId="45" xfId="0" applyNumberFormat="1" applyFont="1" applyBorder="1" applyAlignment="1" applyProtection="1"/>
    <xf numFmtId="0" fontId="41" fillId="0" borderId="0" xfId="4" applyFont="1" applyFill="1" applyBorder="1" applyProtection="1"/>
    <xf numFmtId="164" fontId="46" fillId="0" borderId="66" xfId="0" applyNumberFormat="1" applyFont="1" applyBorder="1" applyAlignment="1" applyProtection="1"/>
    <xf numFmtId="164" fontId="41" fillId="0" borderId="0" xfId="4" applyNumberFormat="1" applyFont="1" applyFill="1" applyProtection="1"/>
    <xf numFmtId="0" fontId="41" fillId="0" borderId="0" xfId="4" applyFont="1" applyFill="1" applyProtection="1"/>
    <xf numFmtId="170" fontId="46" fillId="0" borderId="45" xfId="2" applyNumberFormat="1" applyFont="1" applyFill="1" applyBorder="1" applyAlignment="1" applyProtection="1"/>
    <xf numFmtId="170" fontId="46" fillId="0" borderId="0" xfId="2" applyNumberFormat="1" applyFont="1" applyAlignment="1" applyProtection="1"/>
    <xf numFmtId="170" fontId="46" fillId="0" borderId="0" xfId="2" applyNumberFormat="1" applyFont="1" applyFill="1" applyBorder="1" applyAlignment="1" applyProtection="1"/>
    <xf numFmtId="166" fontId="41" fillId="0" borderId="0" xfId="2" applyNumberFormat="1" applyFont="1" applyAlignment="1" applyProtection="1"/>
    <xf numFmtId="0" fontId="0" fillId="0" borderId="0" xfId="2" applyFont="1" applyBorder="1" applyProtection="1"/>
    <xf numFmtId="172" fontId="41" fillId="0" borderId="0" xfId="0" applyNumberFormat="1" applyFont="1" applyBorder="1" applyAlignment="1" applyProtection="1"/>
    <xf numFmtId="172" fontId="46" fillId="0" borderId="66" xfId="0" applyNumberFormat="1" applyFont="1" applyBorder="1" applyAlignment="1" applyProtection="1"/>
    <xf numFmtId="166" fontId="41" fillId="0" borderId="20" xfId="2" applyNumberFormat="1" applyFont="1" applyBorder="1" applyAlignment="1" applyProtection="1"/>
    <xf numFmtId="44" fontId="46" fillId="0" borderId="35" xfId="1767" applyNumberFormat="1" applyFont="1" applyFill="1" applyBorder="1" applyAlignment="1" applyProtection="1">
      <alignment horizontal="right"/>
    </xf>
    <xf numFmtId="0" fontId="68" fillId="0" borderId="0" xfId="2" applyNumberFormat="1" applyFont="1" applyFill="1" applyAlignment="1" applyProtection="1">
      <alignment horizontal="left"/>
    </xf>
    <xf numFmtId="0" fontId="68" fillId="0" borderId="0" xfId="2" quotePrefix="1" applyNumberFormat="1" applyFont="1" applyFill="1" applyAlignment="1" applyProtection="1">
      <alignment horizontal="left"/>
    </xf>
    <xf numFmtId="41" fontId="39" fillId="0" borderId="0" xfId="739" applyNumberFormat="1" applyFont="1" applyBorder="1" applyAlignment="1" applyProtection="1"/>
    <xf numFmtId="172" fontId="46" fillId="0" borderId="35" xfId="2" applyNumberFormat="1" applyFont="1" applyBorder="1" applyAlignment="1"/>
    <xf numFmtId="172" fontId="169" fillId="0" borderId="35" xfId="1940" applyNumberFormat="1" applyFont="1" applyBorder="1" applyAlignment="1"/>
    <xf numFmtId="170" fontId="46" fillId="0" borderId="0" xfId="0" applyNumberFormat="1" applyFont="1" applyFill="1" applyBorder="1" applyAlignment="1" applyProtection="1"/>
    <xf numFmtId="172" fontId="39" fillId="0" borderId="0" xfId="0" applyNumberFormat="1" applyFont="1" applyBorder="1" applyAlignment="1" applyProtection="1"/>
    <xf numFmtId="170" fontId="41" fillId="0" borderId="83" xfId="2" applyNumberFormat="1" applyFont="1" applyBorder="1" applyAlignment="1">
      <alignment horizontal="center"/>
    </xf>
    <xf numFmtId="0" fontId="39" fillId="0" borderId="0" xfId="1776" applyFont="1" applyAlignment="1"/>
    <xf numFmtId="0" fontId="39" fillId="0" borderId="0" xfId="1776" applyFill="1" applyAlignment="1"/>
    <xf numFmtId="170" fontId="39" fillId="0" borderId="66" xfId="2" applyNumberFormat="1" applyFont="1" applyFill="1" applyBorder="1" applyAlignment="1">
      <alignment horizontal="right"/>
    </xf>
    <xf numFmtId="170" fontId="46" fillId="0" borderId="20" xfId="2" applyNumberFormat="1" applyFont="1" applyFill="1" applyBorder="1" applyAlignment="1"/>
    <xf numFmtId="170" fontId="39" fillId="0" borderId="0" xfId="2" applyNumberFormat="1" applyFont="1" applyFill="1" applyBorder="1"/>
    <xf numFmtId="174" fontId="46" fillId="0" borderId="35" xfId="2" applyNumberFormat="1" applyFont="1" applyFill="1" applyBorder="1" applyAlignment="1"/>
    <xf numFmtId="43" fontId="39" fillId="0" borderId="0" xfId="0" applyNumberFormat="1" applyFont="1" applyAlignment="1" applyProtection="1">
      <alignment horizontal="right"/>
    </xf>
    <xf numFmtId="172" fontId="46" fillId="0" borderId="0" xfId="0" applyNumberFormat="1" applyFont="1" applyBorder="1" applyAlignment="1" applyProtection="1"/>
    <xf numFmtId="0" fontId="140" fillId="0" borderId="0" xfId="8" applyFont="1" applyAlignment="1">
      <alignment horizontal="left"/>
    </xf>
    <xf numFmtId="0" fontId="140" fillId="0" borderId="0" xfId="8" applyFont="1"/>
    <xf numFmtId="0" fontId="39" fillId="0" borderId="0" xfId="8" applyFont="1"/>
    <xf numFmtId="0" fontId="39" fillId="0" borderId="0" xfId="8" applyFont="1" applyAlignment="1"/>
    <xf numFmtId="0" fontId="140" fillId="0" borderId="0" xfId="8" applyFont="1" applyAlignment="1"/>
    <xf numFmtId="3" fontId="51" fillId="0" borderId="0" xfId="8" quotePrefix="1" applyNumberFormat="1" applyFont="1" applyAlignment="1">
      <alignment horizontal="right"/>
    </xf>
    <xf numFmtId="41" fontId="44" fillId="0" borderId="0" xfId="1773" applyNumberFormat="1" applyFont="1" applyFill="1"/>
    <xf numFmtId="0" fontId="39" fillId="0" borderId="0" xfId="2" applyFont="1" applyAlignment="1">
      <alignment horizontal="left"/>
    </xf>
    <xf numFmtId="177" fontId="183" fillId="0" borderId="0" xfId="740" applyNumberFormat="1" applyFont="1" applyFill="1" applyAlignment="1"/>
    <xf numFmtId="165" fontId="39" fillId="0" borderId="0" xfId="0" applyNumberFormat="1" applyFont="1" applyFill="1" applyAlignment="1" applyProtection="1">
      <protection locked="0"/>
    </xf>
    <xf numFmtId="172" fontId="46" fillId="0" borderId="0" xfId="1940" applyNumberFormat="1" applyFont="1" applyBorder="1" applyAlignment="1" applyProtection="1"/>
    <xf numFmtId="165" fontId="46" fillId="0" borderId="82" xfId="0" applyNumberFormat="1" applyFont="1" applyBorder="1" applyAlignment="1" applyProtection="1">
      <alignment horizontal="center"/>
    </xf>
    <xf numFmtId="0" fontId="46" fillId="0" borderId="82" xfId="0" applyNumberFormat="1" applyFont="1" applyBorder="1" applyAlignment="1" applyProtection="1">
      <alignment horizontal="center"/>
    </xf>
    <xf numFmtId="165" fontId="46" fillId="0" borderId="0" xfId="0" applyNumberFormat="1" applyFont="1" applyBorder="1" applyAlignment="1" applyProtection="1">
      <alignment horizontal="center"/>
    </xf>
    <xf numFmtId="0" fontId="46" fillId="0" borderId="66" xfId="0" quotePrefix="1" applyNumberFormat="1" applyFont="1" applyBorder="1" applyAlignment="1" applyProtection="1">
      <alignment horizontal="center"/>
    </xf>
    <xf numFmtId="0" fontId="46" fillId="0" borderId="0" xfId="0" applyNumberFormat="1" applyFont="1" applyBorder="1" applyAlignment="1" applyProtection="1">
      <alignment horizontal="center"/>
    </xf>
    <xf numFmtId="0" fontId="46" fillId="0" borderId="0" xfId="0" quotePrefix="1" applyNumberFormat="1" applyFont="1" applyBorder="1" applyAlignment="1" applyProtection="1">
      <alignment horizontal="center"/>
    </xf>
    <xf numFmtId="164" fontId="65" fillId="0" borderId="0" xfId="0" applyNumberFormat="1" applyFont="1" applyAlignment="1" applyProtection="1"/>
    <xf numFmtId="170" fontId="46" fillId="0" borderId="82" xfId="0" applyNumberFormat="1" applyFont="1" applyBorder="1" applyAlignment="1" applyProtection="1"/>
    <xf numFmtId="164" fontId="66" fillId="0" borderId="86" xfId="0" applyNumberFormat="1" applyFont="1" applyBorder="1" applyAlignment="1" applyProtection="1"/>
    <xf numFmtId="170" fontId="39" fillId="0" borderId="82" xfId="0" applyNumberFormat="1" applyFont="1" applyBorder="1" applyAlignment="1" applyProtection="1"/>
    <xf numFmtId="166" fontId="46" fillId="0" borderId="82" xfId="0" applyNumberFormat="1" applyFont="1" applyBorder="1" applyAlignment="1" applyProtection="1"/>
    <xf numFmtId="164" fontId="66" fillId="0" borderId="84" xfId="0" applyNumberFormat="1" applyFont="1" applyBorder="1" applyAlignment="1" applyProtection="1"/>
    <xf numFmtId="174" fontId="46" fillId="0" borderId="81" xfId="0" applyNumberFormat="1" applyFont="1" applyBorder="1" applyAlignment="1" applyProtection="1"/>
    <xf numFmtId="164" fontId="66" fillId="0" borderId="17" xfId="0" applyNumberFormat="1" applyFont="1" applyBorder="1" applyAlignment="1" applyProtection="1"/>
    <xf numFmtId="172" fontId="39" fillId="0" borderId="0" xfId="1940" applyNumberFormat="1" applyFont="1" applyBorder="1" applyAlignment="1" applyProtection="1"/>
    <xf numFmtId="0" fontId="184" fillId="0" borderId="0" xfId="9967"/>
    <xf numFmtId="0" fontId="44" fillId="0" borderId="0" xfId="9967" applyNumberFormat="1" applyFont="1" applyFill="1"/>
    <xf numFmtId="0" fontId="44" fillId="0" borderId="0" xfId="9967" applyNumberFormat="1" applyFont="1" applyFill="1" applyAlignment="1">
      <alignment horizontal="center"/>
    </xf>
    <xf numFmtId="0" fontId="45" fillId="0" borderId="66" xfId="9967" applyNumberFormat="1" applyFont="1" applyFill="1" applyBorder="1" applyAlignment="1">
      <alignment horizontal="center"/>
    </xf>
    <xf numFmtId="0" fontId="44" fillId="0" borderId="92" xfId="9967" applyNumberFormat="1" applyFont="1" applyFill="1" applyBorder="1"/>
    <xf numFmtId="0" fontId="45" fillId="0" borderId="66" xfId="9967" applyNumberFormat="1" applyFont="1" applyFill="1" applyBorder="1" applyAlignment="1">
      <alignment horizontal="centerContinuous"/>
    </xf>
    <xf numFmtId="0" fontId="45" fillId="0" borderId="0" xfId="9967" applyNumberFormat="1" applyFont="1" applyFill="1" applyAlignment="1">
      <alignment horizontal="center"/>
    </xf>
    <xf numFmtId="43" fontId="45" fillId="0" borderId="0" xfId="9967" applyNumberFormat="1" applyFont="1" applyFill="1" applyAlignment="1">
      <alignment horizontal="center"/>
    </xf>
    <xf numFmtId="0" fontId="44" fillId="0" borderId="72" xfId="9967" applyNumberFormat="1" applyFont="1" applyFill="1" applyBorder="1"/>
    <xf numFmtId="0" fontId="45" fillId="0" borderId="0" xfId="9967" quotePrefix="1" applyNumberFormat="1" applyFont="1" applyFill="1" applyAlignment="1">
      <alignment horizontal="center"/>
    </xf>
    <xf numFmtId="170" fontId="39" fillId="0" borderId="0" xfId="2" applyNumberFormat="1" applyFont="1" applyAlignment="1"/>
    <xf numFmtId="170" fontId="46" fillId="0" borderId="0" xfId="2" applyNumberFormat="1" applyFont="1" applyBorder="1" applyAlignment="1"/>
    <xf numFmtId="166" fontId="61" fillId="0" borderId="0" xfId="2" applyNumberFormat="1" applyFont="1" applyAlignment="1"/>
    <xf numFmtId="0" fontId="68" fillId="0" borderId="0" xfId="2" quotePrefix="1" applyNumberFormat="1" applyFont="1" applyAlignment="1">
      <alignment horizontal="left"/>
    </xf>
    <xf numFmtId="0" fontId="40" fillId="0" borderId="0" xfId="2" quotePrefix="1" applyNumberFormat="1" applyFont="1" applyAlignment="1">
      <alignment horizontal="left"/>
    </xf>
    <xf numFmtId="0" fontId="39" fillId="0" borderId="0" xfId="5517" applyFont="1" applyFill="1"/>
    <xf numFmtId="170" fontId="39" fillId="0" borderId="0" xfId="5517" applyNumberFormat="1" applyFont="1" applyFill="1"/>
    <xf numFmtId="186" fontId="45" fillId="0" borderId="68" xfId="860" quotePrefix="1" applyNumberFormat="1" applyFont="1" applyBorder="1" applyAlignment="1">
      <alignment horizontal="centerContinuous"/>
    </xf>
    <xf numFmtId="170" fontId="46" fillId="0" borderId="45" xfId="2" applyNumberFormat="1" applyFont="1" applyFill="1" applyBorder="1" applyAlignment="1"/>
    <xf numFmtId="170" fontId="39" fillId="0" borderId="0" xfId="2" quotePrefix="1" applyNumberFormat="1" applyFont="1" applyFill="1" applyAlignment="1"/>
    <xf numFmtId="0" fontId="46" fillId="0" borderId="0" xfId="2" applyNumberFormat="1" applyFont="1" applyAlignment="1">
      <alignment horizontal="left"/>
    </xf>
    <xf numFmtId="170" fontId="46" fillId="0" borderId="94" xfId="2" applyNumberFormat="1" applyFont="1" applyBorder="1" applyAlignment="1"/>
    <xf numFmtId="37" fontId="185" fillId="0" borderId="0" xfId="2" applyNumberFormat="1" applyFont="1" applyBorder="1" applyAlignment="1"/>
    <xf numFmtId="174" fontId="185" fillId="0" borderId="0" xfId="2" applyNumberFormat="1" applyFont="1"/>
    <xf numFmtId="0" fontId="45" fillId="0" borderId="0" xfId="0" applyNumberFormat="1" applyFont="1"/>
    <xf numFmtId="0" fontId="45" fillId="0" borderId="0" xfId="0" quotePrefix="1" applyNumberFormat="1" applyFont="1" applyAlignment="1">
      <alignment horizontal="left"/>
    </xf>
    <xf numFmtId="0" fontId="60" fillId="0" borderId="0" xfId="2" quotePrefix="1" applyNumberFormat="1" applyFont="1" applyAlignment="1">
      <alignment horizontal="center"/>
    </xf>
    <xf numFmtId="44" fontId="44" fillId="0" borderId="0" xfId="0" applyNumberFormat="1" applyFont="1" applyFill="1" applyAlignment="1"/>
    <xf numFmtId="4" fontId="44" fillId="0" borderId="0" xfId="0" applyNumberFormat="1" applyFont="1" applyFill="1" applyAlignment="1">
      <alignment horizontal="right"/>
    </xf>
    <xf numFmtId="43" fontId="44" fillId="0" borderId="0" xfId="0" applyNumberFormat="1" applyFont="1" applyFill="1" applyAlignment="1">
      <alignment horizontal="right"/>
    </xf>
    <xf numFmtId="43" fontId="44" fillId="0" borderId="0" xfId="0" quotePrefix="1" applyNumberFormat="1" applyFont="1" applyFill="1" applyAlignment="1">
      <alignment horizontal="right"/>
    </xf>
    <xf numFmtId="0" fontId="44" fillId="0" borderId="0" xfId="0" applyNumberFormat="1" applyFont="1" applyFill="1" applyAlignment="1">
      <alignment horizontal="center"/>
    </xf>
    <xf numFmtId="177" fontId="68" fillId="0" borderId="16" xfId="836" applyNumberFormat="1" applyFont="1" applyFill="1" applyBorder="1" applyAlignment="1">
      <alignment horizontal="right"/>
    </xf>
    <xf numFmtId="0" fontId="51" fillId="0" borderId="0" xfId="8" applyFont="1"/>
    <xf numFmtId="0" fontId="51" fillId="0" borderId="0" xfId="8" applyFont="1" applyFill="1" applyAlignment="1"/>
    <xf numFmtId="0" fontId="99" fillId="0" borderId="0" xfId="8" applyFont="1"/>
    <xf numFmtId="172" fontId="0" fillId="0" borderId="0" xfId="0" applyNumberFormat="1" applyFont="1" applyBorder="1" applyAlignment="1" applyProtection="1"/>
    <xf numFmtId="170" fontId="46" fillId="0" borderId="16" xfId="0" applyNumberFormat="1" applyFont="1" applyFill="1" applyBorder="1" applyAlignment="1" applyProtection="1"/>
    <xf numFmtId="170" fontId="46" fillId="0" borderId="66" xfId="2" applyNumberFormat="1" applyFont="1" applyFill="1" applyBorder="1" applyAlignment="1" applyProtection="1"/>
    <xf numFmtId="170" fontId="78" fillId="0" borderId="0" xfId="2" applyNumberFormat="1" applyFont="1" applyFill="1" applyAlignment="1"/>
    <xf numFmtId="40" fontId="67" fillId="0" borderId="0" xfId="25861" applyNumberFormat="1" applyFont="1" applyAlignment="1"/>
    <xf numFmtId="39" fontId="67" fillId="0" borderId="0" xfId="25861" applyNumberFormat="1" applyFont="1" applyAlignment="1"/>
    <xf numFmtId="165" fontId="84" fillId="0" borderId="0" xfId="840" applyNumberFormat="1" applyFont="1" applyAlignment="1"/>
    <xf numFmtId="0" fontId="84" fillId="0" borderId="0" xfId="840" applyNumberFormat="1" applyFont="1" applyAlignment="1">
      <alignment horizontal="left"/>
    </xf>
    <xf numFmtId="42" fontId="46" fillId="0" borderId="81" xfId="840" applyNumberFormat="1" applyFont="1" applyBorder="1" applyAlignment="1"/>
    <xf numFmtId="41" fontId="39" fillId="0" borderId="84" xfId="11" applyNumberFormat="1" applyFont="1" applyBorder="1" applyAlignment="1"/>
    <xf numFmtId="41" fontId="39" fillId="0" borderId="84" xfId="840" quotePrefix="1" applyNumberFormat="1" applyFont="1" applyBorder="1" applyAlignment="1">
      <alignment horizontal="center"/>
    </xf>
    <xf numFmtId="41" fontId="46" fillId="0" borderId="86" xfId="840" quotePrefix="1" applyNumberFormat="1" applyFont="1" applyBorder="1" applyAlignment="1"/>
    <xf numFmtId="41" fontId="46" fillId="0" borderId="86" xfId="840" applyNumberFormat="1" applyFont="1" applyFill="1" applyBorder="1" applyAlignment="1"/>
    <xf numFmtId="41" fontId="46" fillId="0" borderId="86" xfId="840" applyNumberFormat="1" applyFont="1" applyBorder="1" applyAlignment="1"/>
    <xf numFmtId="190" fontId="39" fillId="0" borderId="82" xfId="11" applyNumberFormat="1" applyFont="1" applyBorder="1" applyAlignment="1"/>
    <xf numFmtId="39" fontId="39" fillId="0" borderId="82" xfId="840" applyNumberFormat="1" applyFont="1" applyBorder="1" applyAlignment="1"/>
    <xf numFmtId="170" fontId="63" fillId="0" borderId="0" xfId="2" quotePrefix="1" applyNumberFormat="1" applyFont="1" applyFill="1" applyAlignment="1"/>
    <xf numFmtId="170" fontId="46" fillId="0" borderId="45" xfId="2" applyNumberFormat="1" applyFont="1" applyBorder="1" applyAlignment="1">
      <alignment horizontal="right"/>
    </xf>
    <xf numFmtId="170" fontId="63" fillId="0" borderId="0" xfId="2" applyNumberFormat="1" applyFont="1" applyFill="1" applyAlignment="1"/>
    <xf numFmtId="177" fontId="68" fillId="0" borderId="0" xfId="836" applyNumberFormat="1" applyFont="1" applyFill="1" applyBorder="1" applyAlignment="1">
      <alignment horizontal="right"/>
    </xf>
    <xf numFmtId="43" fontId="46" fillId="0" borderId="87" xfId="1767" applyNumberFormat="1" applyFont="1" applyFill="1" applyBorder="1" applyAlignment="1" applyProtection="1">
      <alignment horizontal="right"/>
    </xf>
    <xf numFmtId="44" fontId="46" fillId="0" borderId="87" xfId="1767" applyNumberFormat="1" applyFont="1" applyFill="1" applyBorder="1" applyAlignment="1" applyProtection="1">
      <alignment horizontal="right"/>
    </xf>
    <xf numFmtId="164" fontId="168" fillId="0" borderId="0" xfId="0" applyFont="1"/>
    <xf numFmtId="43" fontId="46" fillId="0" borderId="87" xfId="17924" applyFont="1" applyFill="1" applyBorder="1" applyAlignment="1" applyProtection="1">
      <alignment horizontal="right"/>
    </xf>
    <xf numFmtId="172" fontId="68" fillId="0" borderId="0" xfId="0" applyNumberFormat="1" applyFont="1" applyBorder="1" applyAlignment="1" applyProtection="1"/>
    <xf numFmtId="172" fontId="68" fillId="0" borderId="66" xfId="0" applyNumberFormat="1" applyFont="1" applyBorder="1" applyAlignment="1" applyProtection="1"/>
    <xf numFmtId="0" fontId="44" fillId="0" borderId="0" xfId="0" applyNumberFormat="1" applyFont="1" applyFill="1" applyBorder="1" applyAlignment="1">
      <alignment horizontal="left" vertical="top" wrapText="1"/>
    </xf>
    <xf numFmtId="165" fontId="188" fillId="0" borderId="0" xfId="840" applyNumberFormat="1" applyFont="1" applyAlignment="1"/>
    <xf numFmtId="165" fontId="39" fillId="0" borderId="0" xfId="0" applyNumberFormat="1" applyFont="1" applyFill="1" applyProtection="1">
      <protection locked="0"/>
    </xf>
    <xf numFmtId="0" fontId="68" fillId="0" borderId="0" xfId="17029" quotePrefix="1" applyNumberFormat="1" applyFont="1" applyFill="1" applyAlignment="1">
      <alignment horizontal="left"/>
    </xf>
    <xf numFmtId="0" fontId="45" fillId="0" borderId="66" xfId="0" applyNumberFormat="1" applyFont="1" applyFill="1" applyBorder="1" applyAlignment="1">
      <alignment horizontal="center"/>
    </xf>
    <xf numFmtId="49" fontId="45" fillId="0" borderId="66" xfId="9967" applyNumberFormat="1" applyFont="1" applyFill="1" applyBorder="1" applyAlignment="1">
      <alignment horizontal="center"/>
    </xf>
    <xf numFmtId="0" fontId="44" fillId="0" borderId="72" xfId="0" applyNumberFormat="1" applyFont="1" applyFill="1" applyBorder="1"/>
    <xf numFmtId="0" fontId="44" fillId="0" borderId="72" xfId="0" applyNumberFormat="1" applyFont="1" applyFill="1" applyBorder="1" applyAlignment="1"/>
    <xf numFmtId="4" fontId="44" fillId="0" borderId="0" xfId="0" applyNumberFormat="1" applyFont="1" applyFill="1"/>
    <xf numFmtId="39" fontId="44" fillId="0" borderId="0" xfId="0" applyNumberFormat="1" applyFont="1" applyFill="1" applyBorder="1" applyAlignment="1"/>
    <xf numFmtId="39" fontId="44" fillId="0" borderId="0" xfId="0" quotePrefix="1" applyNumberFormat="1" applyFont="1" applyFill="1" applyBorder="1" applyAlignment="1">
      <alignment horizontal="right"/>
    </xf>
    <xf numFmtId="4" fontId="44" fillId="0" borderId="0" xfId="0" applyNumberFormat="1" applyFont="1" applyFill="1" applyBorder="1" applyAlignment="1">
      <alignment horizontal="right"/>
    </xf>
    <xf numFmtId="0" fontId="45" fillId="0" borderId="0" xfId="0" applyNumberFormat="1" applyFont="1" applyFill="1" applyAlignment="1">
      <alignment horizontal="right"/>
    </xf>
    <xf numFmtId="0" fontId="45" fillId="0" borderId="0" xfId="0" applyNumberFormat="1" applyFont="1" applyFill="1" applyAlignment="1"/>
    <xf numFmtId="0" fontId="45" fillId="0" borderId="49" xfId="0" applyNumberFormat="1" applyFont="1" applyFill="1" applyBorder="1" applyAlignment="1"/>
    <xf numFmtId="7" fontId="45" fillId="0" borderId="0" xfId="0" applyNumberFormat="1" applyFont="1" applyFill="1"/>
    <xf numFmtId="0" fontId="45" fillId="0" borderId="0" xfId="0" quotePrefix="1" applyNumberFormat="1" applyFont="1" applyFill="1" applyAlignment="1"/>
    <xf numFmtId="0" fontId="45" fillId="0" borderId="0" xfId="0" applyNumberFormat="1" applyFont="1" applyFill="1" applyAlignment="1">
      <alignment horizontal="right" vertical="top"/>
    </xf>
    <xf numFmtId="39" fontId="45" fillId="0" borderId="0" xfId="0" applyNumberFormat="1" applyFont="1" applyFill="1" applyAlignment="1">
      <alignment horizontal="center" vertical="top"/>
    </xf>
    <xf numFmtId="7" fontId="45" fillId="0" borderId="0" xfId="0" applyNumberFormat="1" applyFont="1" applyFill="1" applyAlignment="1">
      <alignment horizontal="right" vertical="top"/>
    </xf>
    <xf numFmtId="187" fontId="44" fillId="0" borderId="0" xfId="0" applyNumberFormat="1" applyFont="1" applyFill="1" applyAlignment="1">
      <alignment horizontal="center" vertical="top"/>
    </xf>
    <xf numFmtId="187" fontId="44" fillId="0" borderId="0" xfId="0" applyNumberFormat="1" applyFont="1" applyFill="1" applyAlignment="1">
      <alignment horizontal="right" vertical="top"/>
    </xf>
    <xf numFmtId="0" fontId="44" fillId="0" borderId="0" xfId="5508" applyFont="1" applyFill="1" applyBorder="1"/>
    <xf numFmtId="0" fontId="46" fillId="0" borderId="0" xfId="5508" applyFont="1" applyFill="1" applyBorder="1"/>
    <xf numFmtId="0" fontId="45" fillId="0" borderId="0" xfId="5508" applyFont="1" applyFill="1" applyBorder="1"/>
    <xf numFmtId="0" fontId="44" fillId="0" borderId="0" xfId="5508" applyFont="1" applyFill="1" applyBorder="1" applyAlignment="1">
      <alignment horizontal="center"/>
    </xf>
    <xf numFmtId="37" fontId="44" fillId="0" borderId="0" xfId="5508" applyNumberFormat="1" applyFont="1" applyFill="1" applyBorder="1"/>
    <xf numFmtId="0" fontId="39" fillId="0" borderId="0" xfId="5508" applyNumberFormat="1" applyFont="1" applyFill="1" applyBorder="1" applyAlignment="1"/>
    <xf numFmtId="0" fontId="39" fillId="0" borderId="0" xfId="5508" applyFont="1" applyFill="1" applyBorder="1" applyAlignment="1"/>
    <xf numFmtId="170" fontId="46" fillId="0" borderId="0" xfId="2" applyNumberFormat="1" applyFont="1" applyFill="1" applyAlignment="1">
      <alignment vertical="center"/>
    </xf>
    <xf numFmtId="172" fontId="46" fillId="0" borderId="66" xfId="1940" applyNumberFormat="1" applyFont="1" applyBorder="1" applyAlignment="1" applyProtection="1"/>
    <xf numFmtId="0" fontId="140" fillId="0" borderId="0" xfId="8" applyFont="1" applyFill="1" applyAlignment="1"/>
    <xf numFmtId="0" fontId="140" fillId="0" borderId="0" xfId="8" applyFont="1" applyFill="1"/>
    <xf numFmtId="0" fontId="39" fillId="0" borderId="0" xfId="8" applyFont="1" applyFill="1"/>
    <xf numFmtId="191" fontId="51" fillId="0" borderId="0" xfId="8" quotePrefix="1" applyNumberFormat="1" applyFont="1" applyFill="1" applyAlignment="1">
      <alignment horizontal="right"/>
    </xf>
    <xf numFmtId="166" fontId="51" fillId="0" borderId="0" xfId="8" quotePrefix="1" applyNumberFormat="1" applyFont="1" applyFill="1" applyAlignment="1">
      <alignment horizontal="right"/>
    </xf>
    <xf numFmtId="0" fontId="39" fillId="0" borderId="0" xfId="8" applyFont="1" applyFill="1" applyAlignment="1"/>
    <xf numFmtId="166" fontId="51" fillId="0" borderId="0" xfId="8" applyNumberFormat="1" applyFont="1" applyFill="1" applyAlignment="1">
      <alignment horizontal="right" vertical="top"/>
    </xf>
    <xf numFmtId="0" fontId="99" fillId="0" borderId="0" xfId="8" applyFont="1" applyFill="1"/>
    <xf numFmtId="0" fontId="51" fillId="0" borderId="0" xfId="8" applyFont="1" applyFill="1" applyAlignment="1">
      <alignment horizontal="left"/>
    </xf>
    <xf numFmtId="0" fontId="166" fillId="0" borderId="0" xfId="8" applyFont="1" applyFill="1"/>
    <xf numFmtId="165" fontId="51" fillId="0" borderId="0" xfId="8" quotePrefix="1" applyNumberFormat="1" applyFont="1" applyFill="1" applyAlignment="1">
      <alignment horizontal="right"/>
    </xf>
    <xf numFmtId="0" fontId="51" fillId="0" borderId="0" xfId="8" quotePrefix="1" applyFont="1" applyFill="1" applyAlignment="1"/>
    <xf numFmtId="0" fontId="115" fillId="0" borderId="0" xfId="8" quotePrefix="1" applyNumberFormat="1" applyFont="1" applyFill="1" applyAlignment="1">
      <alignment horizontal="right"/>
    </xf>
    <xf numFmtId="0" fontId="139" fillId="0" borderId="0" xfId="8" applyFont="1" applyFill="1" applyAlignment="1">
      <alignment horizontal="left"/>
    </xf>
    <xf numFmtId="0" fontId="115" fillId="0" borderId="0" xfId="8" quotePrefix="1" applyFont="1" applyFill="1" applyAlignment="1">
      <alignment horizontal="right"/>
    </xf>
    <xf numFmtId="0" fontId="148" fillId="0" borderId="0" xfId="861" applyNumberFormat="1" applyBorder="1" applyAlignment="1" applyProtection="1"/>
    <xf numFmtId="0" fontId="46" fillId="0" borderId="0" xfId="1776" applyNumberFormat="1" applyFont="1" applyAlignment="1">
      <alignment horizontal="center"/>
    </xf>
    <xf numFmtId="170" fontId="61" fillId="0" borderId="0" xfId="2" applyNumberFormat="1" applyFont="1" applyFill="1" applyAlignment="1"/>
    <xf numFmtId="0" fontId="46" fillId="0" borderId="66" xfId="2" applyFont="1" applyFill="1" applyBorder="1" applyAlignment="1">
      <alignment horizontal="center"/>
    </xf>
    <xf numFmtId="0" fontId="39" fillId="0" borderId="66" xfId="2" applyFont="1" applyFill="1" applyBorder="1" applyAlignment="1">
      <alignment horizontal="center"/>
    </xf>
    <xf numFmtId="37" fontId="46" fillId="0" borderId="66" xfId="2" quotePrefix="1" applyNumberFormat="1" applyFont="1" applyBorder="1" applyAlignment="1">
      <alignment horizontal="center"/>
    </xf>
    <xf numFmtId="37" fontId="67" fillId="0" borderId="0" xfId="2" applyNumberFormat="1" applyFont="1" applyFill="1"/>
    <xf numFmtId="37" fontId="44" fillId="0" borderId="20" xfId="2" applyNumberFormat="1" applyFont="1" applyFill="1" applyBorder="1" applyAlignment="1"/>
    <xf numFmtId="37" fontId="39" fillId="0" borderId="0" xfId="2" applyNumberFormat="1" applyFont="1" applyFill="1" applyAlignment="1"/>
    <xf numFmtId="170" fontId="46" fillId="0" borderId="0" xfId="2" quotePrefix="1" applyNumberFormat="1" applyFont="1" applyFill="1" applyBorder="1" applyAlignment="1">
      <alignment horizontal="center"/>
    </xf>
    <xf numFmtId="37" fontId="39" fillId="0" borderId="0" xfId="2" quotePrefix="1" applyNumberFormat="1" applyFont="1" applyFill="1" applyAlignment="1">
      <alignment horizontal="center"/>
    </xf>
    <xf numFmtId="41" fontId="44" fillId="0" borderId="0" xfId="0" applyNumberFormat="1" applyFont="1" applyFill="1"/>
    <xf numFmtId="167" fontId="39" fillId="0" borderId="0" xfId="2" quotePrefix="1" applyNumberFormat="1" applyFont="1" applyAlignment="1">
      <alignment horizontal="center"/>
    </xf>
    <xf numFmtId="194" fontId="39" fillId="0" borderId="0" xfId="2" quotePrefix="1" applyNumberFormat="1" applyFont="1" applyAlignment="1">
      <alignment horizontal="center"/>
    </xf>
    <xf numFmtId="0" fontId="139" fillId="0" borderId="0" xfId="8" applyFont="1" applyFill="1" applyAlignment="1"/>
    <xf numFmtId="169" fontId="51" fillId="0" borderId="0" xfId="8" quotePrefix="1" applyNumberFormat="1" applyFont="1" applyFill="1" applyAlignment="1">
      <alignment horizontal="right"/>
    </xf>
    <xf numFmtId="164" fontId="41" fillId="0" borderId="0" xfId="0" applyNumberFormat="1" applyFont="1" applyFill="1" applyBorder="1" applyAlignment="1" applyProtection="1"/>
    <xf numFmtId="170" fontId="39" fillId="0" borderId="0" xfId="2" applyNumberFormat="1" applyFont="1" applyFill="1"/>
    <xf numFmtId="170" fontId="46" fillId="0" borderId="10" xfId="0" applyNumberFormat="1" applyFont="1" applyFill="1" applyBorder="1" applyAlignment="1" applyProtection="1"/>
    <xf numFmtId="0" fontId="68" fillId="0" borderId="0" xfId="2" applyNumberFormat="1" applyFont="1" applyFill="1" applyAlignment="1"/>
    <xf numFmtId="174" fontId="68" fillId="0" borderId="20" xfId="2" quotePrefix="1" applyNumberFormat="1" applyFont="1" applyFill="1" applyBorder="1" applyAlignment="1">
      <alignment horizontal="right"/>
    </xf>
    <xf numFmtId="174" fontId="68" fillId="0" borderId="0" xfId="2" applyNumberFormat="1" applyFont="1" applyFill="1" applyAlignment="1"/>
    <xf numFmtId="174" fontId="68" fillId="0" borderId="0" xfId="2" applyNumberFormat="1" applyFont="1" applyFill="1" applyAlignment="1" applyProtection="1">
      <protection locked="0"/>
    </xf>
    <xf numFmtId="174" fontId="68" fillId="0" borderId="24" xfId="2" applyNumberFormat="1" applyFont="1" applyFill="1" applyBorder="1" applyAlignment="1" applyProtection="1">
      <protection locked="0"/>
    </xf>
    <xf numFmtId="174" fontId="68" fillId="0" borderId="21" xfId="2" applyNumberFormat="1" applyFont="1" applyFill="1" applyBorder="1" applyAlignment="1" applyProtection="1">
      <protection locked="0"/>
    </xf>
    <xf numFmtId="174" fontId="169" fillId="0" borderId="0" xfId="2" quotePrefix="1" applyNumberFormat="1" applyFont="1" applyFill="1" applyBorder="1" applyAlignment="1">
      <alignment horizontal="right"/>
    </xf>
    <xf numFmtId="169" fontId="169" fillId="0" borderId="15" xfId="2" applyNumberFormat="1" applyFont="1" applyFill="1" applyBorder="1" applyAlignment="1" applyProtection="1">
      <alignment horizontal="right"/>
      <protection locked="0"/>
    </xf>
    <xf numFmtId="174" fontId="169" fillId="0" borderId="0" xfId="2" applyNumberFormat="1" applyFont="1" applyFill="1" applyBorder="1" applyAlignment="1"/>
    <xf numFmtId="0" fontId="170" fillId="0" borderId="0" xfId="2" applyNumberFormat="1" applyFont="1" applyFill="1" applyBorder="1" applyAlignment="1"/>
    <xf numFmtId="164" fontId="169" fillId="0" borderId="0" xfId="1940" applyNumberFormat="1" applyFont="1" applyFill="1" applyAlignment="1"/>
    <xf numFmtId="0" fontId="97" fillId="0" borderId="0" xfId="2" applyNumberFormat="1" applyFont="1" applyFill="1" applyAlignment="1"/>
    <xf numFmtId="0" fontId="63" fillId="0" borderId="0" xfId="2" quotePrefix="1" applyNumberFormat="1" applyFont="1" applyFill="1" applyAlignment="1">
      <alignment horizontal="left"/>
    </xf>
    <xf numFmtId="170" fontId="63" fillId="0" borderId="10" xfId="2" quotePrefix="1" applyNumberFormat="1" applyFont="1" applyFill="1" applyBorder="1" applyAlignment="1">
      <alignment horizontal="right"/>
    </xf>
    <xf numFmtId="170" fontId="63" fillId="0" borderId="0" xfId="2" applyNumberFormat="1" applyFont="1" applyFill="1" applyBorder="1" applyAlignment="1" applyProtection="1">
      <protection locked="0"/>
    </xf>
    <xf numFmtId="170" fontId="63" fillId="0" borderId="0" xfId="2" applyNumberFormat="1" applyFont="1" applyFill="1" applyAlignment="1" applyProtection="1">
      <protection locked="0"/>
    </xf>
    <xf numFmtId="170" fontId="63" fillId="0" borderId="24" xfId="2" applyNumberFormat="1" applyFont="1" applyFill="1" applyBorder="1" applyAlignment="1" applyProtection="1">
      <protection locked="0"/>
    </xf>
    <xf numFmtId="170" fontId="63" fillId="0" borderId="21" xfId="2" applyNumberFormat="1" applyFont="1" applyFill="1" applyBorder="1" applyAlignment="1" applyProtection="1">
      <protection locked="0"/>
    </xf>
    <xf numFmtId="170" fontId="170" fillId="0" borderId="0" xfId="2" quotePrefix="1" applyNumberFormat="1" applyFont="1" applyFill="1" applyBorder="1" applyAlignment="1">
      <alignment horizontal="right"/>
    </xf>
    <xf numFmtId="166" fontId="170" fillId="0" borderId="15" xfId="2" applyNumberFormat="1" applyFont="1" applyFill="1" applyBorder="1" applyAlignment="1" applyProtection="1">
      <protection locked="0"/>
    </xf>
    <xf numFmtId="170" fontId="63" fillId="0" borderId="0" xfId="2" applyNumberFormat="1" applyFont="1" applyFill="1" applyBorder="1" applyAlignment="1"/>
    <xf numFmtId="164" fontId="170" fillId="0" borderId="0" xfId="1940" applyNumberFormat="1" applyFont="1" applyFill="1" applyAlignment="1"/>
    <xf numFmtId="170" fontId="63" fillId="0" borderId="0" xfId="2" quotePrefix="1" applyNumberFormat="1" applyFont="1" applyFill="1" applyAlignment="1">
      <alignment horizontal="center"/>
    </xf>
    <xf numFmtId="170" fontId="170" fillId="0" borderId="0" xfId="2" quotePrefix="1" applyNumberFormat="1" applyFont="1" applyFill="1" applyBorder="1" applyAlignment="1"/>
    <xf numFmtId="170" fontId="170" fillId="0" borderId="0" xfId="2" quotePrefix="1" applyNumberFormat="1" applyFont="1" applyFill="1" applyAlignment="1"/>
    <xf numFmtId="0" fontId="170" fillId="0" borderId="15" xfId="2" applyNumberFormat="1" applyFont="1" applyFill="1" applyBorder="1" applyAlignment="1"/>
    <xf numFmtId="164" fontId="63" fillId="0" borderId="0" xfId="0" applyNumberFormat="1" applyFont="1" applyFill="1" applyBorder="1" applyAlignment="1" applyProtection="1"/>
    <xf numFmtId="170" fontId="170" fillId="0" borderId="0" xfId="2" quotePrefix="1" applyNumberFormat="1" applyFont="1" applyFill="1" applyAlignment="1">
      <alignment horizontal="center"/>
    </xf>
    <xf numFmtId="0" fontId="170" fillId="0" borderId="0" xfId="2" applyNumberFormat="1" applyFont="1" applyFill="1" applyBorder="1" applyAlignment="1">
      <alignment horizontal="center"/>
    </xf>
    <xf numFmtId="166" fontId="170" fillId="0" borderId="15" xfId="2" quotePrefix="1" applyNumberFormat="1" applyFont="1" applyFill="1" applyBorder="1" applyAlignment="1" applyProtection="1">
      <alignment horizontal="right"/>
      <protection locked="0"/>
    </xf>
    <xf numFmtId="166" fontId="170" fillId="0" borderId="15" xfId="2" applyNumberFormat="1" applyFont="1" applyFill="1" applyBorder="1" applyAlignment="1" applyProtection="1">
      <alignment horizontal="center"/>
      <protection locked="0"/>
    </xf>
    <xf numFmtId="174" fontId="68" fillId="0" borderId="20" xfId="2" quotePrefix="1" applyNumberFormat="1" applyFont="1" applyFill="1" applyBorder="1" applyAlignment="1"/>
    <xf numFmtId="174" fontId="68" fillId="0" borderId="0" xfId="2" applyNumberFormat="1" applyFont="1" applyFill="1" applyBorder="1" applyAlignment="1">
      <alignment horizontal="right"/>
    </xf>
    <xf numFmtId="180" fontId="39" fillId="0" borderId="0" xfId="1767" applyNumberFormat="1" applyFont="1" applyFill="1" applyAlignment="1">
      <alignment horizontal="left"/>
    </xf>
    <xf numFmtId="177" fontId="39" fillId="0" borderId="0" xfId="1767" applyNumberFormat="1" applyFont="1" applyFill="1" applyAlignment="1">
      <alignment horizontal="right"/>
    </xf>
    <xf numFmtId="170" fontId="63" fillId="0" borderId="0" xfId="2" quotePrefix="1" applyNumberFormat="1" applyFont="1" applyFill="1" applyBorder="1" applyAlignment="1">
      <alignment horizontal="right"/>
    </xf>
    <xf numFmtId="170" fontId="170" fillId="0" borderId="0" xfId="2" applyNumberFormat="1" applyFont="1" applyFill="1" applyBorder="1" applyAlignment="1"/>
    <xf numFmtId="177" fontId="39" fillId="0" borderId="0" xfId="1767" applyNumberFormat="1" applyFont="1" applyFill="1" applyAlignment="1">
      <alignment horizontal="left"/>
    </xf>
    <xf numFmtId="180" fontId="63" fillId="0" borderId="0" xfId="1767" applyNumberFormat="1" applyFont="1" applyFill="1" applyAlignment="1">
      <alignment horizontal="left"/>
    </xf>
    <xf numFmtId="177" fontId="63" fillId="0" borderId="0" xfId="1767" applyNumberFormat="1" applyFont="1" applyFill="1" applyAlignment="1">
      <alignment horizontal="right"/>
    </xf>
    <xf numFmtId="177" fontId="63" fillId="0" borderId="0" xfId="740" applyNumberFormat="1" applyFont="1" applyAlignment="1">
      <alignment horizontal="right"/>
    </xf>
    <xf numFmtId="180" fontId="63" fillId="0" borderId="0" xfId="740" applyNumberFormat="1" applyFont="1" applyFill="1" applyAlignment="1">
      <alignment horizontal="center"/>
    </xf>
    <xf numFmtId="177" fontId="63" fillId="0" borderId="0" xfId="1767" applyNumberFormat="1" applyFont="1" applyFill="1" applyAlignment="1">
      <alignment horizontal="left"/>
    </xf>
    <xf numFmtId="177" fontId="63" fillId="0" borderId="0" xfId="740" applyNumberFormat="1" applyFont="1" applyFill="1" applyAlignment="1">
      <alignment horizontal="center"/>
    </xf>
    <xf numFmtId="177" fontId="63" fillId="0" borderId="66" xfId="1767" applyNumberFormat="1" applyFont="1" applyFill="1" applyBorder="1" applyAlignment="1">
      <alignment horizontal="left"/>
    </xf>
    <xf numFmtId="177" fontId="63" fillId="0" borderId="66" xfId="740" applyNumberFormat="1" applyFont="1" applyFill="1" applyBorder="1" applyAlignment="1">
      <alignment horizontal="center"/>
    </xf>
    <xf numFmtId="170" fontId="63" fillId="0" borderId="21" xfId="2" applyNumberFormat="1" applyFont="1" applyFill="1" applyBorder="1" applyAlignment="1"/>
    <xf numFmtId="170" fontId="68" fillId="0" borderId="0" xfId="2" quotePrefix="1" applyNumberFormat="1" applyFont="1" applyFill="1" applyAlignment="1">
      <alignment horizontal="right"/>
    </xf>
    <xf numFmtId="170" fontId="170" fillId="0" borderId="66" xfId="2" applyNumberFormat="1" applyFont="1" applyFill="1" applyBorder="1" applyAlignment="1"/>
    <xf numFmtId="164" fontId="170" fillId="0" borderId="66" xfId="1940" applyNumberFormat="1" applyFont="1" applyFill="1" applyBorder="1" applyAlignment="1"/>
    <xf numFmtId="170" fontId="78" fillId="0" borderId="0" xfId="2" quotePrefix="1" applyNumberFormat="1" applyFont="1" applyAlignment="1">
      <alignment horizontal="right"/>
    </xf>
    <xf numFmtId="170" fontId="78" fillId="0" borderId="0" xfId="2" applyNumberFormat="1" applyFont="1" applyFill="1" applyAlignment="1">
      <alignment horizontal="right"/>
    </xf>
    <xf numFmtId="170" fontId="78" fillId="0" borderId="84" xfId="2" applyNumberFormat="1" applyFont="1" applyBorder="1" applyAlignment="1">
      <alignment horizontal="right"/>
    </xf>
    <xf numFmtId="166" fontId="81" fillId="0" borderId="0" xfId="2" applyNumberFormat="1" applyFont="1" applyFill="1" applyAlignment="1"/>
    <xf numFmtId="166" fontId="78" fillId="0" borderId="0" xfId="2" applyNumberFormat="1" applyFont="1" applyFill="1" applyAlignment="1"/>
    <xf numFmtId="170" fontId="80" fillId="0" borderId="0" xfId="2" applyNumberFormat="1" applyFont="1" applyFill="1" applyAlignment="1">
      <alignment horizontal="right"/>
    </xf>
    <xf numFmtId="170" fontId="78" fillId="0" borderId="21" xfId="2" applyNumberFormat="1" applyFont="1" applyFill="1" applyBorder="1" applyAlignment="1"/>
    <xf numFmtId="166" fontId="170" fillId="0" borderId="15" xfId="2" applyNumberFormat="1" applyFont="1" applyFill="1" applyBorder="1" applyAlignment="1"/>
    <xf numFmtId="174" fontId="170" fillId="0" borderId="0" xfId="2" applyNumberFormat="1" applyFont="1" applyFill="1" applyBorder="1" applyAlignment="1"/>
    <xf numFmtId="169" fontId="170" fillId="0" borderId="0" xfId="2" applyNumberFormat="1" applyFont="1" applyFill="1" applyBorder="1" applyAlignment="1"/>
    <xf numFmtId="166" fontId="67" fillId="0" borderId="0" xfId="2" applyNumberFormat="1" applyFont="1" applyFill="1" applyAlignment="1"/>
    <xf numFmtId="165" fontId="65" fillId="0" borderId="0" xfId="2" applyNumberFormat="1" applyFont="1" applyFill="1" applyAlignment="1"/>
    <xf numFmtId="170" fontId="39" fillId="0" borderId="10" xfId="2" quotePrefix="1" applyNumberFormat="1" applyFont="1" applyFill="1" applyBorder="1" applyAlignment="1">
      <alignment horizontal="right"/>
    </xf>
    <xf numFmtId="170" fontId="39" fillId="0" borderId="0" xfId="2" quotePrefix="1" applyNumberFormat="1" applyFont="1" applyFill="1" applyBorder="1" applyAlignment="1"/>
    <xf numFmtId="164" fontId="0" fillId="0" borderId="0" xfId="0" applyFill="1"/>
    <xf numFmtId="177" fontId="101" fillId="0" borderId="0" xfId="1767" applyNumberFormat="1" applyFont="1" applyFill="1" applyAlignment="1"/>
    <xf numFmtId="177" fontId="39" fillId="0" borderId="0" xfId="740" applyNumberFormat="1" applyFont="1" applyFill="1" applyAlignment="1">
      <alignment horizontal="right"/>
    </xf>
    <xf numFmtId="177" fontId="39" fillId="0" borderId="0" xfId="1767" applyNumberFormat="1" applyFont="1" applyFill="1" applyAlignment="1">
      <alignment horizontal="center"/>
    </xf>
    <xf numFmtId="177" fontId="39" fillId="0" borderId="0" xfId="1767" applyNumberFormat="1" applyFont="1" applyFill="1" applyAlignment="1"/>
    <xf numFmtId="177" fontId="39" fillId="0" borderId="0" xfId="1767" quotePrefix="1" applyNumberFormat="1" applyFont="1" applyFill="1" applyAlignment="1">
      <alignment horizontal="center"/>
    </xf>
    <xf numFmtId="166" fontId="39" fillId="0" borderId="0" xfId="2" applyNumberFormat="1" applyFont="1" applyFill="1" applyBorder="1"/>
    <xf numFmtId="164" fontId="39" fillId="0" borderId="0" xfId="0" applyNumberFormat="1" applyFont="1" applyFill="1" applyBorder="1" applyAlignment="1" applyProtection="1"/>
    <xf numFmtId="164" fontId="39" fillId="0" borderId="0" xfId="0" applyNumberFormat="1" applyFont="1" applyFill="1" applyBorder="1" applyAlignment="1" applyProtection="1">
      <protection locked="0"/>
    </xf>
    <xf numFmtId="0" fontId="41" fillId="0" borderId="0" xfId="2" quotePrefix="1" applyNumberFormat="1" applyFont="1" applyFill="1" applyAlignment="1">
      <alignment horizontal="left"/>
    </xf>
    <xf numFmtId="164" fontId="41" fillId="0" borderId="0" xfId="0" applyNumberFormat="1" applyFont="1" applyFill="1" applyBorder="1" applyAlignment="1" applyProtection="1">
      <protection locked="0"/>
    </xf>
    <xf numFmtId="164" fontId="41" fillId="0" borderId="66" xfId="0" applyNumberFormat="1" applyFont="1" applyFill="1" applyBorder="1" applyAlignment="1" applyProtection="1">
      <protection locked="0"/>
    </xf>
    <xf numFmtId="172" fontId="39" fillId="0" borderId="0" xfId="0" applyNumberFormat="1" applyFont="1" applyFill="1" applyBorder="1" applyAlignment="1" applyProtection="1"/>
    <xf numFmtId="164" fontId="39" fillId="0" borderId="0" xfId="7" applyNumberFormat="1" applyFont="1" applyFill="1" applyAlignment="1">
      <alignment horizontal="right"/>
    </xf>
    <xf numFmtId="164" fontId="0" fillId="0" borderId="66" xfId="2" applyNumberFormat="1" applyFont="1" applyFill="1" applyBorder="1"/>
    <xf numFmtId="174" fontId="60" fillId="0" borderId="0" xfId="2" applyNumberFormat="1" applyFont="1" applyFill="1" applyAlignment="1"/>
    <xf numFmtId="41" fontId="46" fillId="0" borderId="95" xfId="840" applyNumberFormat="1" applyFont="1" applyFill="1" applyBorder="1" applyAlignment="1"/>
    <xf numFmtId="165" fontId="42" fillId="0" borderId="0" xfId="840" applyNumberFormat="1" applyFont="1" applyFill="1" applyAlignment="1" applyProtection="1">
      <protection locked="0"/>
    </xf>
    <xf numFmtId="165" fontId="67" fillId="0" borderId="0" xfId="840" applyNumberFormat="1" applyFont="1" applyFill="1" applyAlignment="1"/>
    <xf numFmtId="165" fontId="69" fillId="0" borderId="0" xfId="840" applyNumberFormat="1" applyFont="1" applyFill="1" applyAlignment="1">
      <alignment horizontal="left"/>
    </xf>
    <xf numFmtId="165" fontId="110" fillId="0" borderId="0" xfId="840" applyNumberFormat="1" applyFont="1" applyFill="1" applyAlignment="1">
      <alignment horizontal="right"/>
    </xf>
    <xf numFmtId="39" fontId="44" fillId="0" borderId="0" xfId="840" applyNumberFormat="1" applyFont="1" applyFill="1" applyAlignment="1"/>
    <xf numFmtId="40" fontId="44" fillId="0" borderId="0" xfId="840" applyNumberFormat="1" applyFont="1" applyFill="1" applyAlignment="1"/>
    <xf numFmtId="39" fontId="67" fillId="0" borderId="0" xfId="19" applyNumberFormat="1" applyFont="1" applyFill="1" applyAlignment="1"/>
    <xf numFmtId="190" fontId="110" fillId="0" borderId="0" xfId="11" applyNumberFormat="1" applyFont="1" applyFill="1" applyAlignment="1">
      <alignment horizontal="right"/>
    </xf>
    <xf numFmtId="190" fontId="163" fillId="0" borderId="0" xfId="11" applyNumberFormat="1" applyFont="1" applyFill="1" applyAlignment="1">
      <alignment horizontal="right"/>
    </xf>
    <xf numFmtId="40" fontId="39" fillId="0" borderId="0" xfId="840" applyNumberFormat="1" applyFont="1" applyFill="1" applyAlignment="1">
      <alignment horizontal="center"/>
    </xf>
    <xf numFmtId="40" fontId="46" fillId="0" borderId="0" xfId="840" applyNumberFormat="1" applyFont="1" applyFill="1" applyAlignment="1"/>
    <xf numFmtId="190" fontId="39" fillId="0" borderId="0" xfId="11" applyNumberFormat="1" applyFont="1" applyFill="1" applyAlignment="1">
      <alignment horizontal="center"/>
    </xf>
    <xf numFmtId="0" fontId="69" fillId="0" borderId="0" xfId="840" applyNumberFormat="1" applyFont="1" applyFill="1" applyAlignment="1">
      <alignment horizontal="left"/>
    </xf>
    <xf numFmtId="0" fontId="69" fillId="0" borderId="0" xfId="840" quotePrefix="1" applyNumberFormat="1" applyFont="1" applyFill="1" applyAlignment="1">
      <alignment horizontal="left"/>
    </xf>
    <xf numFmtId="0" fontId="68" fillId="0" borderId="0" xfId="840" applyNumberFormat="1" applyFont="1" applyFill="1" applyAlignment="1"/>
    <xf numFmtId="40" fontId="39" fillId="0" borderId="0" xfId="840" quotePrefix="1" applyNumberFormat="1" applyFont="1" applyFill="1" applyAlignment="1">
      <alignment horizontal="center"/>
    </xf>
    <xf numFmtId="165" fontId="44" fillId="0" borderId="0" xfId="840" applyNumberFormat="1" applyFont="1" applyFill="1" applyAlignment="1"/>
    <xf numFmtId="40" fontId="46" fillId="0" borderId="0" xfId="840" quotePrefix="1" applyNumberFormat="1" applyFont="1" applyFill="1" applyBorder="1" applyAlignment="1">
      <alignment horizontal="left"/>
    </xf>
    <xf numFmtId="40" fontId="46" fillId="0" borderId="0" xfId="840" applyNumberFormat="1" applyFont="1" applyFill="1" applyBorder="1" applyAlignment="1">
      <alignment horizontal="left"/>
    </xf>
    <xf numFmtId="165" fontId="39" fillId="0" borderId="0" xfId="840" applyNumberFormat="1" applyFont="1" applyFill="1" applyAlignment="1"/>
    <xf numFmtId="0" fontId="46" fillId="0" borderId="0" xfId="840" quotePrefix="1" applyNumberFormat="1" applyFont="1" applyFill="1" applyAlignment="1">
      <alignment horizontal="center"/>
    </xf>
    <xf numFmtId="39" fontId="46" fillId="0" borderId="0" xfId="840" quotePrefix="1" applyNumberFormat="1" applyFont="1" applyFill="1" applyAlignment="1">
      <alignment horizontal="center"/>
    </xf>
    <xf numFmtId="40" fontId="46" fillId="0" borderId="0" xfId="840" applyNumberFormat="1" applyFont="1" applyFill="1" applyAlignment="1">
      <alignment horizontal="center"/>
    </xf>
    <xf numFmtId="40" fontId="46" fillId="0" borderId="0" xfId="840" applyNumberFormat="1" applyFont="1" applyFill="1" applyBorder="1" applyAlignment="1">
      <alignment horizontal="center"/>
    </xf>
    <xf numFmtId="186" fontId="46" fillId="0" borderId="0" xfId="840" quotePrefix="1" applyNumberFormat="1" applyFont="1" applyFill="1" applyBorder="1" applyAlignment="1">
      <alignment horizontal="center"/>
    </xf>
    <xf numFmtId="39" fontId="39" fillId="0" borderId="20" xfId="840" applyNumberFormat="1" applyFont="1" applyFill="1" applyBorder="1" applyAlignment="1"/>
    <xf numFmtId="39" fontId="39" fillId="0" borderId="0" xfId="840" applyNumberFormat="1" applyFont="1" applyFill="1" applyBorder="1" applyAlignment="1"/>
    <xf numFmtId="40" fontId="39" fillId="0" borderId="0" xfId="840" applyNumberFormat="1" applyFont="1" applyFill="1" applyAlignment="1"/>
    <xf numFmtId="190" fontId="39" fillId="0" borderId="20" xfId="11" applyNumberFormat="1" applyFont="1" applyFill="1" applyBorder="1" applyAlignment="1"/>
    <xf numFmtId="165" fontId="67" fillId="0" borderId="0" xfId="840" applyNumberFormat="1" applyFont="1" applyFill="1" applyBorder="1" applyAlignment="1"/>
    <xf numFmtId="42" fontId="39" fillId="0" borderId="0" xfId="840" applyNumberFormat="1" applyFont="1" applyFill="1" applyAlignment="1"/>
    <xf numFmtId="165" fontId="77" fillId="0" borderId="0" xfId="840" applyNumberFormat="1" applyFont="1" applyFill="1" applyAlignment="1"/>
    <xf numFmtId="0" fontId="39" fillId="0" borderId="0" xfId="840" applyNumberFormat="1" applyFont="1" applyFill="1" applyAlignment="1"/>
    <xf numFmtId="37" fontId="39" fillId="0" borderId="0" xfId="840" applyNumberFormat="1" applyFont="1" applyFill="1" applyBorder="1" applyAlignment="1"/>
    <xf numFmtId="190" fontId="39" fillId="0" borderId="0" xfId="11" applyNumberFormat="1" applyFont="1" applyFill="1" applyAlignment="1"/>
    <xf numFmtId="41" fontId="46" fillId="0" borderId="0" xfId="840" applyNumberFormat="1" applyFont="1" applyFill="1" applyAlignment="1"/>
    <xf numFmtId="43" fontId="77" fillId="0" borderId="0" xfId="11" applyFont="1" applyFill="1" applyAlignment="1"/>
    <xf numFmtId="43" fontId="67" fillId="0" borderId="0" xfId="11" applyFont="1" applyFill="1" applyAlignment="1"/>
    <xf numFmtId="41" fontId="67" fillId="0" borderId="0" xfId="840" applyNumberFormat="1" applyFont="1" applyFill="1" applyAlignment="1"/>
    <xf numFmtId="41" fontId="46" fillId="0" borderId="95" xfId="840" quotePrefix="1" applyNumberFormat="1" applyFont="1" applyFill="1" applyBorder="1" applyAlignment="1"/>
    <xf numFmtId="41" fontId="46" fillId="0" borderId="16" xfId="840" quotePrefix="1" applyNumberFormat="1" applyFont="1" applyFill="1" applyBorder="1" applyAlignment="1"/>
    <xf numFmtId="41" fontId="39" fillId="0" borderId="84" xfId="840" quotePrefix="1" applyNumberFormat="1" applyFont="1" applyFill="1" applyBorder="1" applyAlignment="1">
      <alignment horizontal="center"/>
    </xf>
    <xf numFmtId="41" fontId="39" fillId="0" borderId="19" xfId="11" applyNumberFormat="1" applyFont="1" applyFill="1" applyBorder="1" applyAlignment="1"/>
    <xf numFmtId="41" fontId="46" fillId="0" borderId="66" xfId="840" applyNumberFormat="1" applyFont="1" applyFill="1" applyBorder="1" applyAlignment="1"/>
    <xf numFmtId="190" fontId="39" fillId="0" borderId="0" xfId="11" applyNumberFormat="1" applyFont="1" applyFill="1" applyBorder="1" applyAlignment="1"/>
    <xf numFmtId="42" fontId="46" fillId="0" borderId="81" xfId="840" applyNumberFormat="1" applyFont="1" applyFill="1" applyBorder="1" applyAlignment="1"/>
    <xf numFmtId="40" fontId="39" fillId="0" borderId="0" xfId="840" applyNumberFormat="1" applyFont="1" applyFill="1" applyBorder="1" applyAlignment="1"/>
    <xf numFmtId="0" fontId="44" fillId="0" borderId="0" xfId="840" applyNumberFormat="1" applyFont="1" applyFill="1" applyAlignment="1">
      <alignment horizontal="left"/>
    </xf>
    <xf numFmtId="39" fontId="39" fillId="0" borderId="0" xfId="840" applyNumberFormat="1" applyFont="1" applyFill="1" applyAlignment="1"/>
    <xf numFmtId="0" fontId="63" fillId="0" borderId="0" xfId="840" quotePrefix="1" applyNumberFormat="1" applyFont="1" applyFill="1" applyAlignment="1">
      <alignment horizontal="left"/>
    </xf>
    <xf numFmtId="190" fontId="44" fillId="0" borderId="0" xfId="11" applyNumberFormat="1" applyFont="1" applyFill="1" applyAlignment="1"/>
    <xf numFmtId="40" fontId="67" fillId="0" borderId="0" xfId="19" applyNumberFormat="1" applyFont="1" applyFill="1" applyAlignment="1"/>
    <xf numFmtId="190" fontId="67" fillId="0" borderId="0" xfId="11" applyNumberFormat="1" applyFont="1" applyFill="1" applyAlignment="1"/>
    <xf numFmtId="174" fontId="39" fillId="0" borderId="0" xfId="0" applyNumberFormat="1" applyFont="1" applyFill="1" applyAlignment="1" applyProtection="1"/>
    <xf numFmtId="170" fontId="39" fillId="0" borderId="0" xfId="0" quotePrefix="1" applyNumberFormat="1" applyFont="1" applyFill="1" applyAlignment="1" applyProtection="1">
      <alignment horizontal="right"/>
    </xf>
    <xf numFmtId="170" fontId="39" fillId="0" borderId="0" xfId="0" quotePrefix="1" applyNumberFormat="1" applyFont="1" applyFill="1" applyAlignment="1" applyProtection="1">
      <alignment horizontal="center"/>
    </xf>
    <xf numFmtId="170" fontId="39" fillId="0" borderId="0" xfId="0" quotePrefix="1" applyNumberFormat="1" applyFont="1" applyFill="1" applyBorder="1" applyAlignment="1" applyProtection="1">
      <alignment horizontal="center"/>
    </xf>
    <xf numFmtId="170" fontId="39" fillId="0" borderId="0" xfId="0" quotePrefix="1" applyNumberFormat="1" applyFont="1" applyFill="1" applyBorder="1" applyAlignment="1" applyProtection="1"/>
    <xf numFmtId="170" fontId="41" fillId="0" borderId="0" xfId="2" applyNumberFormat="1" applyFont="1" applyFill="1" applyBorder="1"/>
    <xf numFmtId="172" fontId="0" fillId="0" borderId="0" xfId="0" applyNumberFormat="1" applyFont="1" applyFill="1" applyBorder="1" applyAlignment="1" applyProtection="1"/>
    <xf numFmtId="165" fontId="39" fillId="0" borderId="0" xfId="0" applyNumberFormat="1" applyFont="1" applyFill="1" applyAlignment="1"/>
    <xf numFmtId="174" fontId="39" fillId="0" borderId="0" xfId="5517" applyNumberFormat="1" applyFont="1" applyFill="1"/>
    <xf numFmtId="166" fontId="39" fillId="0" borderId="0" xfId="2" applyNumberFormat="1" applyFont="1" applyFill="1" applyAlignment="1">
      <alignment horizontal="right"/>
    </xf>
    <xf numFmtId="164" fontId="0" fillId="0" borderId="0" xfId="2" applyNumberFormat="1" applyFont="1" applyFill="1" applyBorder="1" applyProtection="1"/>
    <xf numFmtId="174" fontId="39" fillId="0" borderId="0" xfId="0" quotePrefix="1" applyNumberFormat="1" applyFont="1" applyFill="1" applyAlignment="1" applyProtection="1">
      <alignment horizontal="left"/>
    </xf>
    <xf numFmtId="170" fontId="46" fillId="0" borderId="85" xfId="0" applyNumberFormat="1" applyFont="1" applyFill="1" applyBorder="1" applyAlignment="1" applyProtection="1"/>
    <xf numFmtId="170" fontId="39" fillId="0" borderId="82" xfId="0" quotePrefix="1" applyNumberFormat="1" applyFont="1" applyFill="1" applyBorder="1" applyAlignment="1" applyProtection="1">
      <alignment horizontal="center"/>
    </xf>
    <xf numFmtId="170" fontId="46" fillId="0" borderId="82" xfId="0" applyNumberFormat="1" applyFont="1" applyFill="1" applyBorder="1" applyAlignment="1" applyProtection="1"/>
    <xf numFmtId="170" fontId="39" fillId="0" borderId="82" xfId="0" applyNumberFormat="1" applyFont="1" applyFill="1" applyBorder="1" applyAlignment="1" applyProtection="1"/>
    <xf numFmtId="170" fontId="46" fillId="0" borderId="82" xfId="0" quotePrefix="1" applyNumberFormat="1" applyFont="1" applyFill="1" applyBorder="1" applyAlignment="1" applyProtection="1">
      <alignment horizontal="center"/>
    </xf>
    <xf numFmtId="170" fontId="39" fillId="0" borderId="0" xfId="0" quotePrefix="1" applyNumberFormat="1" applyFont="1" applyFill="1" applyBorder="1" applyAlignment="1" applyProtection="1">
      <alignment horizontal="right"/>
    </xf>
    <xf numFmtId="170" fontId="39" fillId="0" borderId="0" xfId="0" quotePrefix="1" applyNumberFormat="1" applyFont="1" applyFill="1" applyAlignment="1" applyProtection="1"/>
    <xf numFmtId="167" fontId="41" fillId="0" borderId="0" xfId="0" applyNumberFormat="1" applyFont="1" applyFill="1" applyBorder="1" applyAlignment="1" applyProtection="1"/>
    <xf numFmtId="9" fontId="44" fillId="0" borderId="0" xfId="2" applyNumberFormat="1" applyFont="1" applyFill="1" applyAlignment="1"/>
    <xf numFmtId="166" fontId="41" fillId="0" borderId="47" xfId="2" applyNumberFormat="1" applyFont="1" applyFill="1" applyBorder="1" applyAlignment="1"/>
    <xf numFmtId="165" fontId="39" fillId="0" borderId="0" xfId="2" applyNumberFormat="1" applyFont="1" applyFill="1" applyAlignment="1">
      <alignment horizontal="right"/>
    </xf>
    <xf numFmtId="164" fontId="39" fillId="0" borderId="0" xfId="2" applyNumberFormat="1" applyFont="1" applyFill="1" applyAlignment="1" applyProtection="1">
      <alignment horizontal="right"/>
    </xf>
    <xf numFmtId="164" fontId="39" fillId="0" borderId="66" xfId="0" applyNumberFormat="1" applyFont="1" applyFill="1" applyBorder="1" applyAlignment="1" applyProtection="1"/>
    <xf numFmtId="3" fontId="41" fillId="0" borderId="0" xfId="2" applyNumberFormat="1" applyFont="1" applyFill="1" applyAlignment="1"/>
    <xf numFmtId="3" fontId="41" fillId="0" borderId="0" xfId="2" applyNumberFormat="1" applyFont="1" applyFill="1" applyAlignment="1">
      <alignment horizontal="left"/>
    </xf>
    <xf numFmtId="164" fontId="39" fillId="0" borderId="0" xfId="2" applyNumberFormat="1" applyFont="1" applyFill="1" applyBorder="1" applyAlignment="1" applyProtection="1">
      <alignment horizontal="right"/>
    </xf>
    <xf numFmtId="165" fontId="41" fillId="0" borderId="0" xfId="2" applyNumberFormat="1" applyFont="1" applyFill="1" applyAlignment="1">
      <alignment horizontal="left"/>
    </xf>
    <xf numFmtId="170" fontId="46" fillId="0" borderId="47" xfId="2" applyNumberFormat="1" applyFont="1" applyFill="1" applyBorder="1" applyAlignment="1"/>
    <xf numFmtId="164" fontId="39" fillId="0" borderId="0" xfId="2" applyNumberFormat="1" applyFont="1" applyFill="1" applyAlignment="1" applyProtection="1"/>
    <xf numFmtId="164" fontId="44" fillId="0" borderId="0" xfId="2" applyNumberFormat="1" applyFont="1" applyFill="1" applyAlignment="1"/>
    <xf numFmtId="164" fontId="46" fillId="0" borderId="45" xfId="2" applyNumberFormat="1" applyFont="1" applyFill="1" applyBorder="1" applyAlignment="1" applyProtection="1"/>
    <xf numFmtId="164" fontId="46" fillId="0" borderId="0" xfId="2" applyNumberFormat="1" applyFont="1" applyFill="1" applyBorder="1" applyAlignment="1" applyProtection="1"/>
    <xf numFmtId="164" fontId="39" fillId="0" borderId="0" xfId="2" applyNumberFormat="1" applyFont="1" applyFill="1" applyAlignment="1" applyProtection="1">
      <protection locked="0"/>
    </xf>
    <xf numFmtId="172" fontId="39" fillId="0" borderId="0" xfId="2" applyNumberFormat="1" applyFont="1" applyFill="1" applyAlignment="1" applyProtection="1">
      <protection locked="0"/>
    </xf>
    <xf numFmtId="0" fontId="49" fillId="0" borderId="0" xfId="2" applyNumberFormat="1" applyFont="1" applyFill="1" applyAlignment="1"/>
    <xf numFmtId="174" fontId="39" fillId="0" borderId="47" xfId="2" applyNumberFormat="1" applyFont="1" applyFill="1" applyBorder="1" applyAlignment="1">
      <alignment horizontal="center"/>
    </xf>
    <xf numFmtId="164" fontId="46" fillId="0" borderId="0" xfId="2" applyNumberFormat="1" applyFont="1" applyFill="1" applyAlignment="1" applyProtection="1">
      <protection locked="0"/>
    </xf>
    <xf numFmtId="165" fontId="45" fillId="0" borderId="0" xfId="2" applyNumberFormat="1" applyFont="1" applyFill="1" applyAlignment="1"/>
    <xf numFmtId="164" fontId="39" fillId="0" borderId="0" xfId="0" applyNumberFormat="1" applyFont="1" applyFill="1" applyProtection="1">
      <protection locked="0"/>
    </xf>
    <xf numFmtId="172" fontId="39" fillId="0" borderId="0" xfId="2" applyNumberFormat="1" applyFont="1" applyFill="1" applyAlignment="1" applyProtection="1"/>
    <xf numFmtId="174" fontId="39" fillId="0" borderId="0" xfId="0" quotePrefix="1" applyNumberFormat="1" applyFont="1" applyFill="1" applyBorder="1" applyAlignment="1" applyProtection="1"/>
    <xf numFmtId="164" fontId="39" fillId="0" borderId="0" xfId="0" quotePrefix="1" applyNumberFormat="1" applyFont="1" applyFill="1" applyBorder="1" applyAlignment="1" applyProtection="1"/>
    <xf numFmtId="164" fontId="65" fillId="0" borderId="0" xfId="0" applyNumberFormat="1" applyFont="1" applyFill="1" applyAlignment="1" applyProtection="1"/>
    <xf numFmtId="164" fontId="65" fillId="0" borderId="66" xfId="0" applyNumberFormat="1" applyFont="1" applyFill="1" applyBorder="1" applyAlignment="1" applyProtection="1"/>
    <xf numFmtId="170" fontId="46" fillId="0" borderId="86" xfId="0" applyNumberFormat="1" applyFont="1" applyFill="1" applyBorder="1" applyAlignment="1" applyProtection="1"/>
    <xf numFmtId="164" fontId="66" fillId="0" borderId="86" xfId="0" applyNumberFormat="1" applyFont="1" applyFill="1" applyBorder="1" applyAlignment="1" applyProtection="1"/>
    <xf numFmtId="39" fontId="44" fillId="0" borderId="0" xfId="0" quotePrefix="1" applyNumberFormat="1" applyFont="1" applyFill="1" applyAlignment="1">
      <alignment horizontal="right"/>
    </xf>
    <xf numFmtId="170" fontId="46" fillId="0" borderId="70" xfId="2" applyNumberFormat="1" applyFont="1" applyBorder="1" applyAlignment="1"/>
    <xf numFmtId="170" fontId="46" fillId="0" borderId="70" xfId="2" applyNumberFormat="1" applyFont="1" applyFill="1" applyBorder="1" applyAlignment="1"/>
    <xf numFmtId="170" fontId="0" fillId="0" borderId="0" xfId="0" applyNumberFormat="1" applyFont="1" applyAlignment="1" applyProtection="1">
      <alignment horizontal="right"/>
      <protection locked="0"/>
    </xf>
    <xf numFmtId="166" fontId="39" fillId="0" borderId="20" xfId="2" applyNumberFormat="1" applyFont="1" applyBorder="1" applyAlignment="1"/>
    <xf numFmtId="170" fontId="46" fillId="0" borderId="66" xfId="5517" applyNumberFormat="1" applyFont="1" applyFill="1" applyBorder="1"/>
    <xf numFmtId="166" fontId="39" fillId="0" borderId="0" xfId="2" applyNumberFormat="1" applyFont="1" applyAlignment="1" applyProtection="1"/>
    <xf numFmtId="170" fontId="46" fillId="0" borderId="45" xfId="1046" applyNumberFormat="1" applyFont="1" applyFill="1" applyBorder="1"/>
    <xf numFmtId="170" fontId="46" fillId="0" borderId="0" xfId="1046" applyNumberFormat="1" applyFont="1" applyFill="1" applyBorder="1"/>
    <xf numFmtId="170" fontId="63" fillId="0" borderId="0" xfId="2" applyNumberFormat="1" applyFont="1" applyAlignment="1">
      <alignment horizontal="right"/>
    </xf>
    <xf numFmtId="170" fontId="63" fillId="0" borderId="10" xfId="2" quotePrefix="1" applyNumberFormat="1" applyFont="1" applyBorder="1" applyAlignment="1">
      <alignment horizontal="right"/>
    </xf>
    <xf numFmtId="0" fontId="0" fillId="0" borderId="0" xfId="2" applyNumberFormat="1" applyFont="1" applyFill="1" applyAlignment="1"/>
    <xf numFmtId="170" fontId="166" fillId="0" borderId="0" xfId="2" applyNumberFormat="1" applyFont="1" applyFill="1" applyBorder="1"/>
    <xf numFmtId="170" fontId="167" fillId="0" borderId="15" xfId="2" applyNumberFormat="1" applyFont="1" applyFill="1" applyBorder="1"/>
    <xf numFmtId="174" fontId="46" fillId="0" borderId="81" xfId="2" applyNumberFormat="1" applyFont="1" applyFill="1" applyBorder="1" applyAlignment="1"/>
    <xf numFmtId="0" fontId="46" fillId="0" borderId="0" xfId="2" applyNumberFormat="1" applyFont="1" applyFill="1" applyBorder="1" applyAlignment="1" applyProtection="1"/>
    <xf numFmtId="167" fontId="46" fillId="0" borderId="0" xfId="2" applyNumberFormat="1" applyFont="1" applyFill="1" applyAlignment="1"/>
    <xf numFmtId="167" fontId="46" fillId="0" borderId="0" xfId="2" applyNumberFormat="1" applyFont="1" applyFill="1" applyBorder="1"/>
    <xf numFmtId="174" fontId="46" fillId="0" borderId="0" xfId="2" applyNumberFormat="1" applyFont="1" applyBorder="1" applyAlignment="1">
      <alignment horizontal="center"/>
    </xf>
    <xf numFmtId="164" fontId="46" fillId="0" borderId="0" xfId="2" applyNumberFormat="1" applyFont="1" applyFill="1" applyAlignment="1" applyProtection="1"/>
    <xf numFmtId="164" fontId="46" fillId="0" borderId="81" xfId="2" applyNumberFormat="1" applyFont="1" applyBorder="1" applyAlignment="1" applyProtection="1"/>
    <xf numFmtId="196" fontId="44" fillId="0" borderId="0" xfId="2" applyNumberFormat="1" applyFont="1" applyAlignment="1"/>
    <xf numFmtId="172" fontId="46" fillId="0" borderId="66" xfId="2" applyNumberFormat="1" applyFont="1" applyBorder="1" applyAlignment="1" applyProtection="1"/>
    <xf numFmtId="170" fontId="41" fillId="0" borderId="96" xfId="2" applyNumberFormat="1" applyFont="1" applyBorder="1" applyAlignment="1"/>
    <xf numFmtId="174" fontId="46" fillId="0" borderId="81" xfId="2" applyNumberFormat="1" applyFont="1" applyBorder="1" applyAlignment="1"/>
    <xf numFmtId="165" fontId="41" fillId="0" borderId="96" xfId="2" applyNumberFormat="1" applyFont="1" applyBorder="1" applyAlignment="1"/>
    <xf numFmtId="44" fontId="44" fillId="0" borderId="0" xfId="0" applyNumberFormat="1" applyFont="1" applyFill="1"/>
    <xf numFmtId="39" fontId="39" fillId="0" borderId="102" xfId="840" applyNumberFormat="1" applyFont="1" applyBorder="1" applyAlignment="1"/>
    <xf numFmtId="41" fontId="39" fillId="0" borderId="0" xfId="840" applyNumberFormat="1" applyFont="1" applyBorder="1" applyAlignment="1">
      <alignment horizontal="right"/>
    </xf>
    <xf numFmtId="41" fontId="46" fillId="0" borderId="95" xfId="840" applyNumberFormat="1" applyFont="1" applyBorder="1" applyAlignment="1"/>
    <xf numFmtId="41" fontId="39" fillId="0" borderId="0" xfId="840" quotePrefix="1" applyNumberFormat="1" applyFont="1" applyFill="1" applyAlignment="1"/>
    <xf numFmtId="41" fontId="67" fillId="0" borderId="0" xfId="840" applyNumberFormat="1" applyFont="1" applyAlignment="1"/>
    <xf numFmtId="41" fontId="46" fillId="0" borderId="95" xfId="840" quotePrefix="1" applyNumberFormat="1" applyFont="1" applyBorder="1" applyAlignment="1"/>
    <xf numFmtId="41" fontId="39" fillId="0" borderId="103" xfId="840" quotePrefix="1" applyNumberFormat="1" applyFont="1" applyBorder="1" applyAlignment="1">
      <alignment horizontal="center"/>
    </xf>
    <xf numFmtId="41" fontId="39" fillId="0" borderId="103" xfId="840" quotePrefix="1" applyNumberFormat="1" applyFont="1" applyBorder="1" applyAlignment="1">
      <alignment horizontal="right"/>
    </xf>
    <xf numFmtId="170" fontId="39" fillId="0" borderId="102" xfId="2" applyNumberFormat="1" applyFont="1" applyBorder="1" applyAlignment="1"/>
    <xf numFmtId="170" fontId="46" fillId="0" borderId="104" xfId="2" applyNumberFormat="1" applyFont="1" applyBorder="1" applyAlignment="1"/>
    <xf numFmtId="170" fontId="46" fillId="0" borderId="102" xfId="2" applyNumberFormat="1" applyFont="1" applyBorder="1" applyAlignment="1"/>
    <xf numFmtId="170" fontId="46" fillId="0" borderId="102" xfId="2" applyNumberFormat="1" applyFont="1" applyFill="1" applyBorder="1" applyAlignment="1"/>
    <xf numFmtId="170" fontId="39" fillId="0" borderId="102" xfId="2" applyNumberFormat="1" applyFont="1" applyFill="1" applyBorder="1" applyAlignment="1"/>
    <xf numFmtId="172" fontId="41" fillId="0" borderId="0" xfId="1940" applyNumberFormat="1" applyFont="1" applyBorder="1" applyAlignment="1" applyProtection="1"/>
    <xf numFmtId="170" fontId="46" fillId="0" borderId="0" xfId="2" quotePrefix="1" applyNumberFormat="1" applyFont="1" applyAlignment="1">
      <alignment horizontal="right"/>
    </xf>
    <xf numFmtId="174" fontId="41" fillId="0" borderId="0" xfId="2" applyNumberFormat="1" applyFont="1" applyFill="1" applyAlignment="1"/>
    <xf numFmtId="194" fontId="46" fillId="0" borderId="0" xfId="2" quotePrefix="1" applyNumberFormat="1" applyFont="1" applyAlignment="1">
      <alignment horizontal="center"/>
    </xf>
    <xf numFmtId="198" fontId="39" fillId="0" borderId="0" xfId="739" applyNumberFormat="1" applyFont="1" applyBorder="1" applyAlignment="1" applyProtection="1">
      <protection locked="0"/>
    </xf>
    <xf numFmtId="198" fontId="39" fillId="0" borderId="0" xfId="739" applyNumberFormat="1" applyFont="1" applyAlignment="1"/>
    <xf numFmtId="198" fontId="97" fillId="0" borderId="0" xfId="739" applyNumberFormat="1" applyFont="1" applyBorder="1" applyAlignment="1"/>
    <xf numFmtId="198" fontId="97" fillId="0" borderId="0" xfId="739" applyNumberFormat="1" applyFont="1" applyAlignment="1"/>
    <xf numFmtId="198" fontId="96" fillId="0" borderId="0" xfId="739" applyNumberFormat="1" applyFont="1" applyAlignment="1"/>
    <xf numFmtId="42" fontId="98" fillId="0" borderId="81" xfId="739" applyNumberFormat="1" applyFont="1" applyBorder="1" applyAlignment="1"/>
    <xf numFmtId="39" fontId="39" fillId="0" borderId="102" xfId="1776" applyNumberFormat="1" applyFont="1" applyFill="1" applyBorder="1" applyAlignment="1"/>
    <xf numFmtId="43" fontId="46" fillId="0" borderId="98" xfId="1776" applyNumberFormat="1" applyFont="1" applyFill="1" applyBorder="1" applyAlignment="1"/>
    <xf numFmtId="43" fontId="39" fillId="0" borderId="102" xfId="1776" applyNumberFormat="1" applyFont="1" applyFill="1" applyBorder="1" applyAlignment="1"/>
    <xf numFmtId="43" fontId="46" fillId="0" borderId="102" xfId="1776" applyNumberFormat="1" applyFont="1" applyFill="1" applyBorder="1" applyAlignment="1"/>
    <xf numFmtId="43" fontId="46" fillId="0" borderId="95" xfId="1776" applyNumberFormat="1" applyFont="1" applyFill="1" applyBorder="1" applyAlignment="1"/>
    <xf numFmtId="44" fontId="46" fillId="0" borderId="81" xfId="1776" applyNumberFormat="1" applyFont="1" applyFill="1" applyBorder="1" applyAlignment="1">
      <alignment horizontal="right"/>
    </xf>
    <xf numFmtId="39" fontId="39" fillId="0" borderId="102" xfId="1776" applyNumberFormat="1" applyFont="1" applyBorder="1" applyAlignment="1"/>
    <xf numFmtId="43" fontId="46" fillId="0" borderId="95" xfId="1776" applyNumberFormat="1" applyFont="1" applyBorder="1" applyAlignment="1"/>
    <xf numFmtId="43" fontId="39" fillId="0" borderId="102" xfId="1776" applyNumberFormat="1" applyFont="1" applyBorder="1" applyAlignment="1"/>
    <xf numFmtId="0" fontId="46" fillId="0" borderId="102" xfId="17" applyNumberFormat="1" applyFont="1" applyBorder="1" applyAlignment="1"/>
    <xf numFmtId="174" fontId="46" fillId="0" borderId="87" xfId="17" applyNumberFormat="1" applyFont="1" applyBorder="1" applyAlignment="1"/>
    <xf numFmtId="181" fontId="44" fillId="0" borderId="0" xfId="1776" applyNumberFormat="1" applyFont="1" applyAlignment="1"/>
    <xf numFmtId="165" fontId="39" fillId="0" borderId="0" xfId="1776" applyNumberFormat="1" applyFont="1" applyAlignment="1" applyProtection="1">
      <protection locked="0"/>
    </xf>
    <xf numFmtId="181" fontId="68" fillId="0" borderId="0" xfId="1776" applyNumberFormat="1" applyFont="1" applyAlignment="1"/>
    <xf numFmtId="181" fontId="63" fillId="0" borderId="0" xfId="1776" applyNumberFormat="1" applyFont="1" applyAlignment="1"/>
    <xf numFmtId="181" fontId="68" fillId="0" borderId="0" xfId="1776" quotePrefix="1" applyNumberFormat="1" applyFont="1" applyAlignment="1">
      <alignment horizontal="left"/>
    </xf>
    <xf numFmtId="181" fontId="68" fillId="0" borderId="0" xfId="1776" applyNumberFormat="1" applyFont="1" applyAlignment="1">
      <alignment horizontal="center"/>
    </xf>
    <xf numFmtId="181" fontId="104" fillId="0" borderId="0" xfId="1776" applyNumberFormat="1" applyFont="1" applyAlignment="1">
      <alignment horizontal="center"/>
    </xf>
    <xf numFmtId="181" fontId="68" fillId="0" borderId="0" xfId="1776" quotePrefix="1" applyNumberFormat="1" applyFont="1" applyAlignment="1">
      <alignment horizontal="center"/>
    </xf>
    <xf numFmtId="181" fontId="68" fillId="0" borderId="102" xfId="1776" applyNumberFormat="1" applyFont="1" applyBorder="1" applyAlignment="1">
      <alignment horizontal="center"/>
    </xf>
    <xf numFmtId="181" fontId="68" fillId="0" borderId="102" xfId="1776" quotePrefix="1" applyNumberFormat="1" applyFont="1" applyBorder="1" applyAlignment="1">
      <alignment horizontal="fill"/>
    </xf>
    <xf numFmtId="181" fontId="104" fillId="0" borderId="0" xfId="1776" applyNumberFormat="1" applyFont="1" applyAlignment="1"/>
    <xf numFmtId="180" fontId="63" fillId="0" borderId="0" xfId="1776" applyNumberFormat="1" applyFont="1" applyFill="1" applyAlignment="1">
      <alignment horizontal="right"/>
    </xf>
    <xf numFmtId="181" fontId="63" fillId="0" borderId="0" xfId="1776" quotePrefix="1" applyNumberFormat="1" applyFont="1" applyAlignment="1">
      <alignment horizontal="left"/>
    </xf>
    <xf numFmtId="177" fontId="63" fillId="0" borderId="0" xfId="1776" applyNumberFormat="1" applyFont="1" applyFill="1" applyAlignment="1"/>
    <xf numFmtId="177" fontId="63" fillId="0" borderId="0" xfId="1776" applyNumberFormat="1" applyFont="1" applyFill="1" applyAlignment="1">
      <alignment horizontal="right"/>
    </xf>
    <xf numFmtId="181" fontId="68" fillId="0" borderId="0" xfId="1776" applyNumberFormat="1" applyFont="1" applyAlignment="1">
      <alignment horizontal="left"/>
    </xf>
    <xf numFmtId="180" fontId="68" fillId="0" borderId="105" xfId="1776" applyNumberFormat="1" applyFont="1" applyFill="1" applyBorder="1" applyAlignment="1">
      <alignment horizontal="right"/>
    </xf>
    <xf numFmtId="181" fontId="45" fillId="0" borderId="0" xfId="1776" applyNumberFormat="1" applyFont="1" applyAlignment="1"/>
    <xf numFmtId="181" fontId="63" fillId="0" borderId="0" xfId="1776" applyNumberFormat="1" applyFont="1" applyBorder="1" applyAlignment="1"/>
    <xf numFmtId="181" fontId="44" fillId="0" borderId="0" xfId="1776" applyNumberFormat="1" applyFont="1" applyAlignment="1">
      <alignment horizontal="left" vertical="top" wrapText="1"/>
    </xf>
    <xf numFmtId="181" fontId="44" fillId="0" borderId="0" xfId="1776" quotePrefix="1" applyNumberFormat="1" applyFont="1" applyBorder="1" applyAlignment="1">
      <alignment horizontal="left" wrapText="1"/>
    </xf>
    <xf numFmtId="181" fontId="44" fillId="0" borderId="0" xfId="1776" applyNumberFormat="1" applyFont="1" applyBorder="1" applyAlignment="1"/>
    <xf numFmtId="181" fontId="44" fillId="0" borderId="0" xfId="1776" applyNumberFormat="1" applyFont="1" applyBorder="1" applyAlignment="1">
      <alignment horizontal="right"/>
    </xf>
    <xf numFmtId="39" fontId="44" fillId="0" borderId="0" xfId="1776" applyNumberFormat="1" applyFont="1" applyBorder="1" applyAlignment="1"/>
    <xf numFmtId="39" fontId="44" fillId="0" borderId="0" xfId="1776" applyNumberFormat="1" applyFont="1" applyAlignment="1"/>
    <xf numFmtId="181" fontId="44" fillId="0" borderId="0" xfId="1776" quotePrefix="1" applyNumberFormat="1" applyFont="1" applyBorder="1" applyAlignment="1">
      <alignment horizontal="left"/>
    </xf>
    <xf numFmtId="39" fontId="44" fillId="0" borderId="0" xfId="1776" quotePrefix="1" applyNumberFormat="1" applyFont="1" applyBorder="1" applyAlignment="1">
      <alignment horizontal="center"/>
    </xf>
    <xf numFmtId="39" fontId="44" fillId="0" borderId="0" xfId="1776" quotePrefix="1" applyNumberFormat="1" applyFont="1" applyBorder="1" applyAlignment="1">
      <alignment horizontal="right"/>
    </xf>
    <xf numFmtId="181" fontId="45" fillId="0" borderId="0" xfId="1776" quotePrefix="1" applyNumberFormat="1" applyFont="1" applyBorder="1" applyAlignment="1">
      <alignment horizontal="left"/>
    </xf>
    <xf numFmtId="181" fontId="44" fillId="0" borderId="0" xfId="1776" applyNumberFormat="1" applyFont="1" applyBorder="1" applyAlignment="1">
      <alignment horizontal="left"/>
    </xf>
    <xf numFmtId="39" fontId="45" fillId="0" borderId="0" xfId="1776" quotePrefix="1" applyNumberFormat="1" applyFont="1" applyBorder="1" applyAlignment="1">
      <alignment horizontal="center"/>
    </xf>
    <xf numFmtId="39" fontId="45" fillId="0" borderId="0" xfId="1776" applyNumberFormat="1" applyFont="1" applyBorder="1" applyAlignment="1"/>
    <xf numFmtId="172" fontId="170" fillId="0" borderId="0" xfId="1940" applyNumberFormat="1" applyFont="1" applyFill="1" applyAlignment="1"/>
    <xf numFmtId="172" fontId="169" fillId="0" borderId="70" xfId="1940" applyNumberFormat="1" applyFont="1" applyBorder="1" applyAlignment="1"/>
    <xf numFmtId="170" fontId="39" fillId="0" borderId="15" xfId="2" applyNumberFormat="1" applyFont="1" applyFill="1" applyBorder="1" applyAlignment="1">
      <alignment horizontal="right"/>
    </xf>
    <xf numFmtId="170" fontId="41" fillId="0" borderId="0" xfId="1" applyNumberFormat="1" applyFont="1" applyFill="1" applyBorder="1" applyAlignment="1">
      <alignment horizontal="center"/>
    </xf>
    <xf numFmtId="0" fontId="46" fillId="0" borderId="66" xfId="2" applyNumberFormat="1" applyFont="1" applyBorder="1" applyAlignment="1">
      <alignment horizontal="center"/>
    </xf>
    <xf numFmtId="40" fontId="46" fillId="0" borderId="0" xfId="840" quotePrefix="1" applyNumberFormat="1" applyFont="1" applyFill="1" applyAlignment="1">
      <alignment horizontal="center"/>
    </xf>
    <xf numFmtId="37" fontId="39" fillId="0" borderId="0" xfId="2" applyNumberFormat="1" applyFont="1" applyFill="1" applyAlignment="1">
      <alignment horizontal="right"/>
    </xf>
    <xf numFmtId="37" fontId="39" fillId="0" borderId="0" xfId="2" applyNumberFormat="1" applyFont="1" applyFill="1" applyBorder="1" applyAlignment="1"/>
    <xf numFmtId="37" fontId="39" fillId="0" borderId="0" xfId="2" quotePrefix="1" applyNumberFormat="1" applyFont="1" applyFill="1" applyBorder="1" applyAlignment="1">
      <alignment horizontal="center"/>
    </xf>
    <xf numFmtId="37" fontId="39" fillId="0" borderId="0" xfId="2" applyNumberFormat="1" applyFont="1" applyFill="1" applyBorder="1" applyAlignment="1">
      <alignment horizontal="right"/>
    </xf>
    <xf numFmtId="170" fontId="46" fillId="0" borderId="0" xfId="2" quotePrefix="1" applyNumberFormat="1" applyFont="1" applyFill="1" applyAlignment="1">
      <alignment horizontal="right"/>
    </xf>
    <xf numFmtId="37" fontId="39" fillId="0" borderId="0" xfId="2" applyNumberFormat="1" applyFont="1" applyFill="1" applyBorder="1"/>
    <xf numFmtId="0" fontId="39" fillId="0" borderId="0" xfId="1776" applyBorder="1" applyAlignment="1"/>
    <xf numFmtId="181" fontId="44" fillId="0" borderId="0" xfId="1776" applyNumberFormat="1" applyFont="1" applyBorder="1" applyAlignment="1">
      <alignment horizontal="left" vertical="top" wrapText="1"/>
    </xf>
    <xf numFmtId="0" fontId="46" fillId="0" borderId="0" xfId="17" applyNumberFormat="1" applyFont="1" applyAlignment="1">
      <alignment horizontal="left"/>
    </xf>
    <xf numFmtId="0" fontId="39" fillId="0" borderId="0" xfId="17" applyNumberFormat="1" applyFont="1" applyAlignment="1" applyProtection="1">
      <alignment horizontal="left"/>
      <protection locked="0"/>
    </xf>
    <xf numFmtId="0" fontId="46" fillId="0" borderId="0" xfId="17" applyNumberFormat="1" applyFont="1" applyAlignment="1" applyProtection="1">
      <alignment horizontal="left"/>
      <protection locked="0"/>
    </xf>
    <xf numFmtId="190" fontId="168" fillId="0" borderId="0" xfId="1773" applyNumberFormat="1" applyFont="1" applyFill="1"/>
    <xf numFmtId="190" fontId="44" fillId="0" borderId="0" xfId="1773" applyNumberFormat="1" applyFont="1" applyFill="1"/>
    <xf numFmtId="0" fontId="39" fillId="0" borderId="66" xfId="17" applyNumberFormat="1" applyFont="1" applyBorder="1" applyAlignment="1">
      <alignment horizontal="center"/>
    </xf>
    <xf numFmtId="0" fontId="46" fillId="0" borderId="66" xfId="2" applyNumberFormat="1" applyFont="1" applyBorder="1" applyAlignment="1">
      <alignment horizontal="center"/>
    </xf>
    <xf numFmtId="170" fontId="46" fillId="0" borderId="0" xfId="1" applyNumberFormat="1" applyFont="1" applyBorder="1" applyAlignment="1"/>
    <xf numFmtId="0" fontId="68" fillId="0" borderId="0" xfId="1776" applyNumberFormat="1" applyFont="1" applyAlignment="1">
      <alignment horizontal="left"/>
    </xf>
    <xf numFmtId="0" fontId="68" fillId="0" borderId="0" xfId="1776" quotePrefix="1" applyNumberFormat="1" applyFont="1" applyAlignment="1">
      <alignment horizontal="left"/>
    </xf>
    <xf numFmtId="0" fontId="68" fillId="0" borderId="0" xfId="1776" quotePrefix="1" applyNumberFormat="1" applyFont="1" applyAlignment="1">
      <alignment horizontal="center"/>
    </xf>
    <xf numFmtId="0" fontId="68" fillId="0" borderId="0" xfId="1776" applyNumberFormat="1" applyFont="1" applyFill="1" applyAlignment="1">
      <alignment horizontal="left"/>
    </xf>
    <xf numFmtId="0" fontId="63" fillId="0" borderId="0" xfId="1776" applyFont="1" applyFill="1" applyBorder="1" applyAlignment="1">
      <alignment horizontal="left"/>
    </xf>
    <xf numFmtId="0" fontId="46" fillId="0" borderId="0" xfId="1776" quotePrefix="1" applyNumberFormat="1" applyFont="1" applyFill="1" applyAlignment="1">
      <alignment horizontal="center"/>
    </xf>
    <xf numFmtId="0" fontId="39" fillId="0" borderId="0" xfId="1776" applyFont="1" applyFill="1" applyBorder="1" applyAlignment="1">
      <alignment horizontal="center"/>
    </xf>
    <xf numFmtId="43" fontId="39" fillId="0" borderId="66" xfId="1776" applyNumberFormat="1" applyFont="1" applyFill="1" applyBorder="1" applyAlignment="1" applyProtection="1">
      <alignment horizontal="right"/>
    </xf>
    <xf numFmtId="43" fontId="46" fillId="0" borderId="66" xfId="1776" applyNumberFormat="1" applyFont="1" applyBorder="1" applyAlignment="1"/>
    <xf numFmtId="43" fontId="39" fillId="0" borderId="66" xfId="1776" applyNumberFormat="1" applyFont="1" applyBorder="1" applyAlignment="1"/>
    <xf numFmtId="39" fontId="46" fillId="0" borderId="66" xfId="1776" applyNumberFormat="1" applyFont="1" applyFill="1" applyBorder="1" applyAlignment="1">
      <alignment horizontal="center"/>
    </xf>
    <xf numFmtId="43" fontId="46" fillId="0" borderId="66" xfId="1776" applyNumberFormat="1" applyFont="1" applyFill="1" applyBorder="1" applyAlignment="1">
      <alignment horizontal="right"/>
    </xf>
    <xf numFmtId="43" fontId="39" fillId="0" borderId="66" xfId="1776" applyNumberFormat="1" applyFont="1" applyFill="1" applyBorder="1" applyAlignment="1" applyProtection="1"/>
    <xf numFmtId="43" fontId="39" fillId="0" borderId="66" xfId="1776" applyNumberFormat="1" applyFont="1" applyFill="1" applyBorder="1" applyAlignment="1"/>
    <xf numFmtId="170" fontId="39" fillId="0" borderId="0" xfId="1773" applyNumberFormat="1" applyFont="1" applyFill="1" applyAlignment="1"/>
    <xf numFmtId="170" fontId="68" fillId="0" borderId="98" xfId="2" quotePrefix="1" applyNumberFormat="1" applyFont="1" applyBorder="1" applyAlignment="1">
      <alignment horizontal="center"/>
    </xf>
    <xf numFmtId="166" fontId="41" fillId="0" borderId="28" xfId="2" applyNumberFormat="1" applyFont="1" applyBorder="1" applyAlignment="1"/>
    <xf numFmtId="170" fontId="41" fillId="0" borderId="0" xfId="2" applyNumberFormat="1" applyFont="1" applyFill="1" applyBorder="1" applyAlignment="1" applyProtection="1"/>
    <xf numFmtId="170" fontId="41" fillId="0" borderId="0" xfId="4" applyNumberFormat="1" applyFont="1" applyFill="1" applyProtection="1"/>
    <xf numFmtId="166" fontId="41" fillId="0" borderId="75" xfId="4" applyNumberFormat="1" applyFont="1" applyFill="1" applyBorder="1" applyProtection="1"/>
    <xf numFmtId="166" fontId="41" fillId="0" borderId="0" xfId="4" applyNumberFormat="1" applyFont="1" applyFill="1" applyProtection="1"/>
    <xf numFmtId="166" fontId="41" fillId="0" borderId="79" xfId="4" applyNumberFormat="1" applyFont="1" applyFill="1" applyBorder="1" applyProtection="1"/>
    <xf numFmtId="170" fontId="46" fillId="0" borderId="46" xfId="2" applyNumberFormat="1" applyFont="1" applyBorder="1" applyAlignment="1" applyProtection="1"/>
    <xf numFmtId="170" fontId="46" fillId="0" borderId="10" xfId="5" applyNumberFormat="1" applyFont="1" applyFill="1" applyBorder="1" applyProtection="1"/>
    <xf numFmtId="170" fontId="39" fillId="0" borderId="0" xfId="1046" applyNumberFormat="1" applyFont="1" applyFill="1" applyProtection="1"/>
    <xf numFmtId="170" fontId="41" fillId="0" borderId="75" xfId="4" applyNumberFormat="1" applyFont="1" applyFill="1" applyBorder="1" applyProtection="1"/>
    <xf numFmtId="170" fontId="41" fillId="0" borderId="83" xfId="4" applyNumberFormat="1" applyFont="1" applyFill="1" applyBorder="1" applyProtection="1"/>
    <xf numFmtId="174" fontId="39" fillId="0" borderId="0" xfId="5517" applyNumberFormat="1" applyFont="1" applyFill="1" applyProtection="1"/>
    <xf numFmtId="174" fontId="39" fillId="0" borderId="0" xfId="2" quotePrefix="1" applyNumberFormat="1" applyFont="1" applyFill="1" applyAlignment="1" applyProtection="1"/>
    <xf numFmtId="166" fontId="39" fillId="0" borderId="21" xfId="2" applyNumberFormat="1" applyFont="1" applyBorder="1" applyAlignment="1" applyProtection="1"/>
    <xf numFmtId="166" fontId="65" fillId="0" borderId="0" xfId="2" applyNumberFormat="1" applyFont="1" applyFill="1" applyAlignment="1" applyProtection="1"/>
    <xf numFmtId="166" fontId="41" fillId="0" borderId="0" xfId="2" applyNumberFormat="1" applyFont="1" applyFill="1" applyAlignment="1" applyProtection="1"/>
    <xf numFmtId="166" fontId="41" fillId="0" borderId="0" xfId="2" applyNumberFormat="1" applyFont="1" applyFill="1" applyAlignment="1" applyProtection="1">
      <alignment horizontal="right"/>
    </xf>
    <xf numFmtId="170" fontId="41" fillId="0" borderId="0" xfId="2" quotePrefix="1" applyNumberFormat="1" applyFont="1" applyFill="1" applyAlignment="1" applyProtection="1">
      <alignment horizontal="center"/>
    </xf>
    <xf numFmtId="170" fontId="41" fillId="0" borderId="0" xfId="2" applyNumberFormat="1" applyFont="1" applyFill="1" applyAlignment="1" applyProtection="1">
      <alignment horizontal="right"/>
    </xf>
    <xf numFmtId="170" fontId="41" fillId="0" borderId="0" xfId="2" applyNumberFormat="1" applyFont="1" applyFill="1" applyAlignment="1" applyProtection="1"/>
    <xf numFmtId="166" fontId="41" fillId="0" borderId="21" xfId="2" applyNumberFormat="1" applyFont="1" applyFill="1" applyBorder="1" applyAlignment="1" applyProtection="1"/>
    <xf numFmtId="170" fontId="41" fillId="0" borderId="18" xfId="2" applyNumberFormat="1" applyFont="1" applyFill="1" applyBorder="1" applyAlignment="1" applyProtection="1"/>
    <xf numFmtId="170" fontId="39" fillId="0" borderId="0" xfId="5517" applyNumberFormat="1" applyFont="1" applyFill="1" applyProtection="1"/>
    <xf numFmtId="170" fontId="39" fillId="0" borderId="0" xfId="2" quotePrefix="1" applyNumberFormat="1" applyFont="1" applyFill="1" applyAlignment="1" applyProtection="1"/>
    <xf numFmtId="170" fontId="39" fillId="0" borderId="0" xfId="2" applyNumberFormat="1" applyFont="1" applyFill="1" applyAlignment="1" applyProtection="1"/>
    <xf numFmtId="170" fontId="39" fillId="0" borderId="21" xfId="2" applyNumberFormat="1" applyFont="1" applyFill="1" applyBorder="1" applyAlignment="1" applyProtection="1"/>
    <xf numFmtId="170" fontId="39" fillId="0" borderId="18" xfId="2" applyNumberFormat="1" applyFont="1" applyFill="1" applyBorder="1" applyAlignment="1" applyProtection="1"/>
    <xf numFmtId="170" fontId="46" fillId="0" borderId="45" xfId="2" applyNumberFormat="1" applyFont="1" applyFill="1" applyBorder="1" applyAlignment="1" applyProtection="1">
      <alignment horizontal="right"/>
    </xf>
    <xf numFmtId="170" fontId="46" fillId="0" borderId="0" xfId="2" applyNumberFormat="1" applyFont="1" applyFill="1" applyBorder="1" applyAlignment="1" applyProtection="1">
      <alignment horizontal="right"/>
    </xf>
    <xf numFmtId="170" fontId="41" fillId="0" borderId="20" xfId="2" applyNumberFormat="1" applyFont="1" applyBorder="1" applyAlignment="1" applyProtection="1"/>
    <xf numFmtId="170" fontId="41" fillId="0" borderId="0" xfId="2" applyNumberFormat="1" applyFont="1" applyAlignment="1" applyProtection="1"/>
    <xf numFmtId="170" fontId="41" fillId="0" borderId="0" xfId="2" applyNumberFormat="1" applyFont="1" applyBorder="1" applyAlignment="1" applyProtection="1"/>
    <xf numFmtId="166" fontId="41" fillId="0" borderId="21" xfId="2" applyNumberFormat="1" applyFont="1" applyBorder="1" applyAlignment="1" applyProtection="1"/>
    <xf numFmtId="170" fontId="41" fillId="0" borderId="18" xfId="2" applyNumberFormat="1" applyFont="1" applyBorder="1" applyAlignment="1" applyProtection="1"/>
    <xf numFmtId="166" fontId="46" fillId="0" borderId="0" xfId="2" applyNumberFormat="1" applyFont="1" applyAlignment="1" applyProtection="1"/>
    <xf numFmtId="166" fontId="46" fillId="0" borderId="21" xfId="2" applyNumberFormat="1" applyFont="1" applyBorder="1" applyAlignment="1" applyProtection="1"/>
    <xf numFmtId="170" fontId="46" fillId="0" borderId="18" xfId="2" applyNumberFormat="1" applyFont="1" applyBorder="1" applyAlignment="1" applyProtection="1"/>
    <xf numFmtId="166" fontId="41" fillId="0" borderId="0" xfId="2" applyNumberFormat="1" applyFont="1" applyBorder="1" applyAlignment="1" applyProtection="1"/>
    <xf numFmtId="170" fontId="65" fillId="0" borderId="0" xfId="2" applyNumberFormat="1" applyFont="1" applyFill="1" applyAlignment="1" applyProtection="1">
      <alignment horizontal="right"/>
    </xf>
    <xf numFmtId="170" fontId="41" fillId="0" borderId="0" xfId="2" applyNumberFormat="1" applyFont="1" applyAlignment="1" applyProtection="1">
      <alignment horizontal="right"/>
    </xf>
    <xf numFmtId="170" fontId="46" fillId="0" borderId="40" xfId="2" applyNumberFormat="1" applyFont="1" applyBorder="1" applyAlignment="1" applyProtection="1"/>
    <xf numFmtId="170" fontId="46" fillId="0" borderId="16" xfId="2" applyNumberFormat="1" applyFont="1" applyFill="1" applyBorder="1" applyAlignment="1" applyProtection="1"/>
    <xf numFmtId="166" fontId="41" fillId="0" borderId="0" xfId="2" applyNumberFormat="1" applyFont="1" applyFill="1" applyBorder="1" applyAlignment="1" applyProtection="1"/>
    <xf numFmtId="174" fontId="46" fillId="0" borderId="0" xfId="2" applyNumberFormat="1" applyFont="1" applyBorder="1" applyAlignment="1" applyProtection="1"/>
    <xf numFmtId="170" fontId="46" fillId="0" borderId="66" xfId="2" applyNumberFormat="1" applyFont="1" applyBorder="1" applyAlignment="1" applyProtection="1"/>
    <xf numFmtId="165" fontId="41" fillId="0" borderId="0" xfId="2" applyNumberFormat="1" applyFont="1" applyBorder="1" applyAlignment="1" applyProtection="1"/>
    <xf numFmtId="165" fontId="41" fillId="0" borderId="0" xfId="2" applyNumberFormat="1" applyFont="1" applyAlignment="1" applyProtection="1"/>
    <xf numFmtId="174" fontId="46" fillId="0" borderId="81" xfId="2" applyNumberFormat="1" applyFont="1" applyBorder="1" applyAlignment="1" applyProtection="1"/>
    <xf numFmtId="168" fontId="41" fillId="0" borderId="0" xfId="2" applyNumberFormat="1" applyFont="1" applyAlignment="1" applyProtection="1"/>
    <xf numFmtId="165" fontId="44" fillId="0" borderId="0" xfId="2" applyNumberFormat="1" applyFont="1" applyAlignment="1" applyProtection="1"/>
    <xf numFmtId="174" fontId="39" fillId="0" borderId="0" xfId="2" applyNumberFormat="1" applyFont="1" applyFill="1" applyAlignment="1" applyProtection="1"/>
    <xf numFmtId="174" fontId="39" fillId="0" borderId="18" xfId="2" applyNumberFormat="1" applyFont="1" applyFill="1" applyBorder="1" applyAlignment="1" applyProtection="1"/>
    <xf numFmtId="174" fontId="39" fillId="0" borderId="0" xfId="2" applyNumberFormat="1" applyFont="1" applyFill="1" applyAlignment="1" applyProtection="1">
      <alignment horizontal="right"/>
    </xf>
    <xf numFmtId="174" fontId="46" fillId="0" borderId="0" xfId="2" applyNumberFormat="1" applyFont="1" applyFill="1" applyAlignment="1" applyProtection="1"/>
    <xf numFmtId="174" fontId="46" fillId="0" borderId="0" xfId="2" applyNumberFormat="1" applyFont="1" applyFill="1" applyAlignment="1" applyProtection="1">
      <alignment horizontal="right"/>
    </xf>
    <xf numFmtId="174" fontId="46" fillId="0" borderId="18" xfId="2" applyNumberFormat="1" applyFont="1" applyFill="1" applyBorder="1" applyAlignment="1" applyProtection="1"/>
    <xf numFmtId="170" fontId="39" fillId="0" borderId="0" xfId="2" applyNumberFormat="1" applyFont="1" applyFill="1" applyAlignment="1" applyProtection="1">
      <alignment horizontal="right"/>
    </xf>
    <xf numFmtId="170" fontId="46" fillId="0" borderId="16" xfId="2" applyNumberFormat="1" applyFont="1" applyBorder="1" applyAlignment="1" applyProtection="1"/>
    <xf numFmtId="170" fontId="41" fillId="0" borderId="28" xfId="2" applyNumberFormat="1" applyFont="1" applyBorder="1" applyAlignment="1" applyProtection="1"/>
    <xf numFmtId="170" fontId="46" fillId="0" borderId="16" xfId="5" applyNumberFormat="1" applyFont="1" applyFill="1" applyBorder="1" applyProtection="1"/>
    <xf numFmtId="170" fontId="46" fillId="0" borderId="0" xfId="5" applyNumberFormat="1" applyFont="1" applyFill="1" applyBorder="1" applyProtection="1"/>
    <xf numFmtId="170" fontId="41" fillId="0" borderId="21" xfId="2" applyNumberFormat="1" applyFont="1" applyBorder="1" applyAlignment="1" applyProtection="1"/>
    <xf numFmtId="170" fontId="41" fillId="0" borderId="0" xfId="2" applyNumberFormat="1" applyFont="1" applyAlignment="1" applyProtection="1">
      <alignment horizontal="center"/>
    </xf>
    <xf numFmtId="170" fontId="41" fillId="0" borderId="21" xfId="2" applyNumberFormat="1" applyFont="1" applyFill="1" applyBorder="1" applyAlignment="1" applyProtection="1"/>
    <xf numFmtId="170" fontId="46" fillId="0" borderId="21" xfId="2" applyNumberFormat="1" applyFont="1" applyBorder="1" applyAlignment="1" applyProtection="1"/>
    <xf numFmtId="170" fontId="39" fillId="0" borderId="0" xfId="2" applyNumberFormat="1" applyFont="1" applyFill="1" applyBorder="1" applyAlignment="1" applyProtection="1"/>
    <xf numFmtId="170" fontId="46" fillId="0" borderId="45" xfId="2" applyNumberFormat="1" applyFont="1" applyBorder="1" applyAlignment="1" applyProtection="1"/>
    <xf numFmtId="0" fontId="41" fillId="0" borderId="21" xfId="2" applyNumberFormat="1" applyFont="1" applyBorder="1" applyAlignment="1" applyProtection="1"/>
    <xf numFmtId="0" fontId="41" fillId="0" borderId="0" xfId="2" applyNumberFormat="1" applyFont="1" applyAlignment="1" applyProtection="1"/>
    <xf numFmtId="0" fontId="46" fillId="0" borderId="21" xfId="2" applyNumberFormat="1" applyFont="1" applyBorder="1" applyAlignment="1" applyProtection="1"/>
    <xf numFmtId="0" fontId="41" fillId="0" borderId="18" xfId="2" applyNumberFormat="1" applyFont="1" applyBorder="1" applyAlignment="1" applyProtection="1"/>
    <xf numFmtId="0" fontId="41" fillId="0" borderId="18" xfId="2" applyNumberFormat="1" applyFont="1" applyFill="1" applyBorder="1" applyAlignment="1" applyProtection="1"/>
    <xf numFmtId="170" fontId="39" fillId="0" borderId="28" xfId="2" applyNumberFormat="1" applyFont="1" applyFill="1" applyBorder="1" applyAlignment="1" applyProtection="1"/>
    <xf numFmtId="0" fontId="46" fillId="0" borderId="18" xfId="2" applyNumberFormat="1" applyFont="1" applyBorder="1" applyAlignment="1" applyProtection="1"/>
    <xf numFmtId="170" fontId="46" fillId="0" borderId="0" xfId="2" applyNumberFormat="1" applyFont="1" applyFill="1" applyAlignment="1" applyProtection="1"/>
    <xf numFmtId="170" fontId="41" fillId="0" borderId="20" xfId="2" applyNumberFormat="1" applyFont="1" applyFill="1" applyBorder="1" applyAlignment="1" applyProtection="1"/>
    <xf numFmtId="170" fontId="46" fillId="0" borderId="10" xfId="2" applyNumberFormat="1" applyFont="1" applyBorder="1" applyAlignment="1" applyProtection="1"/>
    <xf numFmtId="166" fontId="46" fillId="0" borderId="0" xfId="2" applyNumberFormat="1" applyFont="1" applyBorder="1" applyAlignment="1" applyProtection="1"/>
    <xf numFmtId="170" fontId="46" fillId="0" borderId="10" xfId="2" applyNumberFormat="1" applyFont="1" applyFill="1" applyBorder="1" applyAlignment="1" applyProtection="1"/>
    <xf numFmtId="174" fontId="39" fillId="0" borderId="0" xfId="2" quotePrefix="1" applyNumberFormat="1" applyFont="1" applyFill="1" applyAlignment="1">
      <alignment horizontal="center"/>
    </xf>
    <xf numFmtId="173" fontId="39" fillId="0" borderId="0" xfId="740" quotePrefix="1" applyNumberFormat="1" applyFont="1" applyFill="1" applyAlignment="1">
      <alignment horizontal="left"/>
    </xf>
    <xf numFmtId="170" fontId="46" fillId="0" borderId="107" xfId="2" applyNumberFormat="1" applyFont="1" applyFill="1" applyBorder="1" applyAlignment="1"/>
    <xf numFmtId="174" fontId="46" fillId="0" borderId="87" xfId="2" applyNumberFormat="1" applyFont="1" applyFill="1" applyBorder="1" applyAlignment="1"/>
    <xf numFmtId="174" fontId="46" fillId="0" borderId="0" xfId="2" applyNumberFormat="1" applyFont="1" applyFill="1" applyAlignment="1">
      <alignment horizontal="right"/>
    </xf>
    <xf numFmtId="0" fontId="155" fillId="0" borderId="0" xfId="5458" applyNumberFormat="1" applyFont="1" applyFill="1"/>
    <xf numFmtId="0" fontId="155" fillId="0" borderId="0" xfId="5458" applyNumberFormat="1" applyFont="1" applyFill="1" applyBorder="1"/>
    <xf numFmtId="0" fontId="68" fillId="0" borderId="0" xfId="5458" applyNumberFormat="1" applyFont="1" applyFill="1"/>
    <xf numFmtId="0" fontId="156" fillId="0" borderId="0" xfId="5458" applyNumberFormat="1" applyFont="1" applyFill="1"/>
    <xf numFmtId="0" fontId="68" fillId="0" borderId="0" xfId="5458" applyNumberFormat="1" applyFont="1" applyFill="1" applyAlignment="1">
      <alignment horizontal="right" vertical="top"/>
    </xf>
    <xf numFmtId="0" fontId="156" fillId="0" borderId="0" xfId="5458" applyNumberFormat="1" applyFont="1" applyFill="1" applyBorder="1" applyAlignment="1">
      <alignment horizontal="right"/>
    </xf>
    <xf numFmtId="0" fontId="155" fillId="0" borderId="0" xfId="5458" applyNumberFormat="1" applyFont="1" applyFill="1" applyAlignment="1"/>
    <xf numFmtId="0" fontId="68" fillId="0" borderId="0" xfId="5458" applyNumberFormat="1" applyFont="1" applyFill="1" applyAlignment="1">
      <alignment horizontal="left" vertical="top"/>
    </xf>
    <xf numFmtId="0" fontId="156" fillId="0" borderId="0" xfId="5458" applyNumberFormat="1" applyFont="1" applyFill="1" applyAlignment="1">
      <alignment horizontal="left" vertical="top"/>
    </xf>
    <xf numFmtId="0" fontId="156" fillId="0" borderId="0" xfId="5458" applyNumberFormat="1" applyFont="1" applyFill="1" applyAlignment="1">
      <alignment horizontal="left"/>
    </xf>
    <xf numFmtId="0" fontId="155" fillId="0" borderId="0" xfId="5458" quotePrefix="1" applyNumberFormat="1" applyFont="1" applyFill="1" applyAlignment="1"/>
    <xf numFmtId="0" fontId="156" fillId="0" borderId="0" xfId="5458" applyNumberFormat="1" applyFont="1" applyFill="1" applyAlignment="1">
      <alignment horizontal="center" vertical="top"/>
    </xf>
    <xf numFmtId="0" fontId="156" fillId="0" borderId="0" xfId="5458" applyNumberFormat="1" applyFont="1" applyFill="1" applyAlignment="1">
      <alignment horizontal="center"/>
    </xf>
    <xf numFmtId="0" fontId="156" fillId="0" borderId="0" xfId="5458" quotePrefix="1" applyNumberFormat="1" applyFont="1" applyFill="1" applyAlignment="1">
      <alignment horizontal="center"/>
    </xf>
    <xf numFmtId="0" fontId="156" fillId="0" borderId="66" xfId="5458" applyNumberFormat="1" applyFont="1" applyFill="1" applyBorder="1" applyAlignment="1">
      <alignment horizontal="centerContinuous"/>
    </xf>
    <xf numFmtId="0" fontId="156" fillId="0" borderId="0" xfId="5458" applyNumberFormat="1" applyFont="1" applyFill="1" applyAlignment="1">
      <alignment horizontal="centerContinuous"/>
    </xf>
    <xf numFmtId="0" fontId="156" fillId="0" borderId="0" xfId="5458" applyNumberFormat="1" applyFont="1" applyFill="1" applyBorder="1" applyAlignment="1">
      <alignment horizontal="center"/>
    </xf>
    <xf numFmtId="0" fontId="156" fillId="0" borderId="66" xfId="5458" applyNumberFormat="1" applyFont="1" applyFill="1" applyBorder="1"/>
    <xf numFmtId="0" fontId="156" fillId="0" borderId="0" xfId="5458" applyNumberFormat="1" applyFont="1" applyFill="1" applyBorder="1"/>
    <xf numFmtId="0" fontId="156" fillId="0" borderId="66" xfId="5458" quotePrefix="1" applyNumberFormat="1" applyFont="1" applyFill="1" applyBorder="1" applyAlignment="1">
      <alignment horizontal="center"/>
    </xf>
    <xf numFmtId="49" fontId="156" fillId="0" borderId="66" xfId="5458" applyNumberFormat="1" applyFont="1" applyFill="1" applyBorder="1" applyAlignment="1">
      <alignment horizontal="center"/>
    </xf>
    <xf numFmtId="49" fontId="156" fillId="0" borderId="66" xfId="5458" quotePrefix="1" applyNumberFormat="1" applyFont="1" applyFill="1" applyBorder="1" applyAlignment="1">
      <alignment horizontal="center"/>
    </xf>
    <xf numFmtId="0" fontId="156" fillId="0" borderId="107" xfId="5458" applyNumberFormat="1" applyFont="1" applyFill="1" applyBorder="1" applyAlignment="1">
      <alignment horizontal="center"/>
    </xf>
    <xf numFmtId="0" fontId="156" fillId="0" borderId="66" xfId="5458" applyNumberFormat="1" applyFont="1" applyFill="1" applyBorder="1" applyAlignment="1">
      <alignment horizontal="center"/>
    </xf>
    <xf numFmtId="39" fontId="155" fillId="0" borderId="0" xfId="5458" quotePrefix="1" applyNumberFormat="1" applyFont="1" applyFill="1" applyBorder="1" applyAlignment="1"/>
    <xf numFmtId="39" fontId="157" fillId="0" borderId="0" xfId="5458" quotePrefix="1" applyNumberFormat="1" applyFont="1" applyFill="1" applyBorder="1" applyAlignment="1"/>
    <xf numFmtId="39" fontId="155" fillId="0" borderId="0" xfId="5458" applyNumberFormat="1" applyFont="1" applyFill="1" applyBorder="1" applyAlignment="1"/>
    <xf numFmtId="0" fontId="157" fillId="0" borderId="0" xfId="5458" applyNumberFormat="1" applyFont="1" applyFill="1" applyBorder="1" applyAlignment="1"/>
    <xf numFmtId="0" fontId="155" fillId="0" borderId="0" xfId="5458" applyNumberFormat="1" applyFont="1" applyFill="1" applyBorder="1" applyAlignment="1"/>
    <xf numFmtId="42" fontId="157" fillId="0" borderId="0" xfId="5458" applyNumberFormat="1" applyFont="1" applyFill="1" applyBorder="1" applyAlignment="1">
      <alignment horizontal="right"/>
    </xf>
    <xf numFmtId="42" fontId="157" fillId="0" borderId="0" xfId="5458" applyNumberFormat="1" applyFont="1" applyFill="1" applyAlignment="1">
      <alignment horizontal="right"/>
    </xf>
    <xf numFmtId="42" fontId="157" fillId="0" borderId="0" xfId="5458" applyNumberFormat="1" applyFont="1" applyFill="1" applyAlignment="1">
      <alignment horizontal="right" vertical="top"/>
    </xf>
    <xf numFmtId="41" fontId="157" fillId="0" borderId="0" xfId="5458" applyNumberFormat="1" applyFont="1" applyFill="1" applyAlignment="1">
      <alignment horizontal="center"/>
    </xf>
    <xf numFmtId="41" fontId="157" fillId="0" borderId="0" xfId="5458" applyNumberFormat="1" applyFont="1" applyFill="1" applyAlignment="1">
      <alignment horizontal="right"/>
    </xf>
    <xf numFmtId="0" fontId="157" fillId="0" borderId="0" xfId="5458" applyNumberFormat="1" applyFont="1" applyFill="1" applyAlignment="1">
      <alignment horizontal="right"/>
    </xf>
    <xf numFmtId="41" fontId="155" fillId="0" borderId="0" xfId="5458" applyNumberFormat="1" applyFont="1" applyFill="1" applyAlignment="1">
      <alignment horizontal="right"/>
    </xf>
    <xf numFmtId="41" fontId="155" fillId="0" borderId="0" xfId="5458" applyNumberFormat="1" applyFont="1" applyFill="1" applyBorder="1" applyAlignment="1">
      <alignment horizontal="right"/>
    </xf>
    <xf numFmtId="41" fontId="157" fillId="0" borderId="0" xfId="5458" applyNumberFormat="1" applyFont="1" applyFill="1" applyAlignment="1"/>
    <xf numFmtId="0" fontId="155" fillId="0" borderId="0" xfId="5458" quotePrefix="1" applyNumberFormat="1" applyFont="1" applyFill="1" applyAlignment="1">
      <alignment horizontal="left" vertical="top"/>
    </xf>
    <xf numFmtId="0" fontId="155" fillId="0" borderId="0" xfId="5458" applyNumberFormat="1" applyFont="1" applyFill="1" applyAlignment="1">
      <alignment horizontal="left" vertical="top"/>
    </xf>
    <xf numFmtId="190" fontId="39" fillId="0" borderId="0" xfId="5458" applyNumberFormat="1"/>
    <xf numFmtId="164" fontId="39" fillId="0" borderId="0" xfId="5458" applyNumberFormat="1"/>
    <xf numFmtId="0" fontId="157" fillId="0" borderId="0" xfId="5458" applyNumberFormat="1" applyFont="1" applyFill="1" applyAlignment="1"/>
    <xf numFmtId="0" fontId="39" fillId="0" borderId="0" xfId="5458" applyNumberFormat="1" applyAlignment="1"/>
    <xf numFmtId="0" fontId="156" fillId="0" borderId="0" xfId="5458" quotePrefix="1" applyNumberFormat="1" applyFont="1" applyFill="1" applyAlignment="1">
      <alignment horizontal="left" vertical="top"/>
    </xf>
    <xf numFmtId="42" fontId="156" fillId="0" borderId="87" xfId="5458" applyNumberFormat="1" applyFont="1" applyFill="1" applyBorder="1" applyAlignment="1">
      <alignment horizontal="right" vertical="top"/>
    </xf>
    <xf numFmtId="42" fontId="156" fillId="0" borderId="0" xfId="5458" applyNumberFormat="1" applyFont="1" applyFill="1" applyAlignment="1">
      <alignment horizontal="right" vertical="top"/>
    </xf>
    <xf numFmtId="42" fontId="156" fillId="0" borderId="0" xfId="5458" applyNumberFormat="1" applyFont="1" applyFill="1" applyAlignment="1">
      <alignment horizontal="right"/>
    </xf>
    <xf numFmtId="0" fontId="155" fillId="0" borderId="0" xfId="5458" quotePrefix="1" applyNumberFormat="1" applyFont="1" applyFill="1"/>
    <xf numFmtId="37" fontId="155" fillId="0" borderId="0" xfId="5458" applyNumberFormat="1" applyFont="1" applyFill="1"/>
    <xf numFmtId="170" fontId="78" fillId="0" borderId="0" xfId="2" quotePrefix="1" applyNumberFormat="1" applyFont="1" applyFill="1" applyAlignment="1">
      <alignment horizontal="right"/>
    </xf>
    <xf numFmtId="170" fontId="68" fillId="0" borderId="0" xfId="2" quotePrefix="1" applyNumberFormat="1" applyFont="1" applyAlignment="1"/>
    <xf numFmtId="170" fontId="68" fillId="0" borderId="85" xfId="2" quotePrefix="1" applyNumberFormat="1" applyFont="1" applyBorder="1" applyAlignment="1">
      <alignment horizontal="right"/>
    </xf>
    <xf numFmtId="0" fontId="51" fillId="0" borderId="0" xfId="8" applyFont="1" applyAlignment="1">
      <alignment horizontal="left" vertical="top"/>
    </xf>
    <xf numFmtId="0" fontId="154" fillId="0" borderId="0" xfId="2" applyNumberFormat="1" applyFont="1" applyBorder="1" applyAlignment="1"/>
    <xf numFmtId="165" fontId="189" fillId="0" borderId="0" xfId="2" applyNumberFormat="1" applyFont="1" applyAlignment="1"/>
    <xf numFmtId="170" fontId="68" fillId="0" borderId="33" xfId="2" quotePrefix="1" applyNumberFormat="1" applyFont="1" applyBorder="1" applyAlignment="1">
      <alignment horizontal="right"/>
    </xf>
    <xf numFmtId="170" fontId="68" fillId="0" borderId="33" xfId="2" quotePrefix="1" applyNumberFormat="1" applyFont="1" applyBorder="1" applyAlignment="1">
      <alignment horizontal="center"/>
    </xf>
    <xf numFmtId="172" fontId="169" fillId="0" borderId="66" xfId="1940" applyNumberFormat="1" applyFont="1" applyBorder="1" applyAlignment="1"/>
    <xf numFmtId="170" fontId="41" fillId="0" borderId="0" xfId="2" quotePrefix="1" applyNumberFormat="1" applyFont="1" applyFill="1" applyAlignment="1" applyProtection="1">
      <alignment horizontal="right"/>
    </xf>
    <xf numFmtId="168" fontId="41" fillId="0" borderId="0" xfId="2" applyNumberFormat="1" applyFont="1" applyFill="1" applyAlignment="1"/>
    <xf numFmtId="172" fontId="169" fillId="0" borderId="66" xfId="2" applyNumberFormat="1" applyFont="1" applyBorder="1" applyAlignment="1"/>
    <xf numFmtId="172" fontId="46" fillId="0" borderId="66" xfId="1940" applyNumberFormat="1" applyFont="1" applyBorder="1" applyAlignment="1"/>
    <xf numFmtId="172" fontId="46" fillId="0" borderId="0" xfId="1940" applyNumberFormat="1" applyFont="1" applyBorder="1" applyAlignment="1"/>
    <xf numFmtId="43" fontId="46" fillId="0" borderId="0" xfId="0" applyNumberFormat="1" applyFont="1" applyFill="1" applyBorder="1" applyAlignment="1" applyProtection="1">
      <alignment horizontal="right"/>
    </xf>
    <xf numFmtId="172" fontId="39" fillId="0" borderId="0" xfId="0" applyNumberFormat="1" applyFont="1"/>
    <xf numFmtId="177" fontId="39" fillId="0" borderId="0" xfId="740" applyNumberFormat="1" applyFont="1" applyFill="1" applyBorder="1" applyAlignment="1">
      <alignment horizontal="left"/>
    </xf>
    <xf numFmtId="177" fontId="39" fillId="0" borderId="0" xfId="1767" quotePrefix="1" applyNumberFormat="1" applyFont="1" applyFill="1" applyBorder="1" applyAlignment="1">
      <alignment horizontal="center"/>
    </xf>
    <xf numFmtId="177" fontId="44" fillId="0" borderId="0" xfId="1767" applyNumberFormat="1" applyFont="1" applyFill="1" applyBorder="1" applyAlignment="1">
      <alignment horizontal="center"/>
    </xf>
    <xf numFmtId="177" fontId="99" fillId="0" borderId="0" xfId="740" applyNumberFormat="1" applyFont="1" applyFill="1" applyBorder="1"/>
    <xf numFmtId="177" fontId="39" fillId="0" borderId="0" xfId="1767" applyNumberFormat="1" applyFont="1" applyFill="1" applyBorder="1" applyAlignment="1">
      <alignment horizontal="center"/>
    </xf>
    <xf numFmtId="177" fontId="46" fillId="0" borderId="0" xfId="1767" applyNumberFormat="1" applyFont="1" applyFill="1" applyBorder="1" applyAlignment="1"/>
    <xf numFmtId="177" fontId="39" fillId="0" borderId="0" xfId="740" quotePrefix="1" applyNumberFormat="1" applyFont="1" applyFill="1" applyBorder="1" applyAlignment="1">
      <alignment horizontal="center"/>
    </xf>
    <xf numFmtId="170" fontId="68" fillId="0" borderId="85" xfId="2" quotePrefix="1" applyNumberFormat="1" applyFont="1" applyBorder="1" applyAlignment="1">
      <alignment horizontal="center"/>
    </xf>
    <xf numFmtId="0" fontId="39" fillId="0" borderId="0" xfId="0" applyNumberFormat="1" applyFont="1" applyFill="1" applyBorder="1" applyAlignment="1" applyProtection="1">
      <alignment horizontal="left"/>
    </xf>
    <xf numFmtId="170" fontId="61" fillId="0" borderId="0" xfId="2" quotePrefix="1" applyNumberFormat="1" applyFont="1" applyFill="1" applyAlignment="1"/>
    <xf numFmtId="0" fontId="46" fillId="0" borderId="28" xfId="2" applyNumberFormat="1" applyFont="1" applyBorder="1" applyAlignment="1"/>
    <xf numFmtId="0" fontId="39" fillId="0" borderId="0" xfId="17" applyNumberFormat="1" applyFont="1" applyBorder="1" applyAlignment="1">
      <alignment horizontal="center"/>
    </xf>
    <xf numFmtId="165" fontId="86" fillId="0" borderId="0" xfId="2" applyNumberFormat="1" applyFont="1" applyAlignment="1"/>
    <xf numFmtId="174" fontId="68" fillId="0" borderId="0" xfId="2" quotePrefix="1" applyNumberFormat="1" applyFont="1" applyFill="1" applyBorder="1" applyAlignment="1"/>
    <xf numFmtId="174" fontId="41" fillId="0" borderId="0" xfId="2" applyNumberFormat="1" applyFont="1" applyFill="1" applyAlignment="1">
      <alignment horizontal="right"/>
    </xf>
    <xf numFmtId="170" fontId="41" fillId="0" borderId="10" xfId="2" applyNumberFormat="1" applyFont="1" applyFill="1" applyBorder="1" applyAlignment="1">
      <alignment horizontal="right"/>
    </xf>
    <xf numFmtId="170" fontId="41" fillId="0" borderId="0" xfId="2" applyNumberFormat="1" applyFont="1" applyFill="1"/>
    <xf numFmtId="37" fontId="41" fillId="0" borderId="0" xfId="2" applyNumberFormat="1" applyFont="1" applyFill="1" applyBorder="1"/>
    <xf numFmtId="37" fontId="41" fillId="0" borderId="0" xfId="2" applyNumberFormat="1" applyFont="1" applyFill="1"/>
    <xf numFmtId="5" fontId="39" fillId="0" borderId="0" xfId="2" applyNumberFormat="1" applyFont="1" applyFill="1" applyAlignment="1"/>
    <xf numFmtId="170" fontId="41" fillId="0" borderId="46" xfId="2" applyNumberFormat="1" applyFont="1" applyBorder="1" applyAlignment="1" applyProtection="1"/>
    <xf numFmtId="170" fontId="68" fillId="0" borderId="33" xfId="2" applyNumberFormat="1" applyFont="1" applyBorder="1" applyAlignment="1">
      <alignment horizontal="right"/>
    </xf>
    <xf numFmtId="44" fontId="44" fillId="0" borderId="0" xfId="0" applyNumberFormat="1" applyFont="1" applyFill="1" applyAlignment="1">
      <alignment horizontal="right" vertical="top"/>
    </xf>
    <xf numFmtId="44" fontId="45" fillId="0" borderId="0" xfId="0" applyNumberFormat="1" applyFont="1" applyFill="1" applyBorder="1" applyAlignment="1">
      <alignment horizontal="right"/>
    </xf>
    <xf numFmtId="164" fontId="68" fillId="0" borderId="66" xfId="0" applyFont="1" applyBorder="1" applyAlignment="1">
      <alignment horizontal="center"/>
    </xf>
    <xf numFmtId="41" fontId="39" fillId="0" borderId="66" xfId="0" quotePrefix="1" applyNumberFormat="1" applyFont="1" applyBorder="1" applyAlignment="1">
      <alignment horizontal="center"/>
    </xf>
    <xf numFmtId="41" fontId="46" fillId="0" borderId="107" xfId="739" applyNumberFormat="1" applyFont="1" applyBorder="1" applyAlignment="1"/>
    <xf numFmtId="43" fontId="39" fillId="0" borderId="0" xfId="17924" applyFont="1" applyFill="1" applyAlignment="1" applyProtection="1">
      <alignment horizontal="right"/>
    </xf>
    <xf numFmtId="0" fontId="45" fillId="0" borderId="0" xfId="9967" quotePrefix="1" applyNumberFormat="1" applyFont="1" applyFill="1" applyBorder="1" applyAlignment="1">
      <alignment horizontal="center"/>
    </xf>
    <xf numFmtId="166" fontId="41" fillId="0" borderId="106" xfId="4" applyNumberFormat="1" applyFont="1" applyFill="1" applyBorder="1" applyProtection="1"/>
    <xf numFmtId="170" fontId="61" fillId="0" borderId="0" xfId="2" applyNumberFormat="1" applyFont="1" applyFill="1" applyAlignment="1">
      <alignment horizontal="center"/>
    </xf>
    <xf numFmtId="170" fontId="138" fillId="0" borderId="0" xfId="2" applyNumberFormat="1" applyFont="1" applyFill="1" applyAlignment="1"/>
    <xf numFmtId="170" fontId="63" fillId="0" borderId="43" xfId="2" quotePrefix="1" applyNumberFormat="1" applyFont="1" applyBorder="1" applyAlignment="1">
      <alignment horizontal="right"/>
    </xf>
    <xf numFmtId="4" fontId="46" fillId="0" borderId="0" xfId="1028" quotePrefix="1" applyNumberFormat="1" applyFont="1" applyFill="1" applyBorder="1" applyAlignment="1" applyProtection="1">
      <alignment horizontal="left"/>
    </xf>
    <xf numFmtId="181" fontId="46" fillId="0" borderId="0" xfId="1776" quotePrefix="1" applyNumberFormat="1" applyFont="1" applyAlignment="1">
      <alignment horizontal="left"/>
    </xf>
    <xf numFmtId="42" fontId="39" fillId="0" borderId="0" xfId="0" quotePrefix="1" applyNumberFormat="1" applyFont="1" applyBorder="1" applyAlignment="1"/>
    <xf numFmtId="164" fontId="154" fillId="0" borderId="0" xfId="0" applyNumberFormat="1" applyFont="1" applyBorder="1"/>
    <xf numFmtId="191" fontId="51" fillId="0" borderId="0" xfId="8" applyNumberFormat="1" applyFont="1" applyAlignment="1">
      <alignment horizontal="right" vertical="top"/>
    </xf>
    <xf numFmtId="170" fontId="61" fillId="0" borderId="0" xfId="2" applyNumberFormat="1" applyFont="1" applyFill="1" applyBorder="1" applyAlignment="1"/>
    <xf numFmtId="170" fontId="60" fillId="0" borderId="10" xfId="2" applyNumberFormat="1" applyFont="1" applyFill="1" applyBorder="1" applyAlignment="1">
      <alignment horizontal="right"/>
    </xf>
    <xf numFmtId="166" fontId="41" fillId="0" borderId="20" xfId="2" applyNumberFormat="1" applyFont="1" applyFill="1" applyBorder="1" applyAlignment="1" applyProtection="1"/>
    <xf numFmtId="170" fontId="46" fillId="0" borderId="40" xfId="2" applyNumberFormat="1" applyFont="1" applyFill="1" applyBorder="1" applyAlignment="1" applyProtection="1"/>
    <xf numFmtId="166" fontId="46" fillId="0" borderId="0" xfId="2" applyNumberFormat="1" applyFont="1" applyFill="1" applyAlignment="1" applyProtection="1"/>
    <xf numFmtId="166" fontId="46" fillId="0" borderId="21" xfId="2" applyNumberFormat="1" applyFont="1" applyFill="1" applyBorder="1" applyAlignment="1" applyProtection="1"/>
    <xf numFmtId="166" fontId="46" fillId="0" borderId="0" xfId="2" applyNumberFormat="1" applyFont="1" applyFill="1" applyBorder="1" applyAlignment="1">
      <alignment horizontal="right"/>
    </xf>
    <xf numFmtId="164" fontId="46" fillId="0" borderId="16" xfId="2" applyNumberFormat="1" applyFont="1" applyFill="1" applyBorder="1" applyAlignment="1" applyProtection="1">
      <alignment horizontal="right"/>
    </xf>
    <xf numFmtId="165" fontId="46" fillId="0" borderId="0" xfId="2" applyNumberFormat="1" applyFont="1" applyFill="1" applyBorder="1" applyAlignment="1">
      <alignment horizontal="right"/>
    </xf>
    <xf numFmtId="164" fontId="46" fillId="0" borderId="10" xfId="2" applyNumberFormat="1" applyFont="1" applyFill="1" applyBorder="1" applyAlignment="1" applyProtection="1">
      <alignment horizontal="right"/>
    </xf>
    <xf numFmtId="170" fontId="44" fillId="0" borderId="0" xfId="2" applyNumberFormat="1" applyFont="1" applyFill="1" applyBorder="1" applyAlignment="1"/>
    <xf numFmtId="165" fontId="46" fillId="0" borderId="0" xfId="2" applyNumberFormat="1" applyFont="1" applyFill="1" applyAlignment="1">
      <alignment horizontal="right"/>
    </xf>
    <xf numFmtId="170" fontId="39" fillId="0" borderId="19" xfId="2" applyNumberFormat="1" applyFont="1" applyFill="1" applyBorder="1" applyAlignment="1">
      <alignment horizontal="right"/>
    </xf>
    <xf numFmtId="164" fontId="39" fillId="0" borderId="19" xfId="2" applyNumberFormat="1" applyFont="1" applyFill="1" applyBorder="1" applyAlignment="1" applyProtection="1">
      <alignment horizontal="right"/>
    </xf>
    <xf numFmtId="170" fontId="41" fillId="0" borderId="96" xfId="2" applyNumberFormat="1" applyFont="1" applyFill="1" applyBorder="1" applyAlignment="1" applyProtection="1"/>
    <xf numFmtId="172" fontId="46" fillId="0" borderId="66" xfId="2" applyNumberFormat="1" applyFont="1" applyFill="1" applyBorder="1" applyAlignment="1" applyProtection="1"/>
    <xf numFmtId="165" fontId="41" fillId="0" borderId="0" xfId="2" applyNumberFormat="1" applyFont="1" applyFill="1" applyBorder="1" applyAlignment="1" applyProtection="1"/>
    <xf numFmtId="165" fontId="41" fillId="0" borderId="0" xfId="2" applyNumberFormat="1" applyFont="1" applyFill="1" applyAlignment="1" applyProtection="1"/>
    <xf numFmtId="166" fontId="41" fillId="0" borderId="28" xfId="2" applyNumberFormat="1" applyFont="1" applyFill="1" applyBorder="1" applyAlignment="1" applyProtection="1"/>
    <xf numFmtId="165" fontId="41" fillId="0" borderId="15" xfId="2" applyNumberFormat="1" applyFont="1" applyFill="1" applyBorder="1" applyAlignment="1"/>
    <xf numFmtId="165" fontId="39" fillId="0" borderId="0" xfId="2" applyNumberFormat="1" applyFont="1" applyFill="1" applyBorder="1" applyAlignment="1">
      <alignment horizontal="right"/>
    </xf>
    <xf numFmtId="174" fontId="46" fillId="0" borderId="81" xfId="2" applyNumberFormat="1" applyFont="1" applyFill="1" applyBorder="1" applyAlignment="1" applyProtection="1"/>
    <xf numFmtId="172" fontId="46" fillId="0" borderId="81" xfId="2" applyNumberFormat="1" applyFont="1" applyFill="1" applyBorder="1" applyAlignment="1" applyProtection="1"/>
    <xf numFmtId="168" fontId="41" fillId="0" borderId="0" xfId="2" applyNumberFormat="1" applyFont="1" applyFill="1" applyAlignment="1" applyProtection="1"/>
    <xf numFmtId="165" fontId="44" fillId="0" borderId="0" xfId="2" applyNumberFormat="1" applyFont="1" applyFill="1" applyAlignment="1" applyProtection="1"/>
    <xf numFmtId="164" fontId="44" fillId="0" borderId="0" xfId="2" applyNumberFormat="1" applyFont="1" applyFill="1" applyAlignment="1" applyProtection="1"/>
    <xf numFmtId="170" fontId="41" fillId="0" borderId="96" xfId="2" applyNumberFormat="1" applyFont="1" applyFill="1" applyBorder="1" applyAlignment="1">
      <alignment horizontal="center"/>
    </xf>
    <xf numFmtId="170" fontId="41" fillId="0" borderId="93" xfId="2" applyNumberFormat="1" applyFont="1" applyFill="1" applyBorder="1" applyAlignment="1">
      <alignment horizontal="center"/>
    </xf>
    <xf numFmtId="172" fontId="41" fillId="0" borderId="0" xfId="0" applyNumberFormat="1" applyFont="1" applyFill="1" applyBorder="1" applyAlignment="1" applyProtection="1"/>
    <xf numFmtId="164" fontId="46" fillId="0" borderId="16" xfId="0" applyNumberFormat="1" applyFont="1" applyFill="1" applyBorder="1" applyAlignment="1" applyProtection="1"/>
    <xf numFmtId="170" fontId="63" fillId="0" borderId="0" xfId="2" quotePrefix="1" applyNumberFormat="1" applyFont="1" applyFill="1" applyBorder="1" applyAlignment="1"/>
    <xf numFmtId="170" fontId="68" fillId="0" borderId="0" xfId="2" quotePrefix="1" applyNumberFormat="1" applyFont="1" applyFill="1" applyAlignment="1">
      <alignment horizontal="center"/>
    </xf>
    <xf numFmtId="170" fontId="63" fillId="0" borderId="20" xfId="2" applyNumberFormat="1" applyFont="1" applyFill="1" applyBorder="1" applyAlignment="1"/>
    <xf numFmtId="170" fontId="68" fillId="0" borderId="0" xfId="2" quotePrefix="1" applyNumberFormat="1" applyFont="1" applyFill="1" applyBorder="1" applyAlignment="1">
      <alignment horizontal="right"/>
    </xf>
    <xf numFmtId="170" fontId="68" fillId="0" borderId="0" xfId="2" applyNumberFormat="1" applyFont="1" applyFill="1" applyAlignment="1"/>
    <xf numFmtId="170" fontId="68" fillId="0" borderId="21" xfId="2" applyNumberFormat="1" applyFont="1" applyFill="1" applyBorder="1" applyAlignment="1"/>
    <xf numFmtId="170" fontId="68" fillId="0" borderId="0" xfId="2" quotePrefix="1" applyNumberFormat="1" applyFont="1" applyFill="1" applyBorder="1" applyAlignment="1">
      <alignment horizontal="center"/>
    </xf>
    <xf numFmtId="170" fontId="68" fillId="0" borderId="0" xfId="2" applyNumberFormat="1" applyFont="1" applyFill="1" applyAlignment="1">
      <alignment horizontal="right"/>
    </xf>
    <xf numFmtId="166" fontId="169" fillId="0" borderId="15" xfId="2" applyNumberFormat="1" applyFont="1" applyFill="1" applyBorder="1" applyAlignment="1"/>
    <xf numFmtId="174" fontId="68" fillId="0" borderId="0" xfId="2" applyNumberFormat="1" applyFont="1" applyFill="1" applyBorder="1" applyAlignment="1"/>
    <xf numFmtId="169" fontId="170" fillId="0" borderId="15" xfId="2" applyNumberFormat="1" applyFont="1" applyFill="1" applyBorder="1" applyAlignment="1"/>
    <xf numFmtId="166" fontId="63" fillId="0" borderId="0" xfId="2" applyNumberFormat="1" applyFont="1" applyFill="1" applyBorder="1" applyAlignment="1"/>
    <xf numFmtId="0" fontId="96" fillId="0" borderId="0" xfId="2" applyNumberFormat="1" applyFont="1" applyFill="1" applyAlignment="1"/>
    <xf numFmtId="177" fontId="46" fillId="0" borderId="0" xfId="740" applyNumberFormat="1" applyFont="1" applyFill="1" applyBorder="1" applyAlignment="1">
      <alignment horizontal="center"/>
    </xf>
    <xf numFmtId="177" fontId="46" fillId="0" borderId="43" xfId="740" applyNumberFormat="1" applyFont="1" applyFill="1" applyBorder="1" applyAlignment="1">
      <alignment horizontal="center"/>
    </xf>
    <xf numFmtId="177" fontId="46" fillId="0" borderId="10" xfId="740" applyNumberFormat="1" applyFont="1" applyFill="1" applyBorder="1" applyAlignment="1">
      <alignment horizontal="center"/>
    </xf>
    <xf numFmtId="177" fontId="46" fillId="0" borderId="0" xfId="740" quotePrefix="1" applyNumberFormat="1" applyFont="1" applyFill="1" applyBorder="1" applyAlignment="1">
      <alignment horizontal="center"/>
    </xf>
    <xf numFmtId="177" fontId="46" fillId="0" borderId="10" xfId="740" applyNumberFormat="1" applyFont="1" applyFill="1" applyBorder="1" applyAlignment="1"/>
    <xf numFmtId="0" fontId="99" fillId="0" borderId="0" xfId="740" applyFont="1" applyFill="1" applyBorder="1"/>
    <xf numFmtId="0" fontId="80" fillId="0" borderId="0" xfId="836" applyNumberFormat="1" applyFont="1" applyFill="1" applyAlignment="1"/>
    <xf numFmtId="0" fontId="55" fillId="0" borderId="0" xfId="836" applyNumberFormat="1" applyFont="1" applyFill="1" applyAlignment="1"/>
    <xf numFmtId="0" fontId="63" fillId="0" borderId="20" xfId="836" applyNumberFormat="1" applyFont="1" applyFill="1" applyBorder="1" applyAlignment="1"/>
    <xf numFmtId="185" fontId="63" fillId="0" borderId="20" xfId="836" applyNumberFormat="1" applyFont="1" applyFill="1" applyBorder="1" applyAlignment="1"/>
    <xf numFmtId="185" fontId="63" fillId="0" borderId="0" xfId="836" applyNumberFormat="1" applyFont="1" applyFill="1" applyAlignment="1"/>
    <xf numFmtId="180" fontId="68" fillId="0" borderId="17" xfId="836" applyNumberFormat="1" applyFont="1" applyFill="1" applyBorder="1" applyAlignment="1">
      <alignment horizontal="right"/>
    </xf>
    <xf numFmtId="185" fontId="63" fillId="0" borderId="36" xfId="836" applyNumberFormat="1" applyFont="1" applyFill="1" applyBorder="1" applyAlignment="1"/>
    <xf numFmtId="39" fontId="80" fillId="0" borderId="0" xfId="836" applyNumberFormat="1" applyFont="1" applyFill="1" applyAlignment="1"/>
    <xf numFmtId="173" fontId="80" fillId="0" borderId="0" xfId="836" applyNumberFormat="1" applyFont="1" applyFill="1" applyAlignment="1"/>
    <xf numFmtId="165" fontId="80" fillId="0" borderId="0" xfId="836" applyNumberFormat="1" applyFont="1" applyFill="1" applyAlignment="1"/>
    <xf numFmtId="0" fontId="66" fillId="0" borderId="66" xfId="2" applyNumberFormat="1" applyFont="1" applyBorder="1" applyAlignment="1">
      <alignment horizontal="centerContinuous"/>
    </xf>
    <xf numFmtId="165" fontId="65" fillId="0" borderId="66" xfId="2" applyNumberFormat="1" applyFont="1" applyBorder="1" applyAlignment="1" applyProtection="1">
      <alignment horizontal="centerContinuous"/>
      <protection locked="0"/>
    </xf>
    <xf numFmtId="39" fontId="46" fillId="0" borderId="66" xfId="1776" applyNumberFormat="1" applyFont="1" applyBorder="1" applyAlignment="1">
      <alignment horizontal="center"/>
    </xf>
    <xf numFmtId="44" fontId="46" fillId="0" borderId="81" xfId="1776" applyNumberFormat="1" applyFont="1" applyBorder="1" applyAlignment="1"/>
    <xf numFmtId="43" fontId="46" fillId="0" borderId="10" xfId="1776" applyNumberFormat="1" applyFont="1" applyBorder="1" applyAlignment="1"/>
    <xf numFmtId="165" fontId="39" fillId="0" borderId="0" xfId="0" applyNumberFormat="1" applyFont="1" applyAlignment="1" applyProtection="1"/>
    <xf numFmtId="165" fontId="42" fillId="0" borderId="0" xfId="0" applyNumberFormat="1" applyFont="1" applyAlignment="1" applyProtection="1"/>
    <xf numFmtId="165" fontId="144" fillId="0" borderId="0" xfId="0" applyNumberFormat="1" applyFont="1" applyAlignment="1" applyProtection="1"/>
    <xf numFmtId="165" fontId="42" fillId="0" borderId="0" xfId="0" applyNumberFormat="1" applyFont="1" applyFill="1" applyAlignment="1" applyProtection="1"/>
    <xf numFmtId="165" fontId="53" fillId="0" borderId="0" xfId="0" applyNumberFormat="1" applyFont="1" applyAlignment="1" applyProtection="1"/>
    <xf numFmtId="39" fontId="40" fillId="0" borderId="0" xfId="0" applyNumberFormat="1" applyFont="1" applyBorder="1" applyAlignment="1" applyProtection="1">
      <alignment horizontal="left"/>
    </xf>
    <xf numFmtId="164" fontId="41" fillId="0" borderId="0" xfId="0" applyFont="1" applyBorder="1" applyAlignment="1" applyProtection="1">
      <alignment horizontal="left"/>
    </xf>
    <xf numFmtId="166" fontId="40" fillId="0" borderId="0" xfId="0" applyNumberFormat="1" applyFont="1" applyFill="1" applyAlignment="1" applyProtection="1">
      <alignment horizontal="right"/>
    </xf>
    <xf numFmtId="165" fontId="41" fillId="0" borderId="0" xfId="0" applyNumberFormat="1" applyFont="1" applyAlignment="1" applyProtection="1"/>
    <xf numFmtId="166" fontId="134" fillId="0" borderId="0" xfId="0" applyNumberFormat="1" applyFont="1" applyAlignment="1" applyProtection="1"/>
    <xf numFmtId="166" fontId="145" fillId="0" borderId="0" xfId="0" applyNumberFormat="1" applyFont="1" applyAlignment="1" applyProtection="1"/>
    <xf numFmtId="166" fontId="46" fillId="0" borderId="0" xfId="0" applyNumberFormat="1" applyFont="1" applyFill="1" applyAlignment="1" applyProtection="1">
      <alignment horizontal="right"/>
    </xf>
    <xf numFmtId="166" fontId="46" fillId="0" borderId="0" xfId="0" applyNumberFormat="1" applyFont="1" applyAlignment="1" applyProtection="1">
      <alignment horizontal="right"/>
    </xf>
    <xf numFmtId="166" fontId="46" fillId="0" borderId="0" xfId="0" quotePrefix="1" applyNumberFormat="1" applyFont="1" applyFill="1" applyAlignment="1" applyProtection="1">
      <alignment horizontal="right"/>
    </xf>
    <xf numFmtId="166" fontId="46" fillId="0" borderId="0" xfId="0" applyNumberFormat="1" applyFont="1" applyAlignment="1" applyProtection="1">
      <alignment horizontal="center"/>
    </xf>
    <xf numFmtId="166" fontId="44" fillId="0" borderId="0" xfId="0" applyNumberFormat="1" applyFont="1" applyBorder="1" applyAlignment="1" applyProtection="1"/>
    <xf numFmtId="166" fontId="44" fillId="0" borderId="0" xfId="0" applyNumberFormat="1" applyFont="1" applyFill="1" applyAlignment="1" applyProtection="1"/>
    <xf numFmtId="166" fontId="46" fillId="0" borderId="0" xfId="0" applyNumberFormat="1" applyFont="1" applyFill="1" applyAlignment="1" applyProtection="1"/>
    <xf numFmtId="166" fontId="46" fillId="0" borderId="0" xfId="0" applyNumberFormat="1" applyFont="1" applyAlignment="1" applyProtection="1"/>
    <xf numFmtId="166" fontId="41" fillId="0" borderId="0" xfId="0" applyNumberFormat="1" applyFont="1" applyAlignment="1" applyProtection="1"/>
    <xf numFmtId="166" fontId="46" fillId="0" borderId="0" xfId="0" applyNumberFormat="1" applyFont="1" applyBorder="1" applyAlignment="1" applyProtection="1"/>
    <xf numFmtId="166" fontId="39" fillId="0" borderId="0" xfId="0" applyNumberFormat="1" applyFont="1" applyBorder="1" applyAlignment="1" applyProtection="1">
      <alignment horizontal="center"/>
    </xf>
    <xf numFmtId="166" fontId="46" fillId="0" borderId="0" xfId="0" applyNumberFormat="1" applyFont="1" applyFill="1" applyBorder="1" applyAlignment="1" applyProtection="1">
      <alignment horizontal="center"/>
    </xf>
    <xf numFmtId="165" fontId="39" fillId="0" borderId="0" xfId="0" applyNumberFormat="1" applyFont="1" applyBorder="1" applyAlignment="1" applyProtection="1"/>
    <xf numFmtId="166" fontId="39" fillId="0" borderId="0" xfId="0" applyNumberFormat="1" applyFont="1" applyAlignment="1" applyProtection="1">
      <alignment horizontal="center"/>
    </xf>
    <xf numFmtId="166" fontId="131" fillId="0" borderId="0" xfId="0" applyNumberFormat="1" applyFont="1" applyBorder="1" applyAlignment="1" applyProtection="1"/>
    <xf numFmtId="166" fontId="39" fillId="0" borderId="0" xfId="0" applyNumberFormat="1" applyFont="1" applyAlignment="1" applyProtection="1"/>
    <xf numFmtId="166" fontId="41" fillId="0" borderId="13" xfId="0" applyNumberFormat="1" applyFont="1" applyBorder="1" applyAlignment="1" applyProtection="1"/>
    <xf numFmtId="166" fontId="41" fillId="0" borderId="14" xfId="0" applyNumberFormat="1" applyFont="1" applyBorder="1" applyAlignment="1" applyProtection="1"/>
    <xf numFmtId="166" fontId="41" fillId="0" borderId="0" xfId="0" applyNumberFormat="1" applyFont="1" applyFill="1" applyBorder="1" applyAlignment="1" applyProtection="1"/>
    <xf numFmtId="166" fontId="41" fillId="0" borderId="15" xfId="0" applyNumberFormat="1" applyFont="1" applyBorder="1" applyAlignment="1" applyProtection="1"/>
    <xf numFmtId="37" fontId="39" fillId="0" borderId="0" xfId="0" applyNumberFormat="1" applyFont="1" applyAlignment="1" applyProtection="1">
      <alignment horizontal="left"/>
    </xf>
    <xf numFmtId="167" fontId="41" fillId="0" borderId="0" xfId="0" applyNumberFormat="1" applyFont="1" applyAlignment="1" applyProtection="1"/>
    <xf numFmtId="167" fontId="41" fillId="0" borderId="0" xfId="0" applyNumberFormat="1" applyFont="1" applyAlignment="1" applyProtection="1">
      <alignment horizontal="center"/>
    </xf>
    <xf numFmtId="174" fontId="41" fillId="0" borderId="13" xfId="0" applyNumberFormat="1" applyFont="1" applyBorder="1" applyAlignment="1" applyProtection="1"/>
    <xf numFmtId="174" fontId="41" fillId="0" borderId="0" xfId="0" applyNumberFormat="1" applyFont="1" applyBorder="1" applyAlignment="1" applyProtection="1"/>
    <xf numFmtId="167" fontId="41" fillId="0" borderId="14" xfId="0" applyNumberFormat="1" applyFont="1" applyBorder="1" applyAlignment="1" applyProtection="1"/>
    <xf numFmtId="167" fontId="41" fillId="0" borderId="0" xfId="0" applyNumberFormat="1" applyFont="1" applyBorder="1" applyAlignment="1" applyProtection="1"/>
    <xf numFmtId="167" fontId="41" fillId="0" borderId="15" xfId="0" applyNumberFormat="1" applyFont="1" applyBorder="1" applyAlignment="1" applyProtection="1"/>
    <xf numFmtId="168" fontId="42" fillId="0" borderId="0" xfId="0" applyNumberFormat="1" applyFont="1" applyAlignment="1" applyProtection="1"/>
    <xf numFmtId="183" fontId="41" fillId="0" borderId="0" xfId="0" applyNumberFormat="1" applyFont="1" applyBorder="1" applyAlignment="1" applyProtection="1"/>
    <xf numFmtId="37" fontId="41" fillId="0" borderId="0" xfId="0" applyNumberFormat="1" applyFont="1" applyAlignment="1" applyProtection="1">
      <alignment horizontal="left"/>
    </xf>
    <xf numFmtId="170" fontId="41" fillId="0" borderId="13" xfId="0" applyNumberFormat="1" applyFont="1" applyBorder="1" applyAlignment="1" applyProtection="1"/>
    <xf numFmtId="170" fontId="41" fillId="0" borderId="14" xfId="0" applyNumberFormat="1" applyFont="1" applyBorder="1" applyAlignment="1" applyProtection="1"/>
    <xf numFmtId="170" fontId="41" fillId="0" borderId="15" xfId="0" applyNumberFormat="1" applyFont="1" applyBorder="1" applyAlignment="1" applyProtection="1"/>
    <xf numFmtId="165" fontId="41" fillId="0" borderId="0" xfId="0" quotePrefix="1" applyNumberFormat="1" applyFont="1" applyAlignment="1" applyProtection="1">
      <alignment horizontal="left"/>
    </xf>
    <xf numFmtId="171" fontId="41" fillId="0" borderId="0" xfId="0" quotePrefix="1" applyNumberFormat="1" applyFont="1" applyAlignment="1" applyProtection="1">
      <alignment horizontal="left"/>
    </xf>
    <xf numFmtId="170" fontId="46" fillId="0" borderId="0" xfId="0" applyNumberFormat="1" applyFont="1" applyBorder="1" applyAlignment="1" applyProtection="1">
      <alignment horizontal="right"/>
    </xf>
    <xf numFmtId="170" fontId="46" fillId="0" borderId="0" xfId="0" applyNumberFormat="1" applyFont="1" applyBorder="1" applyAlignment="1" applyProtection="1"/>
    <xf numFmtId="170" fontId="46" fillId="0" borderId="15" xfId="0" applyNumberFormat="1" applyFont="1" applyBorder="1" applyAlignment="1" applyProtection="1"/>
    <xf numFmtId="165" fontId="49" fillId="0" borderId="0" xfId="0" applyNumberFormat="1" applyFont="1" applyAlignment="1" applyProtection="1"/>
    <xf numFmtId="166" fontId="46" fillId="0" borderId="0" xfId="0" applyNumberFormat="1" applyFont="1" applyBorder="1" applyAlignment="1" applyProtection="1">
      <alignment horizontal="right"/>
    </xf>
    <xf numFmtId="37" fontId="39" fillId="0" borderId="0" xfId="0" quotePrefix="1" applyNumberFormat="1" applyFont="1" applyAlignment="1" applyProtection="1">
      <alignment horizontal="left"/>
    </xf>
    <xf numFmtId="166" fontId="41" fillId="0" borderId="0" xfId="0" quotePrefix="1" applyNumberFormat="1" applyFont="1" applyAlignment="1" applyProtection="1">
      <alignment horizontal="center"/>
    </xf>
    <xf numFmtId="3" fontId="41" fillId="0" borderId="0" xfId="0" applyNumberFormat="1" applyFont="1" applyAlignment="1" applyProtection="1"/>
    <xf numFmtId="170" fontId="41" fillId="0" borderId="15" xfId="0" quotePrefix="1" applyNumberFormat="1" applyFont="1" applyBorder="1" applyAlignment="1" applyProtection="1">
      <alignment horizontal="right"/>
    </xf>
    <xf numFmtId="166" fontId="41" fillId="0" borderId="0" xfId="0" quotePrefix="1" applyNumberFormat="1" applyFont="1" applyAlignment="1" applyProtection="1">
      <alignment horizontal="left"/>
    </xf>
    <xf numFmtId="166" fontId="41" fillId="0" borderId="0" xfId="0" quotePrefix="1" applyNumberFormat="1" applyFont="1" applyAlignment="1" applyProtection="1"/>
    <xf numFmtId="37" fontId="41" fillId="0" borderId="0" xfId="0" quotePrefix="1" applyNumberFormat="1" applyFont="1" applyAlignment="1" applyProtection="1">
      <alignment horizontal="left"/>
    </xf>
    <xf numFmtId="3" fontId="41" fillId="0" borderId="0" xfId="0" applyNumberFormat="1" applyFont="1" applyAlignment="1" applyProtection="1">
      <alignment horizontal="left"/>
    </xf>
    <xf numFmtId="173" fontId="41" fillId="0" borderId="0" xfId="0" applyNumberFormat="1" applyFont="1" applyAlignment="1" applyProtection="1"/>
    <xf numFmtId="170" fontId="51" fillId="0" borderId="0" xfId="0" applyNumberFormat="1" applyFont="1" applyAlignment="1" applyProtection="1"/>
    <xf numFmtId="166" fontId="41" fillId="0" borderId="0" xfId="0" applyNumberFormat="1" applyFont="1" applyBorder="1" applyAlignment="1" applyProtection="1">
      <alignment horizontal="center"/>
    </xf>
    <xf numFmtId="165" fontId="49" fillId="0" borderId="0" xfId="0" applyNumberFormat="1" applyFont="1" applyBorder="1" applyAlignment="1" applyProtection="1"/>
    <xf numFmtId="166" fontId="41" fillId="0" borderId="0" xfId="0" applyNumberFormat="1" applyFont="1" applyFill="1" applyAlignment="1" applyProtection="1"/>
    <xf numFmtId="170" fontId="41" fillId="0" borderId="15" xfId="0" applyNumberFormat="1" applyFont="1" applyBorder="1" applyAlignment="1" applyProtection="1">
      <alignment horizontal="center"/>
    </xf>
    <xf numFmtId="165" fontId="42" fillId="0" borderId="0" xfId="0" applyNumberFormat="1" applyFont="1" applyBorder="1" applyAlignment="1" applyProtection="1"/>
    <xf numFmtId="166" fontId="41" fillId="0" borderId="0" xfId="0" applyNumberFormat="1" applyFont="1" applyFill="1" applyBorder="1" applyAlignment="1" applyProtection="1">
      <alignment horizontal="center"/>
    </xf>
    <xf numFmtId="37" fontId="39" fillId="0" borderId="0" xfId="0" quotePrefix="1" applyNumberFormat="1" applyFont="1" applyFill="1" applyAlignment="1" applyProtection="1">
      <alignment horizontal="left"/>
    </xf>
    <xf numFmtId="170" fontId="41" fillId="0" borderId="13" xfId="0" applyNumberFormat="1" applyFont="1" applyFill="1" applyBorder="1" applyAlignment="1" applyProtection="1"/>
    <xf numFmtId="170" fontId="41" fillId="0" borderId="14" xfId="0" applyNumberFormat="1" applyFont="1" applyFill="1" applyBorder="1" applyAlignment="1" applyProtection="1"/>
    <xf numFmtId="170" fontId="41" fillId="0" borderId="10" xfId="0" applyNumberFormat="1" applyFont="1" applyBorder="1" applyAlignment="1" applyProtection="1"/>
    <xf numFmtId="170" fontId="46" fillId="0" borderId="16" xfId="0" quotePrefix="1" applyNumberFormat="1" applyFont="1" applyFill="1" applyBorder="1" applyAlignment="1" applyProtection="1">
      <alignment horizontal="right"/>
    </xf>
    <xf numFmtId="170" fontId="46" fillId="0" borderId="13" xfId="0" applyNumberFormat="1" applyFont="1" applyFill="1" applyBorder="1" applyAlignment="1" applyProtection="1"/>
    <xf numFmtId="170" fontId="46" fillId="0" borderId="14" xfId="0" applyNumberFormat="1" applyFont="1" applyFill="1" applyBorder="1" applyAlignment="1" applyProtection="1"/>
    <xf numFmtId="166" fontId="46" fillId="0" borderId="0" xfId="0" applyNumberFormat="1" applyFont="1" applyFill="1" applyBorder="1" applyAlignment="1" applyProtection="1"/>
    <xf numFmtId="165" fontId="46" fillId="0" borderId="0" xfId="0" applyNumberFormat="1" applyFont="1" applyAlignment="1" applyProtection="1"/>
    <xf numFmtId="164" fontId="46" fillId="0" borderId="10" xfId="0" applyNumberFormat="1" applyFont="1" applyBorder="1" applyAlignment="1" applyProtection="1"/>
    <xf numFmtId="166" fontId="46" fillId="0" borderId="0" xfId="0" applyNumberFormat="1" applyFont="1" applyFill="1" applyAlignment="1" applyProtection="1">
      <alignment horizontal="left"/>
    </xf>
    <xf numFmtId="166" fontId="41" fillId="0" borderId="0" xfId="0" quotePrefix="1" applyNumberFormat="1" applyFont="1" applyFill="1" applyAlignment="1" applyProtection="1">
      <alignment horizontal="left"/>
    </xf>
    <xf numFmtId="174" fontId="46" fillId="0" borderId="0" xfId="0" applyNumberFormat="1" applyFont="1" applyFill="1" applyAlignment="1" applyProtection="1"/>
    <xf numFmtId="174" fontId="46" fillId="0" borderId="13" xfId="0" applyNumberFormat="1" applyFont="1" applyFill="1" applyBorder="1" applyAlignment="1" applyProtection="1"/>
    <xf numFmtId="174" fontId="46" fillId="0" borderId="0" xfId="0" applyNumberFormat="1" applyFont="1" applyFill="1" applyBorder="1" applyAlignment="1" applyProtection="1"/>
    <xf numFmtId="174" fontId="46" fillId="0" borderId="14" xfId="0" applyNumberFormat="1" applyFont="1" applyFill="1" applyBorder="1" applyAlignment="1" applyProtection="1"/>
    <xf numFmtId="164" fontId="46" fillId="0" borderId="17" xfId="0" applyNumberFormat="1" applyFont="1" applyBorder="1" applyAlignment="1" applyProtection="1"/>
    <xf numFmtId="169" fontId="46" fillId="0" borderId="0" xfId="0" applyNumberFormat="1" applyFont="1" applyFill="1" applyBorder="1" applyAlignment="1" applyProtection="1"/>
    <xf numFmtId="166" fontId="49" fillId="0" borderId="0" xfId="0" applyNumberFormat="1" applyFont="1" applyBorder="1" applyAlignment="1" applyProtection="1"/>
    <xf numFmtId="166" fontId="42" fillId="0" borderId="0" xfId="0" applyNumberFormat="1" applyFont="1" applyBorder="1" applyAlignment="1" applyProtection="1"/>
    <xf numFmtId="166" fontId="144" fillId="0" borderId="0" xfId="0" applyNumberFormat="1" applyFont="1" applyFill="1" applyBorder="1" applyAlignment="1" applyProtection="1"/>
    <xf numFmtId="166" fontId="42" fillId="0" borderId="0" xfId="0" applyNumberFormat="1" applyFont="1" applyFill="1" applyBorder="1" applyAlignment="1" applyProtection="1"/>
    <xf numFmtId="165" fontId="52" fillId="0" borderId="0" xfId="0" applyNumberFormat="1" applyFont="1" applyBorder="1" applyAlignment="1" applyProtection="1"/>
    <xf numFmtId="165" fontId="46" fillId="0" borderId="0" xfId="0" applyNumberFormat="1" applyFont="1" applyBorder="1" applyAlignment="1" applyProtection="1"/>
    <xf numFmtId="165" fontId="144" fillId="0" borderId="0" xfId="0" applyNumberFormat="1" applyFont="1" applyBorder="1" applyAlignment="1" applyProtection="1"/>
    <xf numFmtId="165" fontId="144" fillId="0" borderId="0" xfId="0" applyNumberFormat="1" applyFont="1" applyFill="1" applyBorder="1" applyAlignment="1" applyProtection="1"/>
    <xf numFmtId="165" fontId="39" fillId="0" borderId="0" xfId="0" applyNumberFormat="1" applyFont="1" applyFill="1" applyAlignment="1" applyProtection="1"/>
    <xf numFmtId="165" fontId="52" fillId="0" borderId="0" xfId="0" applyNumberFormat="1" applyFont="1" applyAlignment="1" applyProtection="1"/>
    <xf numFmtId="166" fontId="47" fillId="0" borderId="0" xfId="0" quotePrefix="1" applyNumberFormat="1" applyFont="1" applyBorder="1" applyAlignment="1" applyProtection="1">
      <alignment horizontal="left"/>
    </xf>
    <xf numFmtId="166" fontId="47" fillId="0" borderId="0" xfId="0" applyNumberFormat="1" applyFont="1" applyBorder="1" applyAlignment="1" applyProtection="1">
      <alignment horizontal="left"/>
    </xf>
    <xf numFmtId="165" fontId="47" fillId="0" borderId="0" xfId="0" applyNumberFormat="1" applyFont="1" applyBorder="1" applyAlignment="1" applyProtection="1"/>
    <xf numFmtId="165" fontId="146" fillId="0" borderId="0" xfId="0" applyNumberFormat="1" applyFont="1" applyBorder="1" applyAlignment="1" applyProtection="1"/>
    <xf numFmtId="165" fontId="48" fillId="0" borderId="0" xfId="0" applyNumberFormat="1" applyFont="1" applyBorder="1" applyAlignment="1" applyProtection="1"/>
    <xf numFmtId="165" fontId="131" fillId="0" borderId="0" xfId="0" applyNumberFormat="1" applyFont="1" applyBorder="1" applyAlignment="1" applyProtection="1"/>
    <xf numFmtId="165" fontId="42" fillId="0" borderId="0" xfId="0" applyNumberFormat="1" applyFont="1" applyFill="1" applyBorder="1" applyAlignment="1" applyProtection="1"/>
    <xf numFmtId="164" fontId="41" fillId="0" borderId="0" xfId="0" applyFont="1" applyFill="1" applyBorder="1" applyAlignment="1" applyProtection="1"/>
    <xf numFmtId="166" fontId="40" fillId="0" borderId="0" xfId="0" applyNumberFormat="1" applyFont="1" applyFill="1" applyBorder="1" applyAlignment="1" applyProtection="1">
      <alignment horizontal="left"/>
    </xf>
    <xf numFmtId="164" fontId="43" fillId="0" borderId="0" xfId="0" applyFont="1" applyFill="1" applyBorder="1" applyAlignment="1" applyProtection="1">
      <alignment horizontal="left"/>
    </xf>
    <xf numFmtId="166" fontId="45" fillId="0" borderId="0" xfId="0" applyNumberFormat="1" applyFont="1" applyFill="1" applyAlignment="1" applyProtection="1"/>
    <xf numFmtId="165" fontId="56" fillId="0" borderId="0" xfId="0" applyNumberFormat="1" applyFont="1" applyFill="1" applyAlignment="1" applyProtection="1"/>
    <xf numFmtId="166" fontId="57" fillId="0" borderId="0" xfId="0" applyNumberFormat="1" applyFont="1" applyFill="1" applyBorder="1" applyAlignment="1" applyProtection="1">
      <alignment horizontal="right"/>
    </xf>
    <xf numFmtId="166" fontId="45" fillId="0" borderId="0" xfId="0" applyNumberFormat="1" applyFont="1" applyBorder="1" applyAlignment="1" applyProtection="1"/>
    <xf numFmtId="166" fontId="45" fillId="0" borderId="0" xfId="0" applyNumberFormat="1" applyFont="1" applyFill="1" applyBorder="1" applyAlignment="1" applyProtection="1"/>
    <xf numFmtId="166" fontId="59" fillId="0" borderId="0" xfId="0" applyNumberFormat="1" applyFont="1" applyFill="1" applyBorder="1" applyAlignment="1" applyProtection="1"/>
    <xf numFmtId="166" fontId="58" fillId="0" borderId="0" xfId="0" applyNumberFormat="1" applyFont="1" applyFill="1" applyBorder="1" applyAlignment="1" applyProtection="1"/>
    <xf numFmtId="166" fontId="149" fillId="0" borderId="10" xfId="0" applyNumberFormat="1" applyFont="1" applyBorder="1" applyAlignment="1" applyProtection="1">
      <alignment horizontal="centerContinuous"/>
    </xf>
    <xf numFmtId="166" fontId="46" fillId="0" borderId="66" xfId="0" applyNumberFormat="1" applyFont="1" applyFill="1" applyBorder="1" applyAlignment="1" applyProtection="1">
      <alignment horizontal="center"/>
    </xf>
    <xf numFmtId="166" fontId="58" fillId="0" borderId="66" xfId="0" applyNumberFormat="1" applyFont="1" applyFill="1" applyBorder="1" applyAlignment="1" applyProtection="1"/>
    <xf numFmtId="165" fontId="42" fillId="0" borderId="66" xfId="0" applyNumberFormat="1" applyFont="1" applyFill="1" applyBorder="1" applyAlignment="1" applyProtection="1"/>
    <xf numFmtId="166" fontId="60" fillId="0" borderId="0" xfId="0" applyNumberFormat="1" applyFont="1" applyFill="1" applyBorder="1" applyAlignment="1" applyProtection="1">
      <alignment horizontal="center"/>
    </xf>
    <xf numFmtId="166" fontId="47" fillId="0" borderId="0" xfId="0" applyNumberFormat="1" applyFont="1" applyFill="1" applyBorder="1" applyAlignment="1" applyProtection="1">
      <alignment horizontal="center"/>
    </xf>
    <xf numFmtId="166" fontId="46" fillId="0" borderId="0" xfId="0" applyNumberFormat="1" applyFont="1" applyFill="1" applyAlignment="1" applyProtection="1">
      <alignment horizontal="center"/>
    </xf>
    <xf numFmtId="166" fontId="46" fillId="0" borderId="10" xfId="0" applyNumberFormat="1" applyFont="1" applyFill="1" applyBorder="1" applyAlignment="1" applyProtection="1">
      <alignment horizontal="center"/>
    </xf>
    <xf numFmtId="166" fontId="39" fillId="0" borderId="0" xfId="0" quotePrefix="1" applyNumberFormat="1" applyFont="1" applyBorder="1" applyAlignment="1" applyProtection="1">
      <alignment horizontal="left"/>
    </xf>
    <xf numFmtId="166" fontId="61" fillId="0" borderId="0" xfId="0" applyNumberFormat="1" applyFont="1" applyFill="1" applyBorder="1" applyAlignment="1" applyProtection="1"/>
    <xf numFmtId="166" fontId="41" fillId="0" borderId="18" xfId="0" applyNumberFormat="1" applyFont="1" applyBorder="1" applyAlignment="1" applyProtection="1"/>
    <xf numFmtId="166" fontId="41" fillId="0" borderId="14" xfId="0" applyNumberFormat="1" applyFont="1" applyFill="1" applyBorder="1" applyAlignment="1" applyProtection="1"/>
    <xf numFmtId="166" fontId="48" fillId="0" borderId="15" xfId="0" applyNumberFormat="1" applyFont="1" applyFill="1" applyBorder="1" applyAlignment="1" applyProtection="1"/>
    <xf numFmtId="174" fontId="61" fillId="0" borderId="0" xfId="0" applyNumberFormat="1" applyFont="1" applyFill="1" applyBorder="1" applyAlignment="1" applyProtection="1"/>
    <xf numFmtId="174" fontId="41" fillId="0" borderId="0" xfId="0" applyNumberFormat="1" applyFont="1" applyFill="1" applyAlignment="1" applyProtection="1"/>
    <xf numFmtId="174" fontId="41" fillId="0" borderId="14" xfId="0" applyNumberFormat="1" applyFont="1" applyFill="1" applyBorder="1" applyAlignment="1" applyProtection="1"/>
    <xf numFmtId="169" fontId="41" fillId="0" borderId="0" xfId="0" applyNumberFormat="1" applyFont="1" applyFill="1" applyBorder="1" applyAlignment="1" applyProtection="1"/>
    <xf numFmtId="169" fontId="48" fillId="0" borderId="15" xfId="0" applyNumberFormat="1" applyFont="1" applyFill="1" applyBorder="1" applyAlignment="1" applyProtection="1"/>
    <xf numFmtId="170" fontId="61" fillId="0" borderId="0" xfId="0" applyNumberFormat="1" applyFont="1" applyFill="1" applyBorder="1" applyAlignment="1" applyProtection="1"/>
    <xf numFmtId="170" fontId="61" fillId="0" borderId="0" xfId="0" applyNumberFormat="1" applyFont="1" applyFill="1" applyBorder="1" applyAlignment="1" applyProtection="1">
      <alignment horizontal="center"/>
    </xf>
    <xf numFmtId="170" fontId="41" fillId="0" borderId="14" xfId="0" applyNumberFormat="1" applyFont="1" applyFill="1" applyBorder="1" applyAlignment="1" applyProtection="1">
      <alignment horizontal="center"/>
    </xf>
    <xf numFmtId="170" fontId="41" fillId="0" borderId="0" xfId="0" applyNumberFormat="1" applyFont="1" applyFill="1" applyBorder="1" applyAlignment="1" applyProtection="1">
      <alignment horizontal="center"/>
    </xf>
    <xf numFmtId="170" fontId="60" fillId="0" borderId="0" xfId="0" applyNumberFormat="1" applyFont="1" applyFill="1" applyBorder="1" applyAlignment="1" applyProtection="1"/>
    <xf numFmtId="166" fontId="47" fillId="0" borderId="15" xfId="0" applyNumberFormat="1" applyFont="1" applyFill="1" applyBorder="1" applyAlignment="1" applyProtection="1"/>
    <xf numFmtId="166" fontId="39" fillId="0" borderId="0" xfId="0" quotePrefix="1" applyNumberFormat="1" applyFont="1" applyAlignment="1" applyProtection="1">
      <alignment horizontal="left"/>
    </xf>
    <xf numFmtId="170" fontId="41" fillId="0" borderId="0" xfId="0" quotePrefix="1" applyNumberFormat="1" applyFont="1" applyFill="1" applyAlignment="1" applyProtection="1">
      <alignment horizontal="center"/>
    </xf>
    <xf numFmtId="170" fontId="41" fillId="0" borderId="0" xfId="0" quotePrefix="1" applyNumberFormat="1" applyFont="1" applyAlignment="1" applyProtection="1">
      <alignment horizontal="right"/>
    </xf>
    <xf numFmtId="3" fontId="39" fillId="0" borderId="0" xfId="0" applyNumberFormat="1" applyFont="1" applyAlignment="1" applyProtection="1">
      <alignment horizontal="left"/>
    </xf>
    <xf numFmtId="170" fontId="60" fillId="0" borderId="0" xfId="0" applyNumberFormat="1" applyFont="1" applyFill="1" applyBorder="1" applyAlignment="1" applyProtection="1">
      <alignment horizontal="center"/>
    </xf>
    <xf numFmtId="170" fontId="46" fillId="0" borderId="14" xfId="0" applyNumberFormat="1" applyFont="1" applyFill="1" applyBorder="1" applyAlignment="1" applyProtection="1">
      <alignment horizontal="center"/>
    </xf>
    <xf numFmtId="170" fontId="46" fillId="0" borderId="0" xfId="0" applyNumberFormat="1" applyFont="1" applyFill="1" applyBorder="1" applyAlignment="1" applyProtection="1">
      <alignment horizontal="center"/>
    </xf>
    <xf numFmtId="166" fontId="39" fillId="0" borderId="0" xfId="0" quotePrefix="1" applyNumberFormat="1" applyFont="1" applyFill="1" applyAlignment="1" applyProtection="1">
      <alignment horizontal="left"/>
    </xf>
    <xf numFmtId="170" fontId="41" fillId="0" borderId="18" xfId="0" applyNumberFormat="1" applyFont="1" applyFill="1" applyBorder="1" applyAlignment="1" applyProtection="1"/>
    <xf numFmtId="164" fontId="41" fillId="0" borderId="10" xfId="0" applyNumberFormat="1" applyFont="1" applyBorder="1" applyAlignment="1" applyProtection="1"/>
    <xf numFmtId="170" fontId="60" fillId="0" borderId="0" xfId="0" applyNumberFormat="1" applyFont="1" applyFill="1" applyAlignment="1" applyProtection="1"/>
    <xf numFmtId="170" fontId="60" fillId="0" borderId="18" xfId="0" applyNumberFormat="1" applyFont="1" applyFill="1" applyBorder="1" applyAlignment="1" applyProtection="1"/>
    <xf numFmtId="170" fontId="60" fillId="0" borderId="14" xfId="0" applyNumberFormat="1" applyFont="1" applyFill="1" applyBorder="1" applyAlignment="1" applyProtection="1"/>
    <xf numFmtId="166" fontId="46" fillId="0" borderId="0" xfId="0" quotePrefix="1" applyNumberFormat="1" applyFont="1" applyAlignment="1" applyProtection="1">
      <alignment horizontal="left"/>
    </xf>
    <xf numFmtId="166" fontId="39" fillId="0" borderId="0" xfId="0" applyNumberFormat="1" applyFont="1" applyFill="1" applyBorder="1" applyAlignment="1" applyProtection="1"/>
    <xf numFmtId="166" fontId="46" fillId="0" borderId="0" xfId="0" quotePrefix="1" applyNumberFormat="1" applyFont="1" applyFill="1" applyAlignment="1" applyProtection="1">
      <alignment horizontal="left"/>
    </xf>
    <xf numFmtId="37" fontId="41" fillId="0" borderId="0" xfId="0" applyNumberFormat="1" applyFont="1" applyFill="1" applyAlignment="1" applyProtection="1">
      <alignment horizontal="left"/>
    </xf>
    <xf numFmtId="174" fontId="60" fillId="0" borderId="0" xfId="0" applyNumberFormat="1" applyFont="1" applyFill="1" applyAlignment="1" applyProtection="1"/>
    <xf numFmtId="174" fontId="60" fillId="0" borderId="17" xfId="0" applyNumberFormat="1" applyFont="1" applyFill="1" applyBorder="1" applyAlignment="1" applyProtection="1"/>
    <xf numFmtId="174" fontId="60" fillId="0" borderId="0" xfId="0" applyNumberFormat="1" applyFont="1" applyFill="1" applyBorder="1" applyAlignment="1" applyProtection="1"/>
    <xf numFmtId="174" fontId="60" fillId="0" borderId="28" xfId="0" applyNumberFormat="1" applyFont="1" applyFill="1" applyBorder="1" applyAlignment="1" applyProtection="1"/>
    <xf numFmtId="174" fontId="60" fillId="0" borderId="14" xfId="0" applyNumberFormat="1" applyFont="1" applyFill="1" applyBorder="1" applyAlignment="1" applyProtection="1"/>
    <xf numFmtId="169" fontId="47" fillId="0" borderId="15" xfId="0" applyNumberFormat="1" applyFont="1" applyFill="1" applyBorder="1" applyAlignment="1" applyProtection="1"/>
    <xf numFmtId="166" fontId="62" fillId="0" borderId="0" xfId="0" applyNumberFormat="1" applyFont="1" applyFill="1" applyBorder="1" applyAlignment="1" applyProtection="1"/>
    <xf numFmtId="166" fontId="39" fillId="0" borderId="0" xfId="0" applyNumberFormat="1" applyFont="1" applyBorder="1" applyAlignment="1" applyProtection="1">
      <alignment horizontal="left"/>
    </xf>
    <xf numFmtId="165" fontId="67" fillId="0" borderId="0" xfId="2" applyNumberFormat="1" applyFont="1" applyAlignment="1" applyProtection="1"/>
    <xf numFmtId="170" fontId="67" fillId="0" borderId="0" xfId="2" applyNumberFormat="1" applyFont="1" applyFill="1" applyAlignment="1" applyProtection="1"/>
    <xf numFmtId="165" fontId="67" fillId="0" borderId="0" xfId="2" applyNumberFormat="1" applyFont="1" applyFill="1" applyAlignment="1" applyProtection="1"/>
    <xf numFmtId="165" fontId="67" fillId="0" borderId="0" xfId="2" applyNumberFormat="1" applyFont="1" applyBorder="1" applyAlignment="1" applyProtection="1"/>
    <xf numFmtId="164" fontId="67" fillId="0" borderId="0" xfId="2" applyNumberFormat="1" applyFont="1" applyAlignment="1" applyProtection="1"/>
    <xf numFmtId="165" fontId="44" fillId="0" borderId="0" xfId="2" applyNumberFormat="1" applyFont="1" applyProtection="1"/>
    <xf numFmtId="170" fontId="44" fillId="0" borderId="0" xfId="2" applyNumberFormat="1" applyFont="1" applyFill="1" applyAlignment="1" applyProtection="1"/>
    <xf numFmtId="165" fontId="67" fillId="0" borderId="0" xfId="2" applyNumberFormat="1" applyFont="1" applyProtection="1"/>
    <xf numFmtId="165" fontId="68" fillId="0" borderId="0" xfId="2" applyNumberFormat="1" applyFont="1" applyAlignment="1" applyProtection="1"/>
    <xf numFmtId="3" fontId="44" fillId="0" borderId="0" xfId="2" applyNumberFormat="1" applyFont="1" applyAlignment="1" applyProtection="1"/>
    <xf numFmtId="0" fontId="46" fillId="0" borderId="0" xfId="2" applyNumberFormat="1" applyFont="1" applyAlignment="1" applyProtection="1"/>
    <xf numFmtId="165" fontId="46" fillId="0" borderId="0" xfId="2" applyNumberFormat="1" applyFont="1" applyAlignment="1" applyProtection="1"/>
    <xf numFmtId="164" fontId="68" fillId="0" borderId="0" xfId="2" applyNumberFormat="1" applyFont="1" applyAlignment="1" applyProtection="1">
      <alignment horizontal="right"/>
    </xf>
    <xf numFmtId="0" fontId="68" fillId="0" borderId="0" xfId="2" applyNumberFormat="1" applyFont="1" applyAlignment="1" applyProtection="1"/>
    <xf numFmtId="165" fontId="68" fillId="0" borderId="0" xfId="2" applyNumberFormat="1" applyFont="1" applyBorder="1" applyAlignment="1" applyProtection="1">
      <alignment horizontal="right"/>
    </xf>
    <xf numFmtId="0" fontId="68" fillId="0" borderId="0" xfId="2" quotePrefix="1" applyNumberFormat="1" applyFont="1" applyAlignment="1" applyProtection="1">
      <alignment horizontal="left"/>
    </xf>
    <xf numFmtId="0" fontId="60" fillId="0" borderId="0" xfId="2" quotePrefix="1" applyNumberFormat="1" applyFont="1" applyAlignment="1" applyProtection="1">
      <alignment horizontal="center"/>
    </xf>
    <xf numFmtId="166" fontId="60" fillId="0" borderId="0" xfId="2" applyNumberFormat="1" applyFont="1" applyAlignment="1" applyProtection="1"/>
    <xf numFmtId="165" fontId="46" fillId="0" borderId="0" xfId="2" applyNumberFormat="1" applyFont="1" applyBorder="1" applyAlignment="1" applyProtection="1"/>
    <xf numFmtId="0" fontId="46" fillId="0" borderId="0" xfId="2" applyNumberFormat="1" applyFont="1" applyBorder="1" applyAlignment="1" applyProtection="1"/>
    <xf numFmtId="165" fontId="46" fillId="0" borderId="0" xfId="2" applyNumberFormat="1" applyFont="1" applyFill="1" applyBorder="1" applyAlignment="1" applyProtection="1"/>
    <xf numFmtId="165" fontId="77" fillId="0" borderId="0" xfId="2" applyNumberFormat="1" applyFont="1" applyProtection="1"/>
    <xf numFmtId="166" fontId="46" fillId="0" borderId="0" xfId="2" applyNumberFormat="1" applyFont="1" applyBorder="1" applyAlignment="1" applyProtection="1">
      <alignment horizontal="center"/>
    </xf>
    <xf numFmtId="165" fontId="46" fillId="0" borderId="0" xfId="2" applyNumberFormat="1" applyFont="1" applyBorder="1" applyAlignment="1" applyProtection="1">
      <alignment horizontal="center"/>
    </xf>
    <xf numFmtId="0" fontId="46" fillId="0" borderId="0" xfId="2" applyNumberFormat="1" applyFont="1" applyAlignment="1" applyProtection="1">
      <alignment horizontal="center"/>
    </xf>
    <xf numFmtId="3" fontId="46" fillId="0" borderId="0" xfId="2" applyNumberFormat="1" applyFont="1" applyAlignment="1" applyProtection="1">
      <alignment horizontal="center"/>
    </xf>
    <xf numFmtId="170" fontId="46" fillId="0" borderId="0" xfId="2" applyNumberFormat="1" applyFont="1" applyFill="1" applyAlignment="1" applyProtection="1">
      <alignment horizontal="center"/>
    </xf>
    <xf numFmtId="165" fontId="46" fillId="0" borderId="0" xfId="2" applyNumberFormat="1" applyFont="1" applyAlignment="1" applyProtection="1">
      <alignment horizontal="center"/>
    </xf>
    <xf numFmtId="1" fontId="46" fillId="0" borderId="0" xfId="2" quotePrefix="1" applyNumberFormat="1" applyFont="1" applyBorder="1" applyAlignment="1" applyProtection="1">
      <alignment horizontal="center"/>
    </xf>
    <xf numFmtId="166" fontId="46" fillId="0" borderId="10" xfId="2" applyNumberFormat="1" applyFont="1" applyBorder="1" applyAlignment="1" applyProtection="1">
      <alignment horizontal="center"/>
    </xf>
    <xf numFmtId="166" fontId="46" fillId="0" borderId="10" xfId="2" quotePrefix="1" applyNumberFormat="1" applyFont="1" applyBorder="1" applyAlignment="1" applyProtection="1">
      <alignment horizontal="center"/>
    </xf>
    <xf numFmtId="165" fontId="41" fillId="0" borderId="20" xfId="2" applyNumberFormat="1" applyFont="1" applyBorder="1" applyAlignment="1" applyProtection="1"/>
    <xf numFmtId="3" fontId="41" fillId="0" borderId="20" xfId="2" applyNumberFormat="1" applyFont="1" applyBorder="1" applyAlignment="1" applyProtection="1"/>
    <xf numFmtId="165" fontId="67" fillId="0" borderId="15" xfId="2" applyNumberFormat="1" applyFont="1" applyBorder="1" applyProtection="1"/>
    <xf numFmtId="0" fontId="42" fillId="0" borderId="0" xfId="2" applyNumberFormat="1" applyFont="1" applyAlignment="1" applyProtection="1"/>
    <xf numFmtId="0" fontId="46" fillId="0" borderId="0" xfId="2" quotePrefix="1" applyNumberFormat="1" applyFont="1" applyAlignment="1" applyProtection="1">
      <alignment horizontal="left"/>
    </xf>
    <xf numFmtId="174" fontId="46" fillId="0" borderId="0" xfId="4" applyNumberFormat="1" applyFont="1" applyFill="1" applyProtection="1"/>
    <xf numFmtId="169" fontId="46" fillId="0" borderId="0" xfId="2" applyNumberFormat="1" applyFont="1" applyAlignment="1" applyProtection="1"/>
    <xf numFmtId="174" fontId="46" fillId="0" borderId="0" xfId="2" applyNumberFormat="1" applyFont="1" applyAlignment="1" applyProtection="1"/>
    <xf numFmtId="169" fontId="46" fillId="0" borderId="21" xfId="2" applyNumberFormat="1" applyFont="1" applyBorder="1" applyAlignment="1" applyProtection="1"/>
    <xf numFmtId="169" fontId="46" fillId="0" borderId="0" xfId="2" applyNumberFormat="1" applyFont="1" applyFill="1" applyAlignment="1" applyProtection="1"/>
    <xf numFmtId="169" fontId="77" fillId="0" borderId="15" xfId="2" applyNumberFormat="1" applyFont="1" applyBorder="1" applyProtection="1"/>
    <xf numFmtId="169" fontId="45" fillId="0" borderId="0" xfId="2" applyNumberFormat="1" applyFont="1" applyBorder="1" applyAlignment="1" applyProtection="1"/>
    <xf numFmtId="3" fontId="41" fillId="0" borderId="0" xfId="2" applyNumberFormat="1" applyFont="1" applyAlignment="1" applyProtection="1"/>
    <xf numFmtId="165" fontId="44" fillId="0" borderId="0" xfId="2" applyNumberFormat="1" applyFont="1" applyBorder="1" applyAlignment="1" applyProtection="1"/>
    <xf numFmtId="0" fontId="46" fillId="0" borderId="0" xfId="2" applyNumberFormat="1" applyFont="1" applyFill="1" applyAlignment="1" applyProtection="1">
      <alignment horizontal="left"/>
    </xf>
    <xf numFmtId="0" fontId="39" fillId="0" borderId="0" xfId="2" quotePrefix="1" applyNumberFormat="1" applyFont="1" applyAlignment="1" applyProtection="1">
      <alignment horizontal="left"/>
    </xf>
    <xf numFmtId="0" fontId="42" fillId="0" borderId="0" xfId="2" applyNumberFormat="1" applyFont="1" applyFill="1" applyAlignment="1" applyProtection="1"/>
    <xf numFmtId="0" fontId="41" fillId="0" borderId="0" xfId="2" applyNumberFormat="1" applyFont="1" applyFill="1" applyAlignment="1" applyProtection="1"/>
    <xf numFmtId="43" fontId="39" fillId="0" borderId="0" xfId="2" applyNumberFormat="1" applyFont="1" applyAlignment="1" applyProtection="1"/>
    <xf numFmtId="165" fontId="67" fillId="0" borderId="15" xfId="2" applyNumberFormat="1" applyFont="1" applyFill="1" applyBorder="1" applyProtection="1"/>
    <xf numFmtId="165" fontId="44" fillId="0" borderId="0" xfId="2" applyNumberFormat="1" applyFont="1" applyFill="1" applyBorder="1" applyAlignment="1" applyProtection="1"/>
    <xf numFmtId="0" fontId="39" fillId="0" borderId="0" xfId="2" applyNumberFormat="1" applyFont="1" applyAlignment="1" applyProtection="1"/>
    <xf numFmtId="165" fontId="39" fillId="0" borderId="0" xfId="0" applyNumberFormat="1" applyFont="1" applyFill="1" applyAlignment="1" applyProtection="1">
      <alignment horizontal="left"/>
    </xf>
    <xf numFmtId="170" fontId="46" fillId="0" borderId="95" xfId="2" applyNumberFormat="1" applyFont="1" applyBorder="1" applyAlignment="1" applyProtection="1"/>
    <xf numFmtId="170" fontId="46" fillId="0" borderId="95" xfId="2" applyNumberFormat="1" applyFont="1" applyFill="1" applyBorder="1" applyAlignment="1" applyProtection="1"/>
    <xf numFmtId="0" fontId="46" fillId="0" borderId="0" xfId="4" applyFont="1" applyFill="1" applyProtection="1"/>
    <xf numFmtId="170" fontId="46" fillId="0" borderId="70" xfId="2" applyNumberFormat="1" applyFont="1" applyBorder="1" applyAlignment="1" applyProtection="1"/>
    <xf numFmtId="170" fontId="46" fillId="0" borderId="70" xfId="2" applyNumberFormat="1" applyFont="1" applyFill="1" applyBorder="1" applyAlignment="1" applyProtection="1"/>
    <xf numFmtId="170" fontId="67" fillId="0" borderId="15" xfId="2" applyNumberFormat="1" applyFont="1" applyBorder="1" applyProtection="1"/>
    <xf numFmtId="170" fontId="39" fillId="0" borderId="0" xfId="2" applyNumberFormat="1" applyFont="1" applyBorder="1" applyAlignment="1" applyProtection="1"/>
    <xf numFmtId="164" fontId="46" fillId="0" borderId="0" xfId="2" applyNumberFormat="1" applyFont="1" applyBorder="1" applyAlignment="1" applyProtection="1"/>
    <xf numFmtId="0" fontId="49" fillId="0" borderId="0" xfId="2" applyNumberFormat="1" applyFont="1" applyAlignment="1" applyProtection="1"/>
    <xf numFmtId="170" fontId="77" fillId="0" borderId="15" xfId="2" applyNumberFormat="1" applyFont="1" applyBorder="1" applyProtection="1"/>
    <xf numFmtId="165" fontId="77" fillId="0" borderId="0" xfId="2" applyNumberFormat="1" applyFont="1" applyAlignment="1" applyProtection="1"/>
    <xf numFmtId="170" fontId="46" fillId="0" borderId="66" xfId="1046" applyNumberFormat="1" applyFont="1" applyFill="1" applyBorder="1" applyProtection="1"/>
    <xf numFmtId="0" fontId="77" fillId="0" borderId="0" xfId="2" applyNumberFormat="1" applyFont="1" applyFill="1" applyAlignment="1" applyProtection="1">
      <alignment horizontal="left"/>
    </xf>
    <xf numFmtId="170" fontId="84" fillId="0" borderId="0" xfId="2" applyNumberFormat="1" applyFont="1" applyAlignment="1" applyProtection="1"/>
    <xf numFmtId="0" fontId="39" fillId="0" borderId="0" xfId="2" applyNumberFormat="1" applyFont="1" applyFill="1" applyAlignment="1" applyProtection="1">
      <alignment horizontal="left"/>
    </xf>
    <xf numFmtId="170" fontId="39" fillId="0" borderId="0" xfId="2" applyNumberFormat="1" applyFont="1" applyFill="1" applyBorder="1" applyAlignment="1" applyProtection="1">
      <alignment horizontal="right"/>
    </xf>
    <xf numFmtId="170" fontId="39" fillId="0" borderId="15" xfId="0" quotePrefix="1" applyNumberFormat="1" applyFont="1" applyFill="1" applyBorder="1" applyAlignment="1" applyProtection="1">
      <alignment horizontal="right"/>
    </xf>
    <xf numFmtId="172" fontId="39" fillId="0" borderId="10" xfId="2" applyNumberFormat="1" applyFont="1" applyFill="1" applyBorder="1" applyAlignment="1" applyProtection="1"/>
    <xf numFmtId="170" fontId="86" fillId="0" borderId="0" xfId="2" applyNumberFormat="1" applyFont="1" applyAlignment="1" applyProtection="1"/>
    <xf numFmtId="164" fontId="46" fillId="0" borderId="0" xfId="2" applyNumberFormat="1" applyFont="1" applyAlignment="1" applyProtection="1"/>
    <xf numFmtId="170" fontId="39" fillId="0" borderId="10" xfId="2" applyNumberFormat="1" applyFont="1" applyBorder="1" applyAlignment="1" applyProtection="1"/>
    <xf numFmtId="170" fontId="39" fillId="0" borderId="20" xfId="2" applyNumberFormat="1" applyFont="1" applyBorder="1" applyAlignment="1" applyProtection="1"/>
    <xf numFmtId="170" fontId="39" fillId="0" borderId="20" xfId="2" applyNumberFormat="1" applyFont="1" applyFill="1" applyBorder="1" applyAlignment="1" applyProtection="1"/>
    <xf numFmtId="170" fontId="48" fillId="0" borderId="0" xfId="2" applyNumberFormat="1" applyFont="1" applyBorder="1" applyAlignment="1" applyProtection="1">
      <alignment horizontal="right"/>
    </xf>
    <xf numFmtId="3" fontId="41" fillId="0" borderId="0" xfId="2" applyNumberFormat="1" applyFont="1" applyAlignment="1" applyProtection="1">
      <alignment horizontal="left"/>
    </xf>
    <xf numFmtId="170" fontId="67" fillId="0" borderId="15" xfId="2" applyNumberFormat="1" applyFont="1" applyBorder="1" applyAlignment="1" applyProtection="1">
      <alignment horizontal="center"/>
    </xf>
    <xf numFmtId="170" fontId="39" fillId="0" borderId="0" xfId="2" applyNumberFormat="1" applyFont="1" applyBorder="1" applyAlignment="1" applyProtection="1">
      <alignment horizontal="center"/>
    </xf>
    <xf numFmtId="164" fontId="46" fillId="0" borderId="45" xfId="2" quotePrefix="1" applyNumberFormat="1" applyFont="1" applyBorder="1" applyAlignment="1" applyProtection="1"/>
    <xf numFmtId="0" fontId="41" fillId="0" borderId="0" xfId="2" quotePrefix="1" applyNumberFormat="1" applyFont="1" applyAlignment="1" applyProtection="1">
      <alignment horizontal="left"/>
    </xf>
    <xf numFmtId="164" fontId="46" fillId="0" borderId="10" xfId="2" quotePrefix="1" applyNumberFormat="1" applyFont="1" applyBorder="1" applyAlignment="1" applyProtection="1">
      <alignment horizontal="right"/>
    </xf>
    <xf numFmtId="0" fontId="39" fillId="0" borderId="0" xfId="2" quotePrefix="1" applyNumberFormat="1" applyFont="1" applyFill="1" applyBorder="1" applyAlignment="1" applyProtection="1">
      <alignment horizontal="left"/>
    </xf>
    <xf numFmtId="170" fontId="67" fillId="0" borderId="15" xfId="2" applyNumberFormat="1" applyFont="1" applyFill="1" applyBorder="1" applyProtection="1"/>
    <xf numFmtId="0" fontId="41" fillId="0" borderId="0" xfId="2" quotePrefix="1" applyNumberFormat="1" applyFont="1" applyFill="1" applyBorder="1" applyAlignment="1" applyProtection="1">
      <alignment horizontal="left"/>
    </xf>
    <xf numFmtId="0" fontId="39" fillId="0" borderId="0" xfId="2" applyNumberFormat="1" applyFont="1" applyFill="1" applyAlignment="1" applyProtection="1"/>
    <xf numFmtId="170" fontId="39" fillId="0" borderId="10" xfId="2" applyNumberFormat="1" applyFont="1" applyFill="1" applyBorder="1" applyAlignment="1" applyProtection="1"/>
    <xf numFmtId="172" fontId="46" fillId="0" borderId="10" xfId="2" applyNumberFormat="1" applyFont="1" applyBorder="1" applyAlignment="1" applyProtection="1"/>
    <xf numFmtId="170" fontId="44" fillId="0" borderId="0" xfId="2" applyNumberFormat="1" applyFont="1" applyAlignment="1" applyProtection="1"/>
    <xf numFmtId="170" fontId="44" fillId="0" borderId="0" xfId="2" applyNumberFormat="1" applyFont="1" applyBorder="1" applyAlignment="1" applyProtection="1"/>
    <xf numFmtId="170" fontId="45" fillId="0" borderId="0" xfId="2" applyNumberFormat="1" applyFont="1" applyBorder="1" applyAlignment="1" applyProtection="1"/>
    <xf numFmtId="172" fontId="46" fillId="0" borderId="10" xfId="2" applyNumberFormat="1" applyFont="1" applyFill="1" applyBorder="1" applyAlignment="1" applyProtection="1"/>
    <xf numFmtId="164" fontId="39" fillId="0" borderId="20" xfId="2" applyNumberFormat="1" applyFont="1" applyBorder="1" applyAlignment="1" applyProtection="1"/>
    <xf numFmtId="174" fontId="46" fillId="0" borderId="17" xfId="2" applyNumberFormat="1" applyFont="1" applyFill="1" applyBorder="1" applyAlignment="1" applyProtection="1"/>
    <xf numFmtId="169" fontId="46" fillId="0" borderId="0" xfId="2" applyNumberFormat="1" applyFont="1" applyFill="1" applyBorder="1" applyAlignment="1" applyProtection="1"/>
    <xf numFmtId="169" fontId="46" fillId="0" borderId="18" xfId="2" applyNumberFormat="1" applyFont="1" applyFill="1" applyBorder="1" applyAlignment="1" applyProtection="1"/>
    <xf numFmtId="169" fontId="46" fillId="0" borderId="0" xfId="2" applyNumberFormat="1" applyFont="1" applyBorder="1" applyAlignment="1" applyProtection="1"/>
    <xf numFmtId="174" fontId="46" fillId="0" borderId="17" xfId="2" applyNumberFormat="1" applyFont="1" applyBorder="1" applyAlignment="1" applyProtection="1"/>
    <xf numFmtId="164" fontId="46" fillId="0" borderId="17" xfId="2" applyNumberFormat="1" applyFont="1" applyBorder="1" applyAlignment="1" applyProtection="1"/>
    <xf numFmtId="0" fontId="41" fillId="0" borderId="0" xfId="2" applyNumberFormat="1" applyFont="1" applyBorder="1" applyAlignment="1" applyProtection="1"/>
    <xf numFmtId="3" fontId="41" fillId="0" borderId="0" xfId="2" applyNumberFormat="1" applyFont="1" applyBorder="1" applyAlignment="1" applyProtection="1"/>
    <xf numFmtId="170" fontId="67" fillId="0" borderId="0" xfId="2" applyNumberFormat="1" applyFont="1" applyBorder="1" applyProtection="1"/>
    <xf numFmtId="170" fontId="67" fillId="0" borderId="0" xfId="2" applyNumberFormat="1" applyFont="1" applyProtection="1"/>
    <xf numFmtId="0" fontId="41" fillId="0" borderId="0" xfId="2" applyNumberFormat="1" applyFont="1" applyAlignment="1" applyProtection="1">
      <alignment horizontal="left"/>
    </xf>
    <xf numFmtId="165" fontId="49" fillId="0" borderId="0" xfId="2" applyNumberFormat="1" applyFont="1" applyBorder="1" applyAlignment="1" applyProtection="1"/>
    <xf numFmtId="165" fontId="42" fillId="0" borderId="0" xfId="2" applyNumberFormat="1" applyFont="1" applyBorder="1" applyAlignment="1" applyProtection="1"/>
    <xf numFmtId="170" fontId="41" fillId="0" borderId="0" xfId="2" applyNumberFormat="1" applyFont="1" applyProtection="1"/>
    <xf numFmtId="165" fontId="41" fillId="0" borderId="0" xfId="2" applyNumberFormat="1" applyFont="1" applyProtection="1"/>
    <xf numFmtId="165" fontId="39" fillId="0" borderId="0" xfId="2" applyNumberFormat="1" applyFont="1" applyBorder="1" applyAlignment="1" applyProtection="1"/>
    <xf numFmtId="166" fontId="48" fillId="0" borderId="0" xfId="2" quotePrefix="1" applyNumberFormat="1" applyFont="1" applyBorder="1" applyAlignment="1" applyProtection="1">
      <alignment horizontal="left"/>
    </xf>
    <xf numFmtId="164" fontId="0" fillId="0" borderId="0" xfId="0" applyProtection="1"/>
    <xf numFmtId="0" fontId="44" fillId="0" borderId="0" xfId="2" applyNumberFormat="1" applyFont="1" applyAlignment="1" applyProtection="1"/>
    <xf numFmtId="0" fontId="46" fillId="0" borderId="0" xfId="2" quotePrefix="1" applyNumberFormat="1" applyFont="1" applyAlignment="1" applyProtection="1">
      <alignment horizontal="center"/>
    </xf>
    <xf numFmtId="0" fontId="46" fillId="0" borderId="66" xfId="2" applyNumberFormat="1" applyFont="1" applyBorder="1" applyAlignment="1" applyProtection="1">
      <alignment horizontal="center"/>
    </xf>
    <xf numFmtId="165" fontId="41" fillId="0" borderId="20" xfId="2" applyNumberFormat="1" applyFont="1" applyBorder="1" applyProtection="1"/>
    <xf numFmtId="165" fontId="41" fillId="0" borderId="15" xfId="2" applyNumberFormat="1" applyFont="1" applyBorder="1" applyAlignment="1" applyProtection="1"/>
    <xf numFmtId="0" fontId="46" fillId="0" borderId="0" xfId="2" applyNumberFormat="1" applyFont="1" applyAlignment="1" applyProtection="1">
      <alignment horizontal="left"/>
    </xf>
    <xf numFmtId="174" fontId="46" fillId="0" borderId="21" xfId="2" applyNumberFormat="1" applyFont="1" applyBorder="1" applyAlignment="1" applyProtection="1"/>
    <xf numFmtId="174" fontId="46" fillId="0" borderId="0" xfId="2" applyNumberFormat="1" applyFont="1" applyAlignment="1" applyProtection="1">
      <alignment horizontal="right"/>
    </xf>
    <xf numFmtId="168" fontId="46" fillId="0" borderId="0" xfId="2" applyNumberFormat="1" applyFont="1" applyAlignment="1" applyProtection="1"/>
    <xf numFmtId="165" fontId="41" fillId="0" borderId="21" xfId="2" applyNumberFormat="1" applyFont="1" applyBorder="1" applyAlignment="1" applyProtection="1"/>
    <xf numFmtId="0" fontId="39" fillId="0" borderId="0" xfId="2" quotePrefix="1" applyNumberFormat="1" applyFont="1" applyFill="1" applyAlignment="1" applyProtection="1">
      <alignment horizontal="left"/>
    </xf>
    <xf numFmtId="164" fontId="0" fillId="0" borderId="0" xfId="0" applyFill="1" applyProtection="1"/>
    <xf numFmtId="170" fontId="65" fillId="0" borderId="0" xfId="2" applyNumberFormat="1" applyFont="1" applyAlignment="1" applyProtection="1"/>
    <xf numFmtId="194" fontId="39" fillId="0" borderId="0" xfId="2" applyNumberFormat="1" applyFont="1" applyFill="1" applyAlignment="1" applyProtection="1"/>
    <xf numFmtId="174" fontId="39" fillId="0" borderId="0" xfId="2" applyNumberFormat="1" applyFont="1" applyAlignment="1" applyProtection="1"/>
    <xf numFmtId="174" fontId="39" fillId="0" borderId="0" xfId="2" applyNumberFormat="1" applyFont="1" applyBorder="1" applyAlignment="1" applyProtection="1"/>
    <xf numFmtId="165" fontId="0" fillId="0" borderId="0" xfId="2" applyNumberFormat="1" applyFont="1" applyFill="1" applyAlignment="1" applyProtection="1"/>
    <xf numFmtId="0" fontId="46" fillId="0" borderId="0" xfId="2" applyFont="1" applyFill="1" applyAlignment="1" applyProtection="1"/>
    <xf numFmtId="164" fontId="46" fillId="0" borderId="16" xfId="2" applyNumberFormat="1" applyFont="1" applyFill="1" applyBorder="1" applyAlignment="1" applyProtection="1"/>
    <xf numFmtId="170" fontId="65" fillId="0" borderId="0" xfId="2" applyNumberFormat="1" applyFont="1" applyFill="1" applyAlignment="1" applyProtection="1"/>
    <xf numFmtId="164" fontId="0" fillId="0" borderId="0" xfId="0" applyAlignment="1" applyProtection="1"/>
    <xf numFmtId="170" fontId="39" fillId="0" borderId="0" xfId="2" applyNumberFormat="1" applyFont="1" applyAlignment="1" applyProtection="1">
      <alignment horizontal="right"/>
    </xf>
    <xf numFmtId="0" fontId="46" fillId="0" borderId="0" xfId="2" applyNumberFormat="1" applyFont="1" applyFill="1" applyAlignment="1" applyProtection="1"/>
    <xf numFmtId="170" fontId="46" fillId="0" borderId="21" xfId="2" applyNumberFormat="1" applyFont="1" applyFill="1" applyBorder="1" applyAlignment="1" applyProtection="1"/>
    <xf numFmtId="170" fontId="66" fillId="0" borderId="0" xfId="2" applyNumberFormat="1" applyFont="1" applyFill="1" applyAlignment="1" applyProtection="1"/>
    <xf numFmtId="165" fontId="46" fillId="0" borderId="0" xfId="2" applyNumberFormat="1" applyFont="1" applyFill="1" applyAlignment="1" applyProtection="1"/>
    <xf numFmtId="0" fontId="39" fillId="0" borderId="0" xfId="2" applyNumberFormat="1" applyFont="1" applyAlignment="1" applyProtection="1">
      <alignment horizontal="left"/>
    </xf>
    <xf numFmtId="165" fontId="41" fillId="0" borderId="0" xfId="2" applyNumberFormat="1" applyFont="1" applyFill="1" applyAlignment="1" applyProtection="1">
      <alignment horizontal="left"/>
    </xf>
    <xf numFmtId="170" fontId="41" fillId="0" borderId="100" xfId="2" applyNumberFormat="1" applyFont="1" applyFill="1" applyBorder="1" applyAlignment="1" applyProtection="1"/>
    <xf numFmtId="170" fontId="65" fillId="0" borderId="0" xfId="2" applyNumberFormat="1" applyFont="1" applyFill="1" applyBorder="1" applyAlignment="1" applyProtection="1"/>
    <xf numFmtId="170" fontId="41" fillId="0" borderId="96" xfId="2" applyNumberFormat="1" applyFont="1" applyBorder="1" applyAlignment="1" applyProtection="1"/>
    <xf numFmtId="170" fontId="39" fillId="0" borderId="19" xfId="2" applyNumberFormat="1" applyFont="1" applyBorder="1" applyAlignment="1" applyProtection="1"/>
    <xf numFmtId="170" fontId="46" fillId="0" borderId="100" xfId="2" applyNumberFormat="1" applyFont="1" applyBorder="1" applyAlignment="1" applyProtection="1"/>
    <xf numFmtId="166" fontId="46" fillId="0" borderId="0" xfId="2" applyNumberFormat="1" applyFont="1" applyBorder="1" applyAlignment="1" applyProtection="1">
      <alignment horizontal="right"/>
    </xf>
    <xf numFmtId="3" fontId="41" fillId="0" borderId="0" xfId="2" applyNumberFormat="1" applyFont="1" applyFill="1" applyAlignment="1" applyProtection="1"/>
    <xf numFmtId="166" fontId="41" fillId="0" borderId="0" xfId="2" quotePrefix="1" applyNumberFormat="1" applyFont="1" applyFill="1" applyAlignment="1" applyProtection="1">
      <alignment horizontal="right"/>
    </xf>
    <xf numFmtId="166" fontId="39" fillId="0" borderId="0" xfId="2" applyNumberFormat="1" applyFont="1" applyFill="1" applyBorder="1" applyAlignment="1" applyProtection="1"/>
    <xf numFmtId="3" fontId="41" fillId="0" borderId="0" xfId="2" applyNumberFormat="1" applyFont="1" applyFill="1" applyAlignment="1" applyProtection="1">
      <alignment horizontal="left"/>
    </xf>
    <xf numFmtId="196" fontId="41" fillId="0" borderId="0" xfId="2" applyNumberFormat="1" applyFont="1" applyFill="1" applyAlignment="1" applyProtection="1"/>
    <xf numFmtId="170" fontId="39" fillId="0" borderId="19" xfId="2" applyNumberFormat="1" applyFont="1" applyFill="1" applyBorder="1" applyAlignment="1" applyProtection="1"/>
    <xf numFmtId="164" fontId="39" fillId="0" borderId="19" xfId="2" applyNumberFormat="1" applyFont="1" applyFill="1" applyBorder="1" applyAlignment="1" applyProtection="1"/>
    <xf numFmtId="170" fontId="46" fillId="0" borderId="100" xfId="2" applyNumberFormat="1" applyFont="1" applyFill="1" applyBorder="1" applyAlignment="1" applyProtection="1"/>
    <xf numFmtId="164" fontId="46" fillId="0" borderId="66" xfId="2" applyNumberFormat="1" applyFont="1" applyFill="1" applyBorder="1" applyAlignment="1" applyProtection="1"/>
    <xf numFmtId="170" fontId="0" fillId="0" borderId="0" xfId="2" applyNumberFormat="1" applyFont="1" applyBorder="1" applyAlignment="1" applyProtection="1"/>
    <xf numFmtId="170" fontId="41" fillId="0" borderId="0" xfId="5" applyNumberFormat="1" applyFont="1" applyFill="1" applyProtection="1"/>
    <xf numFmtId="174" fontId="46" fillId="0" borderId="101" xfId="2" applyNumberFormat="1" applyFont="1" applyBorder="1" applyAlignment="1" applyProtection="1"/>
    <xf numFmtId="168" fontId="41" fillId="0" borderId="36" xfId="2" applyNumberFormat="1" applyFont="1" applyBorder="1" applyAlignment="1" applyProtection="1"/>
    <xf numFmtId="168" fontId="41" fillId="0" borderId="0" xfId="2" applyNumberFormat="1" applyFont="1" applyBorder="1" applyAlignment="1" applyProtection="1"/>
    <xf numFmtId="168" fontId="39" fillId="0" borderId="0" xfId="2" applyNumberFormat="1" applyFont="1" applyAlignment="1" applyProtection="1"/>
    <xf numFmtId="0" fontId="0" fillId="0" borderId="0" xfId="2" applyFont="1" applyFill="1" applyProtection="1"/>
    <xf numFmtId="165" fontId="90" fillId="0" borderId="0" xfId="2" applyNumberFormat="1" applyFont="1" applyFill="1" applyAlignment="1" applyProtection="1"/>
    <xf numFmtId="165" fontId="91" fillId="0" borderId="0" xfId="2" applyNumberFormat="1" applyFont="1" applyFill="1" applyAlignment="1" applyProtection="1"/>
    <xf numFmtId="165" fontId="89" fillId="0" borderId="0" xfId="2" applyNumberFormat="1" applyFont="1" applyFill="1" applyAlignment="1" applyProtection="1"/>
    <xf numFmtId="0" fontId="82" fillId="0" borderId="0" xfId="2" applyNumberFormat="1" applyFont="1" applyFill="1" applyAlignment="1" applyProtection="1"/>
    <xf numFmtId="165" fontId="89" fillId="0" borderId="0" xfId="2" applyNumberFormat="1" applyFont="1" applyFill="1" applyAlignment="1" applyProtection="1">
      <alignment horizontal="centerContinuous"/>
    </xf>
    <xf numFmtId="0" fontId="46" fillId="0" borderId="0" xfId="2" quotePrefix="1" applyNumberFormat="1" applyFont="1" applyFill="1" applyAlignment="1" applyProtection="1">
      <alignment horizontal="center"/>
    </xf>
    <xf numFmtId="165" fontId="162" fillId="0" borderId="0" xfId="2" applyNumberFormat="1" applyFont="1" applyFill="1" applyAlignment="1" applyProtection="1"/>
    <xf numFmtId="165" fontId="162" fillId="0" borderId="0" xfId="2" applyNumberFormat="1" applyFont="1" applyFill="1" applyBorder="1" applyAlignment="1" applyProtection="1"/>
    <xf numFmtId="165" fontId="46" fillId="0" borderId="0" xfId="2" applyNumberFormat="1" applyFont="1" applyFill="1" applyAlignment="1" applyProtection="1">
      <alignment horizontal="center"/>
    </xf>
    <xf numFmtId="0" fontId="46" fillId="0" borderId="10" xfId="2" applyNumberFormat="1" applyFont="1" applyFill="1" applyBorder="1" applyAlignment="1" applyProtection="1">
      <alignment horizontal="center"/>
    </xf>
    <xf numFmtId="0" fontId="46" fillId="0" borderId="0" xfId="2" applyNumberFormat="1" applyFont="1" applyFill="1" applyBorder="1" applyAlignment="1" applyProtection="1">
      <alignment horizontal="center"/>
    </xf>
    <xf numFmtId="165" fontId="46" fillId="0" borderId="10" xfId="2" applyNumberFormat="1" applyFont="1" applyFill="1" applyBorder="1" applyAlignment="1" applyProtection="1">
      <alignment horizontal="center"/>
    </xf>
    <xf numFmtId="166" fontId="46" fillId="0" borderId="15" xfId="2" applyNumberFormat="1" applyFont="1" applyFill="1" applyBorder="1" applyAlignment="1" applyProtection="1"/>
    <xf numFmtId="0" fontId="39" fillId="0" borderId="0" xfId="2" applyFont="1" applyFill="1" applyBorder="1" applyProtection="1"/>
    <xf numFmtId="174" fontId="41" fillId="0" borderId="0" xfId="2" applyNumberFormat="1" applyFont="1" applyFill="1" applyAlignment="1" applyProtection="1"/>
    <xf numFmtId="166" fontId="46" fillId="0" borderId="0" xfId="2" applyNumberFormat="1" applyFont="1" applyFill="1" applyAlignment="1" applyProtection="1">
      <alignment horizontal="right"/>
    </xf>
    <xf numFmtId="164" fontId="46" fillId="0" borderId="0" xfId="0" applyNumberFormat="1" applyFont="1" applyFill="1" applyBorder="1" applyAlignment="1" applyProtection="1"/>
    <xf numFmtId="0" fontId="0" fillId="0" borderId="0" xfId="2" applyFont="1" applyFill="1" applyBorder="1" applyProtection="1"/>
    <xf numFmtId="169" fontId="41" fillId="0" borderId="0" xfId="2" quotePrefix="1" applyNumberFormat="1" applyFont="1" applyFill="1" applyAlignment="1" applyProtection="1">
      <alignment horizontal="right"/>
    </xf>
    <xf numFmtId="170" fontId="46" fillId="0" borderId="15" xfId="2" applyNumberFormat="1" applyFont="1" applyFill="1" applyBorder="1" applyAlignment="1" applyProtection="1"/>
    <xf numFmtId="170" fontId="0" fillId="0" borderId="0" xfId="2" applyNumberFormat="1" applyFont="1" applyFill="1" applyBorder="1" applyProtection="1"/>
    <xf numFmtId="0" fontId="41" fillId="0" borderId="0" xfId="2" applyNumberFormat="1" applyFont="1" applyFill="1" applyAlignment="1" applyProtection="1">
      <alignment horizontal="left"/>
    </xf>
    <xf numFmtId="170" fontId="39" fillId="0" borderId="0" xfId="1" applyNumberFormat="1" applyFont="1" applyFill="1" applyAlignment="1" applyProtection="1">
      <alignment horizontal="right"/>
    </xf>
    <xf numFmtId="170" fontId="39" fillId="0" borderId="15" xfId="1" applyNumberFormat="1" applyFont="1" applyFill="1" applyBorder="1" applyAlignment="1" applyProtection="1">
      <alignment horizontal="right"/>
    </xf>
    <xf numFmtId="166" fontId="39" fillId="0" borderId="0" xfId="2" applyNumberFormat="1" applyFont="1" applyFill="1" applyAlignment="1" applyProtection="1">
      <alignment horizontal="right"/>
    </xf>
    <xf numFmtId="0" fontId="39" fillId="0" borderId="0" xfId="5517" applyFont="1" applyFill="1" applyProtection="1"/>
    <xf numFmtId="166" fontId="0" fillId="0" borderId="0" xfId="2" applyNumberFormat="1" applyFont="1" applyFill="1" applyBorder="1" applyProtection="1"/>
    <xf numFmtId="164" fontId="41" fillId="0" borderId="66" xfId="0" applyNumberFormat="1" applyFont="1" applyFill="1" applyBorder="1" applyAlignment="1" applyProtection="1"/>
    <xf numFmtId="170" fontId="39" fillId="0" borderId="0" xfId="2" quotePrefix="1" applyNumberFormat="1" applyFont="1" applyFill="1" applyAlignment="1" applyProtection="1">
      <alignment horizontal="center"/>
    </xf>
    <xf numFmtId="170" fontId="46" fillId="0" borderId="15" xfId="2" applyNumberFormat="1" applyFont="1" applyFill="1" applyBorder="1" applyAlignment="1" applyProtection="1">
      <alignment horizontal="right"/>
    </xf>
    <xf numFmtId="170" fontId="46" fillId="0" borderId="45" xfId="1046" applyNumberFormat="1" applyFont="1" applyFill="1" applyBorder="1" applyProtection="1"/>
    <xf numFmtId="170" fontId="46" fillId="0" borderId="0" xfId="2" applyNumberFormat="1" applyFont="1" applyFill="1" applyAlignment="1" applyProtection="1">
      <alignment horizontal="right"/>
    </xf>
    <xf numFmtId="170" fontId="41"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9" fillId="0" borderId="0" xfId="2" applyNumberFormat="1" applyFont="1" applyFill="1" applyBorder="1" applyProtection="1"/>
    <xf numFmtId="0" fontId="166" fillId="0" borderId="0" xfId="2" applyFont="1" applyFill="1" applyProtection="1"/>
    <xf numFmtId="172" fontId="39" fillId="0" borderId="0" xfId="0" applyNumberFormat="1" applyFont="1" applyFill="1" applyProtection="1"/>
    <xf numFmtId="43" fontId="0" fillId="0" borderId="0" xfId="2" applyNumberFormat="1" applyFont="1" applyFill="1" applyProtection="1"/>
    <xf numFmtId="170" fontId="46" fillId="0" borderId="0" xfId="2" quotePrefix="1" applyNumberFormat="1" applyFont="1" applyFill="1" applyAlignment="1" applyProtection="1"/>
    <xf numFmtId="166" fontId="46" fillId="0" borderId="0" xfId="2" applyNumberFormat="1" applyFont="1" applyFill="1" applyBorder="1" applyProtection="1"/>
    <xf numFmtId="0" fontId="46" fillId="0" borderId="0" xfId="2" applyFont="1" applyFill="1" applyProtection="1"/>
    <xf numFmtId="164" fontId="46" fillId="0" borderId="0" xfId="2" applyNumberFormat="1" applyFont="1" applyFill="1" applyBorder="1" applyProtection="1"/>
    <xf numFmtId="170" fontId="39" fillId="0" borderId="20" xfId="2" quotePrefix="1" applyNumberFormat="1" applyFont="1" applyFill="1" applyBorder="1" applyAlignment="1" applyProtection="1"/>
    <xf numFmtId="170" fontId="39" fillId="0" borderId="46" xfId="0" quotePrefix="1" applyNumberFormat="1" applyFont="1" applyFill="1" applyBorder="1" applyAlignment="1" applyProtection="1">
      <alignment horizontal="right"/>
    </xf>
    <xf numFmtId="0" fontId="39" fillId="0" borderId="0" xfId="5517" applyFont="1" applyFill="1" applyBorder="1" applyProtection="1"/>
    <xf numFmtId="170" fontId="46" fillId="0" borderId="43" xfId="2" applyNumberFormat="1" applyFont="1" applyFill="1" applyBorder="1" applyAlignment="1" applyProtection="1"/>
    <xf numFmtId="166" fontId="46" fillId="0" borderId="0" xfId="2" applyNumberFormat="1" applyFont="1" applyFill="1" applyBorder="1" applyAlignment="1" applyProtection="1"/>
    <xf numFmtId="164" fontId="46" fillId="0" borderId="66" xfId="0" applyNumberFormat="1" applyFont="1" applyFill="1" applyBorder="1" applyAlignment="1" applyProtection="1"/>
    <xf numFmtId="0" fontId="46" fillId="0" borderId="0" xfId="2" applyFont="1" applyFill="1" applyBorder="1" applyProtection="1"/>
    <xf numFmtId="170" fontId="41" fillId="0" borderId="0" xfId="2" applyNumberFormat="1" applyFont="1" applyFill="1" applyAlignment="1" applyProtection="1">
      <alignment horizontal="center"/>
    </xf>
    <xf numFmtId="170" fontId="46" fillId="0" borderId="15" xfId="2" applyNumberFormat="1" applyFont="1" applyFill="1" applyBorder="1" applyAlignment="1" applyProtection="1">
      <alignment horizontal="center"/>
    </xf>
    <xf numFmtId="170" fontId="41" fillId="0" borderId="0" xfId="2" applyNumberFormat="1" applyFont="1" applyFill="1" applyAlignment="1" applyProtection="1">
      <alignment horizontal="right" vertical="center"/>
    </xf>
    <xf numFmtId="170" fontId="41" fillId="0" borderId="21" xfId="2" applyNumberFormat="1" applyFont="1" applyFill="1" applyBorder="1" applyAlignment="1" applyProtection="1">
      <alignment horizontal="right" vertical="center"/>
    </xf>
    <xf numFmtId="170" fontId="41" fillId="0" borderId="0" xfId="2" applyNumberFormat="1" applyFont="1" applyFill="1" applyBorder="1" applyAlignment="1" applyProtection="1">
      <alignment horizontal="right"/>
    </xf>
    <xf numFmtId="170" fontId="41" fillId="0" borderId="66" xfId="2" applyNumberFormat="1" applyFont="1" applyFill="1" applyBorder="1" applyAlignment="1" applyProtection="1"/>
    <xf numFmtId="170" fontId="46" fillId="0" borderId="15" xfId="2" applyNumberFormat="1" applyFont="1" applyFill="1" applyBorder="1" applyProtection="1"/>
    <xf numFmtId="170" fontId="46" fillId="0" borderId="66" xfId="6" applyNumberFormat="1" applyFont="1" applyFill="1" applyBorder="1" applyAlignment="1" applyProtection="1"/>
    <xf numFmtId="170" fontId="46" fillId="0" borderId="0" xfId="6" applyNumberFormat="1" applyFont="1" applyFill="1" applyAlignment="1" applyProtection="1"/>
    <xf numFmtId="170" fontId="46" fillId="0" borderId="21" xfId="6" applyNumberFormat="1" applyFont="1" applyFill="1" applyBorder="1" applyAlignment="1" applyProtection="1"/>
    <xf numFmtId="170" fontId="46"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6" fillId="0" borderId="81" xfId="2" applyNumberFormat="1" applyFont="1" applyFill="1" applyBorder="1" applyProtection="1"/>
    <xf numFmtId="0" fontId="84" fillId="0" borderId="0" xfId="2" applyFont="1" applyFill="1" applyProtection="1"/>
    <xf numFmtId="166" fontId="0" fillId="0" borderId="0" xfId="2" applyNumberFormat="1" applyFont="1" applyFill="1" applyProtection="1"/>
    <xf numFmtId="0" fontId="44" fillId="0" borderId="0" xfId="4" applyFont="1" applyFill="1" applyProtection="1"/>
    <xf numFmtId="166" fontId="44" fillId="0" borderId="0" xfId="4" applyNumberFormat="1" applyFont="1" applyFill="1" applyProtection="1"/>
    <xf numFmtId="43" fontId="44" fillId="0" borderId="0" xfId="5" applyFont="1" applyFill="1" applyBorder="1" applyAlignment="1" applyProtection="1">
      <alignment horizontal="right"/>
    </xf>
    <xf numFmtId="0" fontId="68" fillId="0" borderId="0" xfId="4" quotePrefix="1" applyFont="1" applyFill="1" applyAlignment="1" applyProtection="1">
      <alignment horizontal="left"/>
    </xf>
    <xf numFmtId="0" fontId="68" fillId="0" borderId="0" xfId="4" applyFont="1" applyFill="1" applyAlignment="1" applyProtection="1">
      <alignment horizontal="right"/>
    </xf>
    <xf numFmtId="0" fontId="68" fillId="0" borderId="0" xfId="4" applyFont="1" applyFill="1" applyProtection="1"/>
    <xf numFmtId="0" fontId="87" fillId="0" borderId="0" xfId="4" applyFill="1" applyAlignment="1" applyProtection="1"/>
    <xf numFmtId="43" fontId="45" fillId="0" borderId="0" xfId="5" applyFont="1" applyFill="1" applyBorder="1" applyAlignment="1" applyProtection="1">
      <alignment horizontal="right"/>
    </xf>
    <xf numFmtId="0" fontId="46" fillId="0" borderId="0" xfId="4" applyNumberFormat="1" applyFont="1" applyFill="1" applyAlignment="1" applyProtection="1">
      <alignment horizontal="center"/>
    </xf>
    <xf numFmtId="166" fontId="46" fillId="0" borderId="0" xfId="4" applyNumberFormat="1" applyFont="1" applyFill="1" applyProtection="1"/>
    <xf numFmtId="0" fontId="46" fillId="0" borderId="0" xfId="4" applyFont="1" applyFill="1" applyAlignment="1" applyProtection="1">
      <alignment horizontal="center"/>
    </xf>
    <xf numFmtId="0" fontId="46" fillId="0" borderId="0" xfId="4" applyFont="1" applyFill="1" applyBorder="1" applyProtection="1"/>
    <xf numFmtId="166" fontId="46" fillId="0" borderId="0" xfId="4" applyNumberFormat="1" applyFont="1" applyBorder="1" applyAlignment="1" applyProtection="1">
      <alignment horizontal="center"/>
    </xf>
    <xf numFmtId="165" fontId="46" fillId="0" borderId="0" xfId="4" applyNumberFormat="1" applyFont="1" applyBorder="1" applyAlignment="1" applyProtection="1"/>
    <xf numFmtId="165" fontId="46" fillId="0" borderId="0" xfId="4" applyNumberFormat="1" applyFont="1" applyBorder="1" applyAlignment="1" applyProtection="1">
      <alignment horizontal="center"/>
    </xf>
    <xf numFmtId="0" fontId="46" fillId="0" borderId="10" xfId="4" applyFont="1" applyFill="1" applyBorder="1" applyAlignment="1" applyProtection="1">
      <alignment horizontal="center"/>
    </xf>
    <xf numFmtId="166" fontId="46" fillId="0" borderId="10" xfId="4" applyNumberFormat="1" applyFont="1" applyFill="1" applyBorder="1" applyAlignment="1" applyProtection="1">
      <alignment horizontal="center"/>
    </xf>
    <xf numFmtId="0" fontId="46" fillId="0" borderId="10" xfId="4" quotePrefix="1" applyFont="1" applyFill="1" applyBorder="1" applyAlignment="1" applyProtection="1">
      <alignment horizontal="center"/>
    </xf>
    <xf numFmtId="0" fontId="46" fillId="0" borderId="10" xfId="4" applyNumberFormat="1" applyFont="1" applyFill="1" applyBorder="1" applyAlignment="1" applyProtection="1">
      <alignment horizontal="center"/>
    </xf>
    <xf numFmtId="0" fontId="46" fillId="0" borderId="0" xfId="4" applyNumberFormat="1" applyFont="1" applyFill="1" applyBorder="1" applyAlignment="1" applyProtection="1">
      <alignment horizontal="center"/>
    </xf>
    <xf numFmtId="166" fontId="46" fillId="0" borderId="10" xfId="4" applyNumberFormat="1" applyFont="1" applyBorder="1" applyAlignment="1" applyProtection="1">
      <alignment horizontal="center"/>
    </xf>
    <xf numFmtId="165" fontId="46" fillId="0" borderId="0" xfId="4" applyNumberFormat="1" applyFont="1" applyAlignment="1" applyProtection="1"/>
    <xf numFmtId="0" fontId="41" fillId="0" borderId="0" xfId="4" applyFont="1" applyFill="1" applyBorder="1" applyAlignment="1" applyProtection="1">
      <alignment horizontal="center"/>
    </xf>
    <xf numFmtId="0" fontId="41" fillId="0" borderId="0" xfId="4" applyFont="1" applyFill="1" applyAlignment="1" applyProtection="1">
      <alignment horizontal="center"/>
    </xf>
    <xf numFmtId="166" fontId="41" fillId="0" borderId="0" xfId="4" applyNumberFormat="1" applyFont="1" applyFill="1" applyBorder="1" applyAlignment="1" applyProtection="1">
      <alignment horizontal="center"/>
    </xf>
    <xf numFmtId="0" fontId="41" fillId="0" borderId="0" xfId="4" quotePrefix="1" applyFont="1" applyFill="1" applyBorder="1" applyAlignment="1" applyProtection="1">
      <alignment horizontal="center"/>
    </xf>
    <xf numFmtId="169" fontId="41" fillId="0" borderId="0" xfId="4" applyNumberFormat="1" applyFont="1" applyFill="1" applyBorder="1" applyAlignment="1" applyProtection="1">
      <alignment horizontal="center"/>
    </xf>
    <xf numFmtId="0" fontId="41" fillId="0" borderId="0" xfId="4" applyNumberFormat="1" applyFont="1" applyFill="1" applyBorder="1" applyAlignment="1" applyProtection="1">
      <alignment horizontal="center"/>
    </xf>
    <xf numFmtId="0" fontId="41" fillId="0" borderId="15" xfId="4" applyNumberFormat="1" applyFont="1" applyFill="1" applyBorder="1" applyAlignment="1" applyProtection="1">
      <alignment horizontal="center"/>
    </xf>
    <xf numFmtId="0" fontId="46" fillId="0" borderId="0" xfId="4" applyFont="1" applyFill="1" applyAlignment="1" applyProtection="1">
      <alignment horizontal="left"/>
    </xf>
    <xf numFmtId="174" fontId="46" fillId="0" borderId="0" xfId="4" quotePrefix="1" applyNumberFormat="1" applyFont="1" applyFill="1" applyAlignment="1" applyProtection="1">
      <alignment horizontal="right"/>
    </xf>
    <xf numFmtId="174" fontId="46" fillId="0" borderId="13" xfId="4" applyNumberFormat="1" applyFont="1" applyFill="1" applyBorder="1" applyProtection="1"/>
    <xf numFmtId="174" fontId="46" fillId="0" borderId="0" xfId="4" applyNumberFormat="1" applyFont="1" applyFill="1" applyBorder="1" applyAlignment="1" applyProtection="1">
      <alignment horizontal="center"/>
    </xf>
    <xf numFmtId="174" fontId="46" fillId="0" borderId="15" xfId="4" applyNumberFormat="1" applyFont="1" applyFill="1" applyBorder="1" applyProtection="1"/>
    <xf numFmtId="174" fontId="46" fillId="0" borderId="0" xfId="4" applyNumberFormat="1" applyFont="1" applyFill="1" applyBorder="1" applyProtection="1"/>
    <xf numFmtId="164" fontId="46" fillId="0" borderId="0" xfId="4" applyNumberFormat="1" applyFont="1" applyFill="1" applyProtection="1"/>
    <xf numFmtId="0" fontId="41" fillId="0" borderId="13" xfId="4" applyFont="1" applyFill="1" applyBorder="1" applyProtection="1"/>
    <xf numFmtId="166" fontId="41" fillId="0" borderId="13" xfId="4" applyNumberFormat="1" applyFont="1" applyFill="1" applyBorder="1" applyProtection="1"/>
    <xf numFmtId="166" fontId="41" fillId="0" borderId="15" xfId="4" applyNumberFormat="1" applyFont="1" applyFill="1" applyBorder="1" applyProtection="1"/>
    <xf numFmtId="166" fontId="41" fillId="0" borderId="0" xfId="4" applyNumberFormat="1" applyFont="1" applyFill="1" applyBorder="1" applyProtection="1"/>
    <xf numFmtId="166" fontId="61" fillId="0" borderId="0" xfId="2" applyNumberFormat="1" applyFont="1" applyAlignment="1" applyProtection="1">
      <alignment horizontal="right"/>
    </xf>
    <xf numFmtId="0" fontId="41" fillId="0" borderId="75" xfId="4" applyFont="1" applyFill="1" applyBorder="1" applyProtection="1"/>
    <xf numFmtId="170" fontId="41" fillId="0" borderId="0" xfId="4" applyNumberFormat="1" applyFont="1" applyFill="1" applyBorder="1" applyProtection="1"/>
    <xf numFmtId="0" fontId="41" fillId="0" borderId="79" xfId="4" applyFont="1" applyFill="1" applyBorder="1" applyProtection="1"/>
    <xf numFmtId="170" fontId="46" fillId="0" borderId="16" xfId="4" applyNumberFormat="1" applyFont="1" applyFill="1" applyBorder="1" applyProtection="1"/>
    <xf numFmtId="170" fontId="46" fillId="0" borderId="45" xfId="4" applyNumberFormat="1" applyFont="1" applyFill="1" applyBorder="1" applyProtection="1"/>
    <xf numFmtId="170" fontId="41" fillId="0" borderId="0" xfId="4" applyNumberFormat="1" applyFont="1" applyFill="1" applyBorder="1" applyAlignment="1" applyProtection="1">
      <alignment horizontal="center"/>
    </xf>
    <xf numFmtId="170" fontId="41" fillId="0" borderId="15" xfId="4" applyNumberFormat="1" applyFont="1" applyFill="1" applyBorder="1" applyProtection="1"/>
    <xf numFmtId="0" fontId="41" fillId="0" borderId="106" xfId="4" applyFont="1" applyFill="1" applyBorder="1" applyProtection="1"/>
    <xf numFmtId="170" fontId="46" fillId="0" borderId="0" xfId="5517" applyNumberFormat="1" applyFont="1" applyFill="1" applyBorder="1" applyProtection="1"/>
    <xf numFmtId="170" fontId="46" fillId="0" borderId="0" xfId="4" applyNumberFormat="1" applyFont="1" applyFill="1" applyProtection="1"/>
    <xf numFmtId="170" fontId="46" fillId="0" borderId="13" xfId="4" applyNumberFormat="1" applyFont="1" applyFill="1" applyBorder="1" applyProtection="1"/>
    <xf numFmtId="170" fontId="46" fillId="0" borderId="0" xfId="4" applyNumberFormat="1" applyFont="1" applyFill="1" applyBorder="1" applyAlignment="1" applyProtection="1">
      <alignment horizontal="center"/>
    </xf>
    <xf numFmtId="170" fontId="46" fillId="0" borderId="15" xfId="4" applyNumberFormat="1" applyFont="1" applyFill="1" applyBorder="1" applyProtection="1"/>
    <xf numFmtId="172" fontId="46" fillId="0" borderId="16" xfId="0" applyNumberFormat="1" applyFont="1" applyBorder="1" applyAlignment="1" applyProtection="1"/>
    <xf numFmtId="0" fontId="45" fillId="0" borderId="0" xfId="4" applyFont="1" applyFill="1" applyProtection="1"/>
    <xf numFmtId="170" fontId="46" fillId="0" borderId="75" xfId="4" applyNumberFormat="1" applyFont="1" applyFill="1" applyBorder="1" applyProtection="1"/>
    <xf numFmtId="170" fontId="46" fillId="0" borderId="0" xfId="4" applyNumberFormat="1" applyFont="1" applyFill="1" applyBorder="1" applyProtection="1"/>
    <xf numFmtId="0" fontId="39" fillId="0" borderId="0" xfId="4" applyFont="1" applyFill="1" applyProtection="1"/>
    <xf numFmtId="170" fontId="39" fillId="0" borderId="0" xfId="5517" applyNumberFormat="1" applyFont="1" applyFill="1" applyBorder="1" applyProtection="1"/>
    <xf numFmtId="170" fontId="41" fillId="0" borderId="13" xfId="4" applyNumberFormat="1" applyFont="1" applyFill="1" applyBorder="1" applyProtection="1"/>
    <xf numFmtId="170" fontId="39" fillId="0" borderId="66" xfId="5517" quotePrefix="1" applyNumberFormat="1" applyFont="1" applyFill="1" applyBorder="1" applyAlignment="1" applyProtection="1">
      <alignment horizontal="center"/>
    </xf>
    <xf numFmtId="170" fontId="41" fillId="0" borderId="10" xfId="4" quotePrefix="1" applyNumberFormat="1" applyFont="1" applyFill="1" applyBorder="1" applyAlignment="1" applyProtection="1"/>
    <xf numFmtId="170" fontId="39" fillId="0" borderId="46" xfId="5517" applyNumberFormat="1" applyFont="1" applyFill="1" applyBorder="1" applyProtection="1"/>
    <xf numFmtId="170" fontId="41" fillId="0" borderId="46" xfId="4" applyNumberFormat="1" applyFont="1" applyFill="1" applyBorder="1" applyProtection="1"/>
    <xf numFmtId="170" fontId="46" fillId="0" borderId="66" xfId="5517" applyNumberFormat="1" applyFont="1" applyFill="1" applyBorder="1" applyProtection="1"/>
    <xf numFmtId="170" fontId="46" fillId="0" borderId="0" xfId="5517" applyNumberFormat="1" applyFont="1" applyFill="1" applyProtection="1"/>
    <xf numFmtId="170" fontId="46" fillId="0" borderId="0" xfId="5517" applyNumberFormat="1" applyFont="1" applyFill="1" applyAlignment="1" applyProtection="1">
      <alignment horizontal="right"/>
    </xf>
    <xf numFmtId="170" fontId="46" fillId="0" borderId="0" xfId="4" applyNumberFormat="1" applyFont="1" applyFill="1" applyAlignment="1" applyProtection="1">
      <alignment horizontal="right"/>
    </xf>
    <xf numFmtId="170" fontId="46" fillId="0" borderId="10" xfId="4" applyNumberFormat="1" applyFont="1" applyFill="1" applyBorder="1" applyProtection="1"/>
    <xf numFmtId="39" fontId="45" fillId="0" borderId="0" xfId="4" applyNumberFormat="1" applyFont="1" applyFill="1" applyBorder="1" applyProtection="1"/>
    <xf numFmtId="0" fontId="46" fillId="0" borderId="0" xfId="4" quotePrefix="1" applyFont="1" applyFill="1" applyAlignment="1" applyProtection="1">
      <alignment horizontal="left"/>
    </xf>
    <xf numFmtId="0" fontId="41" fillId="0" borderId="0" xfId="4" quotePrefix="1" applyFont="1" applyFill="1" applyAlignment="1" applyProtection="1">
      <alignment horizontal="left"/>
    </xf>
    <xf numFmtId="170" fontId="39" fillId="0" borderId="0" xfId="5517" quotePrefix="1" applyNumberFormat="1" applyFont="1" applyFill="1" applyAlignment="1" applyProtection="1">
      <alignment horizontal="right"/>
    </xf>
    <xf numFmtId="0" fontId="39" fillId="0" borderId="0" xfId="4" quotePrefix="1" applyFont="1" applyFill="1" applyAlignment="1" applyProtection="1">
      <alignment horizontal="left"/>
    </xf>
    <xf numFmtId="0" fontId="39" fillId="0" borderId="0" xfId="4" applyFont="1" applyFill="1" applyAlignment="1" applyProtection="1">
      <alignment horizontal="left"/>
    </xf>
    <xf numFmtId="170" fontId="39" fillId="0" borderId="66" xfId="5517" applyNumberFormat="1" applyFont="1" applyFill="1" applyBorder="1" applyProtection="1"/>
    <xf numFmtId="170" fontId="41" fillId="0" borderId="10" xfId="4" applyNumberFormat="1" applyFont="1" applyFill="1" applyBorder="1" applyProtection="1"/>
    <xf numFmtId="39" fontId="59" fillId="0" borderId="0" xfId="4" applyNumberFormat="1" applyFont="1" applyFill="1" applyBorder="1" applyProtection="1"/>
    <xf numFmtId="170" fontId="39" fillId="0" borderId="0" xfId="5517" applyNumberFormat="1" applyFont="1" applyFill="1" applyAlignment="1" applyProtection="1">
      <alignment horizontal="right"/>
    </xf>
    <xf numFmtId="170" fontId="41" fillId="0" borderId="0" xfId="4" applyNumberFormat="1" applyFont="1" applyFill="1" applyAlignment="1" applyProtection="1">
      <alignment horizontal="right"/>
    </xf>
    <xf numFmtId="170" fontId="46" fillId="0" borderId="0" xfId="5517" applyNumberFormat="1" applyFont="1" applyFill="1" applyBorder="1" applyAlignment="1" applyProtection="1">
      <alignment horizontal="right"/>
    </xf>
    <xf numFmtId="170" fontId="39" fillId="0" borderId="66" xfId="1046" applyNumberFormat="1" applyFont="1" applyFill="1" applyBorder="1" applyProtection="1"/>
    <xf numFmtId="170" fontId="41" fillId="0" borderId="46" xfId="4" applyNumberFormat="1" applyFont="1" applyFill="1" applyBorder="1" applyAlignment="1" applyProtection="1">
      <alignment horizontal="center"/>
    </xf>
    <xf numFmtId="170" fontId="41" fillId="0" borderId="0" xfId="4" applyNumberFormat="1" applyFont="1" applyFill="1" applyAlignment="1" applyProtection="1">
      <alignment horizontal="center"/>
    </xf>
    <xf numFmtId="166" fontId="41" fillId="0" borderId="0" xfId="4" applyNumberFormat="1" applyFont="1" applyFill="1" applyAlignment="1" applyProtection="1">
      <alignment horizontal="center"/>
    </xf>
    <xf numFmtId="166" fontId="41" fillId="0" borderId="19" xfId="4" applyNumberFormat="1" applyFont="1" applyFill="1" applyBorder="1" applyProtection="1"/>
    <xf numFmtId="166" fontId="41" fillId="0" borderId="19" xfId="4" applyNumberFormat="1" applyFont="1" applyFill="1" applyBorder="1" applyAlignment="1" applyProtection="1">
      <alignment horizontal="right"/>
    </xf>
    <xf numFmtId="166" fontId="41" fillId="0" borderId="0" xfId="4" applyNumberFormat="1" applyFont="1" applyFill="1" applyBorder="1" applyAlignment="1" applyProtection="1">
      <alignment horizontal="right"/>
    </xf>
    <xf numFmtId="174" fontId="46" fillId="0" borderId="17" xfId="4" applyNumberFormat="1" applyFont="1" applyFill="1" applyBorder="1" applyProtection="1"/>
    <xf numFmtId="174" fontId="46" fillId="0" borderId="17" xfId="4" applyNumberFormat="1" applyFont="1" applyFill="1" applyBorder="1" applyAlignment="1" applyProtection="1">
      <alignment horizontal="center"/>
    </xf>
    <xf numFmtId="7" fontId="45" fillId="0" borderId="0" xfId="4" applyNumberFormat="1" applyFont="1" applyFill="1" applyBorder="1" applyProtection="1"/>
    <xf numFmtId="169" fontId="44" fillId="0" borderId="0" xfId="4" applyNumberFormat="1" applyFont="1" applyFill="1" applyBorder="1" applyProtection="1"/>
    <xf numFmtId="169" fontId="44" fillId="0" borderId="0" xfId="4" applyNumberFormat="1" applyFont="1" applyFill="1" applyProtection="1"/>
    <xf numFmtId="169" fontId="44" fillId="0" borderId="0" xfId="4" quotePrefix="1" applyNumberFormat="1" applyFont="1" applyFill="1" applyBorder="1" applyAlignment="1" applyProtection="1">
      <alignment horizontal="right"/>
    </xf>
    <xf numFmtId="0" fontId="44" fillId="0" borderId="0" xfId="4" applyNumberFormat="1" applyFont="1" applyFill="1" applyBorder="1" applyAlignment="1" applyProtection="1">
      <alignment horizontal="center"/>
    </xf>
    <xf numFmtId="0" fontId="44" fillId="0" borderId="0" xfId="4" applyFont="1" applyFill="1" applyBorder="1" applyProtection="1"/>
    <xf numFmtId="164" fontId="44" fillId="0" borderId="0" xfId="4" applyNumberFormat="1" applyFont="1" applyFill="1" applyBorder="1" applyProtection="1"/>
    <xf numFmtId="39" fontId="44" fillId="0" borderId="0" xfId="4" applyNumberFormat="1" applyFont="1" applyFill="1" applyProtection="1"/>
    <xf numFmtId="174" fontId="44" fillId="0" borderId="0" xfId="4" applyNumberFormat="1" applyFont="1" applyFill="1" applyProtection="1"/>
    <xf numFmtId="43" fontId="44" fillId="0" borderId="0" xfId="5" applyFont="1" applyFill="1" applyProtection="1"/>
    <xf numFmtId="0" fontId="44" fillId="0" borderId="0" xfId="4" quotePrefix="1" applyFont="1" applyFill="1" applyAlignment="1" applyProtection="1">
      <alignment horizontal="left"/>
    </xf>
    <xf numFmtId="170" fontId="44" fillId="0" borderId="0" xfId="4" quotePrefix="1" applyNumberFormat="1" applyFont="1" applyFill="1" applyAlignment="1" applyProtection="1">
      <alignment horizontal="left"/>
    </xf>
    <xf numFmtId="43" fontId="44" fillId="0" borderId="0" xfId="4" applyNumberFormat="1" applyFont="1" applyFill="1" applyProtection="1"/>
    <xf numFmtId="49" fontId="88" fillId="0" borderId="0" xfId="4" applyNumberFormat="1" applyFont="1" applyFill="1" applyAlignment="1" applyProtection="1">
      <alignment horizontal="left"/>
    </xf>
    <xf numFmtId="0" fontId="88" fillId="0" borderId="0" xfId="4" applyNumberFormat="1" applyFont="1" applyFill="1" applyAlignment="1" applyProtection="1">
      <alignment horizontal="left"/>
    </xf>
    <xf numFmtId="165" fontId="39" fillId="0" borderId="0" xfId="5458" applyNumberFormat="1" applyFont="1" applyAlignment="1" applyProtection="1"/>
    <xf numFmtId="166" fontId="65" fillId="0" borderId="0" xfId="2" applyNumberFormat="1" applyFont="1" applyAlignment="1" applyProtection="1"/>
    <xf numFmtId="166" fontId="79" fillId="0" borderId="0" xfId="2" applyNumberFormat="1" applyFont="1" applyAlignment="1" applyProtection="1"/>
    <xf numFmtId="166" fontId="79" fillId="0" borderId="0" xfId="2" quotePrefix="1" applyNumberFormat="1" applyFont="1" applyAlignment="1" applyProtection="1">
      <alignment horizontal="left"/>
    </xf>
    <xf numFmtId="166" fontId="61" fillId="0" borderId="0" xfId="2" applyNumberFormat="1" applyFont="1" applyAlignment="1" applyProtection="1">
      <alignment horizontal="center"/>
    </xf>
    <xf numFmtId="166" fontId="60" fillId="0" borderId="0" xfId="2" applyNumberFormat="1" applyFont="1" applyAlignment="1" applyProtection="1">
      <alignment horizontal="center"/>
    </xf>
    <xf numFmtId="166" fontId="60" fillId="0" borderId="10" xfId="2" applyNumberFormat="1" applyFont="1" applyBorder="1" applyAlignment="1" applyProtection="1">
      <alignment horizontal="center"/>
    </xf>
    <xf numFmtId="166" fontId="61" fillId="0" borderId="20" xfId="2" applyNumberFormat="1" applyFont="1" applyBorder="1" applyAlignment="1" applyProtection="1"/>
    <xf numFmtId="174" fontId="60" fillId="0" borderId="0" xfId="2" applyNumberFormat="1" applyFont="1" applyBorder="1" applyAlignment="1" applyProtection="1"/>
    <xf numFmtId="166" fontId="60" fillId="0" borderId="0" xfId="2" quotePrefix="1" applyNumberFormat="1" applyFont="1" applyAlignment="1" applyProtection="1">
      <alignment horizontal="left"/>
    </xf>
    <xf numFmtId="174" fontId="60" fillId="0" borderId="0" xfId="2" applyNumberFormat="1" applyFont="1" applyFill="1" applyAlignment="1" applyProtection="1"/>
    <xf numFmtId="174" fontId="60" fillId="0" borderId="0" xfId="2" applyNumberFormat="1" applyFont="1" applyAlignment="1" applyProtection="1"/>
    <xf numFmtId="174" fontId="60" fillId="0" borderId="28" xfId="2" applyNumberFormat="1" applyFont="1" applyBorder="1" applyAlignment="1" applyProtection="1"/>
    <xf numFmtId="166" fontId="66" fillId="0" borderId="0" xfId="2" applyNumberFormat="1" applyFont="1" applyAlignment="1" applyProtection="1"/>
    <xf numFmtId="166" fontId="61" fillId="0" borderId="28" xfId="2" applyNumberFormat="1" applyFont="1" applyBorder="1" applyAlignment="1" applyProtection="1"/>
    <xf numFmtId="166" fontId="61" fillId="0" borderId="18" xfId="2" applyNumberFormat="1" applyFont="1" applyBorder="1" applyAlignment="1" applyProtection="1"/>
    <xf numFmtId="165" fontId="39" fillId="0" borderId="0" xfId="0" applyNumberFormat="1" applyFont="1" applyAlignment="1" applyProtection="1">
      <alignment horizontal="left"/>
    </xf>
    <xf numFmtId="170" fontId="61" fillId="0" borderId="0" xfId="2" applyNumberFormat="1" applyFont="1" applyBorder="1" applyAlignment="1" applyProtection="1"/>
    <xf numFmtId="170" fontId="61" fillId="0" borderId="28" xfId="2" applyNumberFormat="1" applyFont="1" applyBorder="1" applyAlignment="1" applyProtection="1"/>
    <xf numFmtId="170" fontId="61" fillId="0" borderId="18" xfId="2" applyNumberFormat="1" applyFont="1" applyBorder="1" applyAlignment="1" applyProtection="1"/>
    <xf numFmtId="170" fontId="61" fillId="0" borderId="66" xfId="2" applyNumberFormat="1" applyFont="1" applyBorder="1" applyAlignment="1" applyProtection="1"/>
    <xf numFmtId="166" fontId="46" fillId="0" borderId="13" xfId="2" applyNumberFormat="1" applyFont="1" applyBorder="1" applyAlignment="1" applyProtection="1"/>
    <xf numFmtId="170" fontId="65" fillId="0" borderId="0" xfId="2" applyNumberFormat="1" applyFont="1" applyBorder="1" applyAlignment="1" applyProtection="1"/>
    <xf numFmtId="3" fontId="39" fillId="0" borderId="0" xfId="2" applyNumberFormat="1" applyFont="1" applyAlignment="1" applyProtection="1">
      <alignment vertical="center"/>
    </xf>
    <xf numFmtId="3" fontId="39" fillId="0" borderId="0" xfId="2" applyNumberFormat="1" applyFont="1" applyAlignment="1" applyProtection="1">
      <alignment horizontal="left" vertical="center"/>
    </xf>
    <xf numFmtId="166" fontId="65" fillId="0" borderId="0" xfId="2" applyNumberFormat="1" applyFont="1" applyBorder="1" applyAlignment="1" applyProtection="1"/>
    <xf numFmtId="170" fontId="60" fillId="0" borderId="16" xfId="2" applyNumberFormat="1" applyFont="1" applyBorder="1" applyAlignment="1" applyProtection="1"/>
    <xf numFmtId="170" fontId="60" fillId="0" borderId="0" xfId="2" applyNumberFormat="1" applyFont="1" applyAlignment="1" applyProtection="1"/>
    <xf numFmtId="170" fontId="60" fillId="0" borderId="18" xfId="2" applyNumberFormat="1" applyFont="1" applyBorder="1" applyAlignment="1" applyProtection="1"/>
    <xf numFmtId="170" fontId="60" fillId="0" borderId="66" xfId="2" applyNumberFormat="1" applyFont="1" applyBorder="1" applyAlignment="1" applyProtection="1">
      <alignment horizontal="right"/>
    </xf>
    <xf numFmtId="170" fontId="61" fillId="0" borderId="0" xfId="2" applyNumberFormat="1" applyFont="1" applyBorder="1" applyAlignment="1" applyProtection="1">
      <alignment horizontal="right"/>
    </xf>
    <xf numFmtId="170" fontId="138" fillId="0" borderId="0" xfId="2" applyNumberFormat="1" applyFont="1" applyAlignment="1" applyProtection="1"/>
    <xf numFmtId="170" fontId="138" fillId="0" borderId="0" xfId="2" applyNumberFormat="1" applyFont="1" applyBorder="1" applyAlignment="1" applyProtection="1"/>
    <xf numFmtId="170" fontId="61" fillId="0" borderId="75" xfId="2" applyNumberFormat="1" applyFont="1" applyBorder="1" applyAlignment="1" applyProtection="1"/>
    <xf numFmtId="170" fontId="61" fillId="0" borderId="0" xfId="2" applyNumberFormat="1" applyFont="1" applyAlignment="1" applyProtection="1">
      <alignment horizontal="center"/>
    </xf>
    <xf numFmtId="170" fontId="61" fillId="0" borderId="66" xfId="2" applyNumberFormat="1" applyFont="1" applyBorder="1" applyAlignment="1" applyProtection="1">
      <alignment horizontal="center"/>
    </xf>
    <xf numFmtId="170" fontId="65" fillId="0" borderId="18" xfId="2" applyNumberFormat="1" applyFont="1" applyBorder="1" applyAlignment="1" applyProtection="1"/>
    <xf numFmtId="170" fontId="66" fillId="0" borderId="0" xfId="2" applyNumberFormat="1" applyFont="1" applyAlignment="1" applyProtection="1"/>
    <xf numFmtId="170" fontId="66" fillId="0" borderId="18" xfId="2" applyNumberFormat="1" applyFont="1" applyBorder="1" applyAlignment="1" applyProtection="1"/>
    <xf numFmtId="170" fontId="60" fillId="0" borderId="0" xfId="2" applyNumberFormat="1" applyFont="1" applyAlignment="1" applyProtection="1">
      <alignment horizontal="right"/>
    </xf>
    <xf numFmtId="174" fontId="66" fillId="0" borderId="18" xfId="2" applyNumberFormat="1" applyFont="1" applyBorder="1" applyAlignment="1" applyProtection="1"/>
    <xf numFmtId="166" fontId="65" fillId="0" borderId="18" xfId="2" applyNumberFormat="1" applyFont="1" applyBorder="1" applyAlignment="1" applyProtection="1"/>
    <xf numFmtId="166" fontId="46" fillId="0" borderId="0" xfId="2" applyNumberFormat="1" applyFont="1" applyFill="1" applyAlignment="1" applyProtection="1">
      <alignment horizontal="left"/>
    </xf>
    <xf numFmtId="174" fontId="60" fillId="0" borderId="17" xfId="2" applyNumberFormat="1" applyFont="1" applyBorder="1" applyAlignment="1" applyProtection="1"/>
    <xf numFmtId="174" fontId="66" fillId="0" borderId="0" xfId="2" applyNumberFormat="1" applyFont="1" applyAlignment="1" applyProtection="1"/>
    <xf numFmtId="174" fontId="66" fillId="0" borderId="0" xfId="2" applyNumberFormat="1" applyFont="1" applyAlignment="1" applyProtection="1">
      <alignment horizontal="right"/>
    </xf>
    <xf numFmtId="166" fontId="48" fillId="0" borderId="0" xfId="2" applyNumberFormat="1" applyFont="1" applyFill="1" applyAlignment="1" applyProtection="1"/>
    <xf numFmtId="166" fontId="39" fillId="0" borderId="0" xfId="2" applyNumberFormat="1" applyFont="1" applyAlignment="1" applyProtection="1">
      <alignment horizontal="left"/>
    </xf>
    <xf numFmtId="0" fontId="67" fillId="0" borderId="0" xfId="1776" applyNumberFormat="1" applyFont="1" applyAlignment="1" applyProtection="1"/>
    <xf numFmtId="165" fontId="44" fillId="0" borderId="0" xfId="0" applyNumberFormat="1" applyFont="1" applyAlignment="1" applyProtection="1">
      <alignment horizontal="left"/>
    </xf>
    <xf numFmtId="165" fontId="44" fillId="0" borderId="0" xfId="0" applyNumberFormat="1" applyFont="1" applyAlignment="1" applyProtection="1">
      <alignment horizontal="centerContinuous"/>
    </xf>
    <xf numFmtId="0" fontId="67" fillId="0" borderId="0" xfId="0" applyNumberFormat="1" applyFont="1" applyAlignment="1" applyProtection="1"/>
    <xf numFmtId="165" fontId="68" fillId="0" borderId="0" xfId="0" quotePrefix="1" applyNumberFormat="1" applyFont="1" applyAlignment="1" applyProtection="1">
      <alignment horizontal="left"/>
    </xf>
    <xf numFmtId="165" fontId="39" fillId="0" borderId="0" xfId="0" applyNumberFormat="1" applyFont="1" applyAlignment="1" applyProtection="1">
      <alignment horizontal="centerContinuous"/>
    </xf>
    <xf numFmtId="165" fontId="46" fillId="0" borderId="0" xfId="0" applyNumberFormat="1" applyFont="1" applyAlignment="1" applyProtection="1">
      <alignment horizontal="centerContinuous"/>
    </xf>
    <xf numFmtId="165" fontId="65" fillId="0" borderId="0" xfId="0" applyNumberFormat="1" applyFont="1" applyAlignment="1" applyProtection="1"/>
    <xf numFmtId="165" fontId="67" fillId="0" borderId="0" xfId="0" applyNumberFormat="1" applyFont="1" applyAlignment="1" applyProtection="1"/>
    <xf numFmtId="165" fontId="68" fillId="0" borderId="0" xfId="0" applyNumberFormat="1" applyFont="1" applyAlignment="1" applyProtection="1">
      <alignment horizontal="left"/>
    </xf>
    <xf numFmtId="165" fontId="68" fillId="0" borderId="0" xfId="0" quotePrefix="1" applyNumberFormat="1" applyFont="1" applyAlignment="1" applyProtection="1">
      <alignment horizontal="right"/>
    </xf>
    <xf numFmtId="165" fontId="46" fillId="0" borderId="0" xfId="0" applyNumberFormat="1" applyFont="1" applyBorder="1" applyAlignment="1" applyProtection="1">
      <alignment horizontal="centerContinuous"/>
    </xf>
    <xf numFmtId="165" fontId="65" fillId="0" borderId="0" xfId="0" applyNumberFormat="1" applyFont="1" applyAlignment="1" applyProtection="1">
      <alignment horizontal="centerContinuous"/>
    </xf>
    <xf numFmtId="165" fontId="46" fillId="0" borderId="0" xfId="0" quotePrefix="1" applyNumberFormat="1" applyFont="1" applyAlignment="1" applyProtection="1">
      <alignment horizontal="centerContinuous"/>
    </xf>
    <xf numFmtId="165" fontId="39" fillId="0" borderId="66" xfId="0" applyNumberFormat="1" applyFont="1" applyBorder="1" applyAlignment="1" applyProtection="1">
      <alignment horizontal="centerContinuous"/>
    </xf>
    <xf numFmtId="165" fontId="46" fillId="0" borderId="82" xfId="0" quotePrefix="1" applyNumberFormat="1" applyFont="1" applyBorder="1" applyAlignment="1" applyProtection="1">
      <alignment horizontal="center"/>
    </xf>
    <xf numFmtId="165" fontId="65" fillId="0" borderId="0" xfId="0" quotePrefix="1" applyNumberFormat="1" applyFont="1" applyBorder="1" applyAlignment="1" applyProtection="1">
      <alignment horizontal="center"/>
    </xf>
    <xf numFmtId="165" fontId="46" fillId="0" borderId="0" xfId="0" applyNumberFormat="1" applyFont="1" applyAlignment="1" applyProtection="1">
      <alignment horizontal="center"/>
    </xf>
    <xf numFmtId="165" fontId="65" fillId="0" borderId="0" xfId="0" applyNumberFormat="1" applyFont="1" applyBorder="1" applyAlignment="1" applyProtection="1"/>
    <xf numFmtId="165" fontId="39" fillId="0" borderId="21" xfId="0" applyNumberFormat="1" applyFont="1" applyBorder="1" applyAlignment="1" applyProtection="1"/>
    <xf numFmtId="165" fontId="39" fillId="0" borderId="14" xfId="0" applyNumberFormat="1" applyFont="1" applyBorder="1" applyAlignment="1" applyProtection="1"/>
    <xf numFmtId="165" fontId="67" fillId="0" borderId="0" xfId="0" applyNumberFormat="1" applyFont="1" applyBorder="1" applyAlignment="1" applyProtection="1"/>
    <xf numFmtId="0" fontId="46" fillId="0" borderId="0" xfId="0" applyNumberFormat="1" applyFont="1" applyAlignment="1" applyProtection="1"/>
    <xf numFmtId="0" fontId="39" fillId="0" borderId="0" xfId="0" applyNumberFormat="1" applyFont="1" applyAlignment="1" applyProtection="1"/>
    <xf numFmtId="0" fontId="39" fillId="0" borderId="0" xfId="0" applyNumberFormat="1" applyFont="1" applyFill="1" applyAlignment="1" applyProtection="1"/>
    <xf numFmtId="166" fontId="39" fillId="0" borderId="0" xfId="0" applyNumberFormat="1" applyFont="1" applyFill="1" applyBorder="1" applyAlignment="1" applyProtection="1">
      <alignment horizontal="center"/>
    </xf>
    <xf numFmtId="174" fontId="39" fillId="0" borderId="0" xfId="0" applyNumberFormat="1" applyFont="1" applyFill="1" applyBorder="1" applyAlignment="1" applyProtection="1"/>
    <xf numFmtId="174" fontId="39" fillId="0" borderId="21" xfId="0" applyNumberFormat="1" applyFont="1" applyFill="1" applyBorder="1" applyAlignment="1" applyProtection="1"/>
    <xf numFmtId="174" fontId="39" fillId="0" borderId="18" xfId="0" applyNumberFormat="1" applyFont="1" applyFill="1" applyBorder="1" applyAlignment="1" applyProtection="1"/>
    <xf numFmtId="174" fontId="39" fillId="0" borderId="0" xfId="0" quotePrefix="1" applyNumberFormat="1" applyFont="1" applyFill="1" applyBorder="1" applyAlignment="1" applyProtection="1">
      <alignment horizontal="left"/>
    </xf>
    <xf numFmtId="174" fontId="39" fillId="0" borderId="14" xfId="0" applyNumberFormat="1" applyFont="1" applyFill="1" applyBorder="1" applyAlignment="1" applyProtection="1"/>
    <xf numFmtId="165" fontId="65" fillId="0" borderId="0" xfId="0" applyNumberFormat="1" applyFont="1" applyFill="1" applyAlignment="1" applyProtection="1"/>
    <xf numFmtId="165" fontId="67" fillId="0" borderId="0" xfId="0" applyNumberFormat="1" applyFont="1" applyFill="1" applyAlignment="1" applyProtection="1"/>
    <xf numFmtId="0" fontId="39" fillId="0" borderId="0" xfId="0" quotePrefix="1" applyNumberFormat="1" applyFont="1" applyFill="1" applyAlignment="1" applyProtection="1">
      <alignment horizontal="left"/>
    </xf>
    <xf numFmtId="0" fontId="39" fillId="0" borderId="0" xfId="0" quotePrefix="1" applyNumberFormat="1" applyFont="1" applyFill="1" applyAlignment="1" applyProtection="1">
      <alignment horizontal="center"/>
    </xf>
    <xf numFmtId="170" fontId="39" fillId="0" borderId="21" xfId="0" applyNumberFormat="1" applyFont="1" applyFill="1" applyBorder="1" applyAlignment="1" applyProtection="1"/>
    <xf numFmtId="170" fontId="39" fillId="0" borderId="0" xfId="0" quotePrefix="1" applyNumberFormat="1" applyFont="1" applyFill="1" applyBorder="1" applyAlignment="1" applyProtection="1">
      <alignment horizontal="left"/>
    </xf>
    <xf numFmtId="170" fontId="39" fillId="0" borderId="14" xfId="0" applyNumberFormat="1" applyFont="1" applyFill="1" applyBorder="1" applyAlignment="1" applyProtection="1"/>
    <xf numFmtId="166" fontId="39" fillId="0" borderId="0" xfId="0" quotePrefix="1" applyNumberFormat="1" applyFont="1" applyFill="1" applyBorder="1" applyAlignment="1" applyProtection="1">
      <alignment horizontal="center"/>
    </xf>
    <xf numFmtId="0" fontId="46" fillId="0" borderId="0" xfId="0" applyNumberFormat="1" applyFont="1" applyFill="1" applyAlignment="1" applyProtection="1"/>
    <xf numFmtId="170" fontId="46" fillId="0" borderId="0" xfId="0" quotePrefix="1" applyNumberFormat="1" applyFont="1" applyFill="1" applyBorder="1" applyAlignment="1" applyProtection="1"/>
    <xf numFmtId="170" fontId="46" fillId="0" borderId="21" xfId="0" applyNumberFormat="1" applyFont="1" applyFill="1" applyBorder="1" applyAlignment="1" applyProtection="1"/>
    <xf numFmtId="170" fontId="46" fillId="0" borderId="82" xfId="0" quotePrefix="1" applyNumberFormat="1" applyFont="1" applyFill="1" applyBorder="1" applyAlignment="1" applyProtection="1"/>
    <xf numFmtId="170" fontId="46" fillId="0" borderId="0" xfId="0" quotePrefix="1" applyNumberFormat="1" applyFont="1" applyFill="1" applyBorder="1" applyAlignment="1" applyProtection="1">
      <alignment horizontal="left"/>
    </xf>
    <xf numFmtId="166" fontId="46" fillId="0" borderId="0" xfId="0" quotePrefix="1" applyNumberFormat="1" applyFont="1" applyFill="1" applyBorder="1" applyAlignment="1" applyProtection="1">
      <alignment horizontal="center"/>
    </xf>
    <xf numFmtId="164" fontId="66" fillId="0" borderId="0" xfId="0" applyNumberFormat="1" applyFont="1" applyFill="1" applyAlignment="1" applyProtection="1"/>
    <xf numFmtId="165" fontId="66" fillId="0" borderId="0" xfId="0" applyNumberFormat="1" applyFont="1" applyFill="1" applyAlignment="1" applyProtection="1"/>
    <xf numFmtId="165" fontId="77" fillId="0" borderId="0" xfId="0" applyNumberFormat="1" applyFont="1" applyFill="1" applyAlignment="1" applyProtection="1"/>
    <xf numFmtId="170" fontId="39" fillId="0" borderId="84" xfId="0" quotePrefix="1" applyNumberFormat="1" applyFont="1" applyFill="1" applyBorder="1" applyAlignment="1" applyProtection="1"/>
    <xf numFmtId="166" fontId="65" fillId="0" borderId="0" xfId="0" applyNumberFormat="1" applyFont="1" applyFill="1" applyAlignment="1" applyProtection="1"/>
    <xf numFmtId="0" fontId="46" fillId="0" borderId="0" xfId="0" quotePrefix="1" applyNumberFormat="1" applyFont="1" applyFill="1" applyAlignment="1" applyProtection="1">
      <alignment horizontal="left"/>
    </xf>
    <xf numFmtId="170" fontId="46" fillId="0" borderId="93" xfId="0" quotePrefix="1" applyNumberFormat="1" applyFont="1" applyFill="1" applyBorder="1" applyAlignment="1" applyProtection="1">
      <alignment horizontal="left"/>
    </xf>
    <xf numFmtId="164" fontId="67" fillId="0" borderId="0" xfId="0" applyNumberFormat="1" applyFont="1" applyAlignment="1" applyProtection="1"/>
    <xf numFmtId="166" fontId="65" fillId="0" borderId="0" xfId="0" applyNumberFormat="1" applyFont="1" applyAlignment="1" applyProtection="1"/>
    <xf numFmtId="0" fontId="46" fillId="0" borderId="0" xfId="0" quotePrefix="1" applyNumberFormat="1" applyFont="1" applyAlignment="1" applyProtection="1">
      <alignment horizontal="left"/>
    </xf>
    <xf numFmtId="0" fontId="39" fillId="0" borderId="0" xfId="0" quotePrefix="1" applyNumberFormat="1" applyFont="1" applyAlignment="1" applyProtection="1">
      <alignment horizontal="center"/>
    </xf>
    <xf numFmtId="165" fontId="39" fillId="0" borderId="0" xfId="0" quotePrefix="1" applyNumberFormat="1" applyFont="1" applyFill="1" applyAlignment="1" applyProtection="1">
      <alignment horizontal="center"/>
    </xf>
    <xf numFmtId="166" fontId="39" fillId="0" borderId="0" xfId="0" quotePrefix="1" applyNumberFormat="1" applyFont="1" applyFill="1" applyBorder="1" applyAlignment="1" applyProtection="1"/>
    <xf numFmtId="166" fontId="39" fillId="0" borderId="0" xfId="0" quotePrefix="1" applyNumberFormat="1" applyFont="1" applyBorder="1" applyAlignment="1" applyProtection="1">
      <alignment horizontal="center"/>
    </xf>
    <xf numFmtId="166" fontId="39" fillId="0" borderId="0" xfId="0" quotePrefix="1" applyNumberFormat="1" applyFont="1" applyBorder="1" applyAlignment="1" applyProtection="1"/>
    <xf numFmtId="164" fontId="66" fillId="0" borderId="0" xfId="0" applyNumberFormat="1" applyFont="1" applyAlignment="1" applyProtection="1"/>
    <xf numFmtId="165" fontId="66" fillId="0" borderId="0" xfId="0" applyNumberFormat="1" applyFont="1" applyAlignment="1" applyProtection="1"/>
    <xf numFmtId="166" fontId="39" fillId="0" borderId="0" xfId="0" quotePrefix="1" applyNumberFormat="1" applyFont="1" applyBorder="1" applyAlignment="1" applyProtection="1">
      <alignment horizontal="right"/>
    </xf>
    <xf numFmtId="174" fontId="46" fillId="0" borderId="0" xfId="0" applyNumberFormat="1" applyFont="1" applyBorder="1" applyAlignment="1" applyProtection="1"/>
    <xf numFmtId="0" fontId="99" fillId="0" borderId="0" xfId="1767" applyFont="1" applyProtection="1"/>
    <xf numFmtId="0" fontId="99" fillId="0" borderId="0" xfId="1767" applyFont="1" applyBorder="1" applyProtection="1"/>
    <xf numFmtId="0" fontId="39" fillId="0" borderId="0" xfId="1767" applyFont="1" applyBorder="1" applyProtection="1"/>
    <xf numFmtId="0" fontId="16" fillId="0" borderId="0" xfId="841" applyFont="1" applyProtection="1"/>
    <xf numFmtId="4" fontId="45" fillId="0" borderId="0" xfId="1028" applyNumberFormat="1" applyFont="1" applyFill="1" applyBorder="1" applyAlignment="1" applyProtection="1"/>
    <xf numFmtId="4" fontId="116" fillId="0" borderId="0" xfId="1028" applyNumberFormat="1" applyFont="1" applyFill="1" applyBorder="1" applyAlignment="1" applyProtection="1">
      <alignment horizontal="right"/>
    </xf>
    <xf numFmtId="1" fontId="45" fillId="0" borderId="0" xfId="1028" applyNumberFormat="1" applyFont="1" applyAlignment="1" applyProtection="1"/>
    <xf numFmtId="0" fontId="45" fillId="0" borderId="0" xfId="1028" applyFont="1" applyBorder="1" applyAlignment="1" applyProtection="1">
      <alignment horizontal="left"/>
    </xf>
    <xf numFmtId="4" fontId="68" fillId="0" borderId="0" xfId="1028" applyNumberFormat="1" applyFont="1" applyAlignment="1" applyProtection="1">
      <alignment horizontal="left" vertical="center"/>
    </xf>
    <xf numFmtId="164" fontId="0" fillId="0" borderId="0" xfId="0" applyBorder="1" applyProtection="1"/>
    <xf numFmtId="39" fontId="45" fillId="0" borderId="0" xfId="1028" applyNumberFormat="1" applyFont="1" applyFill="1" applyBorder="1" applyAlignment="1" applyProtection="1"/>
    <xf numFmtId="4" fontId="116" fillId="0" borderId="0" xfId="1028" applyNumberFormat="1" applyFont="1" applyFill="1" applyBorder="1" applyAlignment="1" applyProtection="1"/>
    <xf numFmtId="39" fontId="116" fillId="0" borderId="0" xfId="1028" applyNumberFormat="1" applyFont="1" applyFill="1" applyBorder="1" applyAlignment="1" applyProtection="1">
      <alignment horizontal="right"/>
    </xf>
    <xf numFmtId="4" fontId="88" fillId="0" borderId="0" xfId="1028" applyNumberFormat="1" applyFont="1" applyFill="1" applyBorder="1" applyAlignment="1" applyProtection="1"/>
    <xf numFmtId="0" fontId="45" fillId="0" borderId="0" xfId="1028" applyFont="1" applyAlignment="1" applyProtection="1">
      <alignment horizontal="right"/>
    </xf>
    <xf numFmtId="39" fontId="116" fillId="0" borderId="0" xfId="1028" applyNumberFormat="1" applyFont="1" applyFill="1" applyBorder="1" applyAlignment="1" applyProtection="1"/>
    <xf numFmtId="4" fontId="116" fillId="0" borderId="0" xfId="1028" quotePrefix="1" applyNumberFormat="1" applyFont="1" applyFill="1" applyBorder="1" applyAlignment="1" applyProtection="1">
      <alignment horizontal="left"/>
    </xf>
    <xf numFmtId="4" fontId="45" fillId="0" borderId="0" xfId="1028" applyNumberFormat="1" applyFont="1" applyBorder="1" applyAlignment="1" applyProtection="1"/>
    <xf numFmtId="4" fontId="45" fillId="0" borderId="0" xfId="1028" applyNumberFormat="1" applyFont="1" applyAlignment="1" applyProtection="1"/>
    <xf numFmtId="4" fontId="45" fillId="0" borderId="0" xfId="1028" applyNumberFormat="1" applyFont="1" applyBorder="1" applyAlignment="1" applyProtection="1">
      <alignment horizontal="center"/>
    </xf>
    <xf numFmtId="39" fontId="116" fillId="0" borderId="0" xfId="1028" quotePrefix="1" applyNumberFormat="1" applyFont="1" applyFill="1" applyBorder="1" applyAlignment="1" applyProtection="1">
      <alignment horizontal="left"/>
    </xf>
    <xf numFmtId="4" fontId="44" fillId="0" borderId="0" xfId="1028" applyNumberFormat="1" applyFont="1" applyFill="1" applyAlignment="1" applyProtection="1">
      <alignment horizontal="right"/>
    </xf>
    <xf numFmtId="1" fontId="46" fillId="0" borderId="50" xfId="1028" applyNumberFormat="1" applyFont="1" applyBorder="1" applyAlignment="1" applyProtection="1"/>
    <xf numFmtId="4" fontId="46" fillId="0" borderId="50" xfId="1028" applyNumberFormat="1" applyFont="1" applyBorder="1" applyAlignment="1" applyProtection="1"/>
    <xf numFmtId="4" fontId="46" fillId="0" borderId="50" xfId="1028" applyNumberFormat="1" applyFont="1" applyBorder="1" applyAlignment="1" applyProtection="1">
      <alignment horizontal="center"/>
    </xf>
    <xf numFmtId="186" fontId="46" fillId="0" borderId="50" xfId="0" applyNumberFormat="1" applyFont="1" applyBorder="1" applyAlignment="1" applyProtection="1">
      <alignment horizontal="center"/>
    </xf>
    <xf numFmtId="39" fontId="46" fillId="0" borderId="50" xfId="0" applyNumberFormat="1" applyFont="1" applyBorder="1" applyAlignment="1" applyProtection="1">
      <alignment horizontal="center"/>
    </xf>
    <xf numFmtId="1" fontId="46" fillId="0" borderId="0" xfId="1028" applyNumberFormat="1" applyFont="1" applyFill="1" applyAlignment="1" applyProtection="1"/>
    <xf numFmtId="0" fontId="117" fillId="0" borderId="0" xfId="841" applyFont="1" applyProtection="1"/>
    <xf numFmtId="0" fontId="0" fillId="0" borderId="0" xfId="0" applyNumberFormat="1" applyProtection="1"/>
    <xf numFmtId="4" fontId="46" fillId="0" borderId="0" xfId="1028" applyNumberFormat="1" applyFont="1" applyBorder="1" applyAlignment="1" applyProtection="1"/>
    <xf numFmtId="4" fontId="46" fillId="35" borderId="97" xfId="1028" applyNumberFormat="1" applyFont="1" applyFill="1" applyBorder="1" applyAlignment="1" applyProtection="1">
      <alignment horizontal="center"/>
    </xf>
    <xf numFmtId="4" fontId="46" fillId="0" borderId="0" xfId="1028" applyNumberFormat="1" applyFont="1" applyBorder="1" applyAlignment="1" applyProtection="1">
      <alignment horizontal="center"/>
    </xf>
    <xf numFmtId="0" fontId="99" fillId="0" borderId="0" xfId="0" applyNumberFormat="1" applyFont="1" applyAlignment="1" applyProtection="1"/>
    <xf numFmtId="0" fontId="39" fillId="0" borderId="0" xfId="1028" quotePrefix="1" applyNumberFormat="1" applyFont="1" applyAlignment="1" applyProtection="1">
      <alignment horizontal="center"/>
    </xf>
    <xf numFmtId="4" fontId="39" fillId="0" borderId="0" xfId="1028" applyNumberFormat="1" applyFont="1" applyAlignment="1" applyProtection="1">
      <alignment horizontal="left"/>
    </xf>
    <xf numFmtId="0" fontId="103" fillId="0" borderId="0" xfId="0" applyNumberFormat="1" applyFont="1" applyBorder="1" applyProtection="1"/>
    <xf numFmtId="44" fontId="39" fillId="0" borderId="0" xfId="1767" applyNumberFormat="1" applyFont="1" applyFill="1" applyAlignment="1" applyProtection="1">
      <alignment horizontal="right"/>
    </xf>
    <xf numFmtId="1" fontId="39" fillId="0" borderId="0" xfId="1028" applyNumberFormat="1" applyFont="1" applyFill="1" applyBorder="1" applyAlignment="1" applyProtection="1">
      <alignment horizontal="center"/>
    </xf>
    <xf numFmtId="44" fontId="117" fillId="0" borderId="0" xfId="841" applyNumberFormat="1" applyFont="1" applyProtection="1"/>
    <xf numFmtId="1" fontId="39" fillId="0" borderId="0" xfId="1028" applyNumberFormat="1" applyFont="1" applyAlignment="1" applyProtection="1">
      <alignment horizontal="center"/>
    </xf>
    <xf numFmtId="4" fontId="46" fillId="35" borderId="97" xfId="1028" quotePrefix="1" applyNumberFormat="1" applyFont="1" applyFill="1" applyBorder="1" applyAlignment="1" applyProtection="1">
      <alignment horizontal="center"/>
    </xf>
    <xf numFmtId="4" fontId="46" fillId="0" borderId="0" xfId="1028" applyNumberFormat="1" applyFont="1" applyFill="1" applyBorder="1" applyAlignment="1" applyProtection="1"/>
    <xf numFmtId="4" fontId="46" fillId="0" borderId="0" xfId="1028" quotePrefix="1" applyNumberFormat="1" applyFont="1" applyFill="1" applyBorder="1" applyAlignment="1" applyProtection="1">
      <alignment horizontal="center"/>
    </xf>
    <xf numFmtId="4" fontId="46" fillId="0" borderId="0" xfId="1028" applyNumberFormat="1" applyFont="1" applyFill="1" applyBorder="1" applyAlignment="1" applyProtection="1">
      <alignment horizontal="center"/>
    </xf>
    <xf numFmtId="1" fontId="39" fillId="0" borderId="0" xfId="1028" applyNumberFormat="1" applyFont="1" applyFill="1" applyAlignment="1" applyProtection="1">
      <alignment horizontal="center"/>
    </xf>
    <xf numFmtId="4" fontId="39" fillId="0" borderId="0" xfId="1028" quotePrefix="1" applyNumberFormat="1" applyFont="1" applyAlignment="1" applyProtection="1">
      <alignment horizontal="left"/>
    </xf>
    <xf numFmtId="4" fontId="39" fillId="0" borderId="0" xfId="1028" applyNumberFormat="1" applyFont="1" applyBorder="1" applyAlignment="1" applyProtection="1"/>
    <xf numFmtId="4" fontId="39" fillId="0" borderId="0" xfId="1028" quotePrefix="1" applyNumberFormat="1" applyFont="1" applyBorder="1" applyAlignment="1" applyProtection="1">
      <alignment horizontal="left"/>
    </xf>
    <xf numFmtId="4" fontId="39" fillId="0" borderId="0" xfId="1028" applyNumberFormat="1" applyFont="1" applyBorder="1" applyAlignment="1" applyProtection="1">
      <alignment horizontal="center"/>
    </xf>
    <xf numFmtId="0" fontId="39" fillId="0" borderId="0" xfId="1028" quotePrefix="1" applyNumberFormat="1" applyFont="1" applyFill="1" applyAlignment="1" applyProtection="1">
      <alignment horizontal="center"/>
    </xf>
    <xf numFmtId="0" fontId="99" fillId="0" borderId="0" xfId="1767" applyFont="1" applyFill="1" applyProtection="1"/>
    <xf numFmtId="4" fontId="39" fillId="0" borderId="0" xfId="1028" applyNumberFormat="1" applyFont="1" applyFill="1" applyAlignment="1" applyProtection="1">
      <alignment horizontal="left"/>
    </xf>
    <xf numFmtId="4" fontId="39" fillId="0" borderId="0" xfId="1028" applyNumberFormat="1" applyFont="1" applyFill="1" applyBorder="1" applyAlignment="1" applyProtection="1">
      <alignment horizontal="center"/>
    </xf>
    <xf numFmtId="1" fontId="39" fillId="0" borderId="0" xfId="1028" applyNumberFormat="1" applyFont="1" applyBorder="1" applyAlignment="1" applyProtection="1">
      <alignment horizontal="center"/>
    </xf>
    <xf numFmtId="1" fontId="39" fillId="0" borderId="0" xfId="1028" quotePrefix="1" applyNumberFormat="1" applyFont="1" applyAlignment="1" applyProtection="1"/>
    <xf numFmtId="4" fontId="46" fillId="0" borderId="0" xfId="0" applyNumberFormat="1" applyFont="1" applyProtection="1"/>
    <xf numFmtId="0" fontId="99" fillId="0" borderId="0" xfId="0" applyNumberFormat="1" applyFont="1" applyProtection="1"/>
    <xf numFmtId="0" fontId="99" fillId="0" borderId="0" xfId="1028" quotePrefix="1" applyNumberFormat="1" applyFont="1" applyFill="1" applyBorder="1" applyAlignment="1" applyProtection="1"/>
    <xf numFmtId="1" fontId="39" fillId="0" borderId="0" xfId="1028" applyNumberFormat="1" applyFont="1" applyFill="1" applyAlignment="1" applyProtection="1"/>
    <xf numFmtId="4" fontId="46" fillId="35" borderId="97" xfId="0" applyNumberFormat="1" applyFont="1" applyFill="1" applyBorder="1" applyAlignment="1" applyProtection="1">
      <alignment horizontal="center"/>
    </xf>
    <xf numFmtId="4" fontId="46" fillId="0" borderId="0" xfId="0" applyNumberFormat="1" applyFont="1" applyAlignment="1" applyProtection="1">
      <alignment horizontal="center"/>
    </xf>
    <xf numFmtId="4" fontId="39" fillId="0" borderId="0" xfId="0" applyNumberFormat="1" applyFont="1" applyProtection="1"/>
    <xf numFmtId="4" fontId="39" fillId="0" borderId="0" xfId="0" applyNumberFormat="1" applyFont="1" applyAlignment="1" applyProtection="1">
      <alignment horizontal="center"/>
    </xf>
    <xf numFmtId="4" fontId="39" fillId="0" borderId="0" xfId="1028" applyNumberFormat="1" applyFont="1" applyBorder="1" applyAlignment="1" applyProtection="1">
      <alignment horizontal="left"/>
    </xf>
    <xf numFmtId="4" fontId="39" fillId="0" borderId="0" xfId="1028" applyNumberFormat="1" applyFont="1" applyFill="1" applyBorder="1" applyAlignment="1" applyProtection="1"/>
    <xf numFmtId="4" fontId="39" fillId="0" borderId="0" xfId="1028" applyNumberFormat="1" applyFont="1" applyFill="1" applyBorder="1" applyAlignment="1" applyProtection="1">
      <alignment horizontal="left"/>
    </xf>
    <xf numFmtId="4" fontId="39" fillId="0" borderId="0" xfId="1028" quotePrefix="1" applyNumberFormat="1" applyFont="1" applyFill="1" applyBorder="1" applyAlignment="1" applyProtection="1">
      <alignment horizontal="left"/>
    </xf>
    <xf numFmtId="1" fontId="39" fillId="0" borderId="0" xfId="1028" quotePrefix="1" applyNumberFormat="1" applyFont="1" applyAlignment="1" applyProtection="1">
      <alignment horizontal="center"/>
    </xf>
    <xf numFmtId="0" fontId="99" fillId="0" borderId="0" xfId="1028" quotePrefix="1" applyNumberFormat="1" applyFont="1" applyAlignment="1" applyProtection="1"/>
    <xf numFmtId="4" fontId="39" fillId="0" borderId="0" xfId="1028" quotePrefix="1" applyNumberFormat="1" applyFont="1" applyBorder="1" applyAlignment="1" applyProtection="1">
      <alignment horizontal="right"/>
    </xf>
    <xf numFmtId="4" fontId="39" fillId="0" borderId="0" xfId="1028" applyNumberFormat="1" applyFont="1" applyFill="1" applyAlignment="1" applyProtection="1">
      <alignment horizontal="center"/>
    </xf>
    <xf numFmtId="164" fontId="99" fillId="0" borderId="0" xfId="0" applyFont="1" applyProtection="1"/>
    <xf numFmtId="4" fontId="39" fillId="0" borderId="0" xfId="1028" quotePrefix="1" applyNumberFormat="1" applyFont="1" applyFill="1" applyAlignment="1" applyProtection="1">
      <alignment horizontal="center"/>
    </xf>
    <xf numFmtId="0" fontId="39" fillId="0" borderId="0" xfId="1028" quotePrefix="1" applyNumberFormat="1" applyFont="1" applyFill="1" applyBorder="1" applyAlignment="1" applyProtection="1">
      <alignment horizontal="center"/>
    </xf>
    <xf numFmtId="37" fontId="46" fillId="0" borderId="0" xfId="1028" quotePrefix="1" applyNumberFormat="1" applyFont="1" applyFill="1" applyBorder="1" applyAlignment="1" applyProtection="1">
      <alignment horizontal="center"/>
    </xf>
    <xf numFmtId="1" fontId="39" fillId="0" borderId="0" xfId="1028" applyNumberFormat="1" applyFont="1" applyFill="1" applyBorder="1" applyAlignment="1" applyProtection="1"/>
    <xf numFmtId="43" fontId="46" fillId="0" borderId="0" xfId="17924" applyFont="1" applyFill="1" applyAlignment="1" applyProtection="1">
      <alignment horizontal="right"/>
    </xf>
    <xf numFmtId="1" fontId="39" fillId="0" borderId="0" xfId="1028" quotePrefix="1" applyNumberFormat="1" applyFont="1" applyFill="1" applyAlignment="1" applyProtection="1">
      <alignment horizontal="center"/>
    </xf>
    <xf numFmtId="4" fontId="39" fillId="33" borderId="0" xfId="1028" applyNumberFormat="1" applyFont="1" applyFill="1" applyBorder="1" applyAlignment="1" applyProtection="1">
      <alignment horizontal="centerContinuous"/>
    </xf>
    <xf numFmtId="4" fontId="39" fillId="33" borderId="0" xfId="1028" applyNumberFormat="1" applyFont="1" applyFill="1" applyBorder="1" applyAlignment="1" applyProtection="1">
      <alignment horizontal="center"/>
    </xf>
    <xf numFmtId="1" fontId="39" fillId="0" borderId="0" xfId="1028" applyNumberFormat="1" applyFont="1" applyAlignment="1" applyProtection="1"/>
    <xf numFmtId="4" fontId="39" fillId="0" borderId="0" xfId="1028" applyNumberFormat="1" applyFont="1" applyFill="1" applyBorder="1" applyAlignment="1" applyProtection="1">
      <alignment horizontal="right"/>
    </xf>
    <xf numFmtId="4" fontId="39" fillId="0" borderId="0" xfId="1028" quotePrefix="1" applyNumberFormat="1" applyFont="1" applyFill="1" applyAlignment="1" applyProtection="1">
      <alignment horizontal="left"/>
    </xf>
    <xf numFmtId="1" fontId="46" fillId="0" borderId="0" xfId="1028" quotePrefix="1" applyNumberFormat="1" applyFont="1" applyAlignment="1" applyProtection="1"/>
    <xf numFmtId="0" fontId="99" fillId="0" borderId="0" xfId="1028" applyNumberFormat="1" applyFont="1" applyBorder="1" applyAlignment="1" applyProtection="1"/>
    <xf numFmtId="0" fontId="46" fillId="0" borderId="0" xfId="1028" applyNumberFormat="1" applyFont="1" applyBorder="1" applyAlignment="1" applyProtection="1">
      <alignment horizontal="center"/>
    </xf>
    <xf numFmtId="4" fontId="46" fillId="35" borderId="57" xfId="1028" applyNumberFormat="1" applyFont="1" applyFill="1" applyBorder="1" applyAlignment="1" applyProtection="1">
      <alignment horizontal="left"/>
    </xf>
    <xf numFmtId="0" fontId="103" fillId="0" borderId="0" xfId="0" applyNumberFormat="1" applyFont="1" applyAlignment="1" applyProtection="1"/>
    <xf numFmtId="164" fontId="39" fillId="0" borderId="0" xfId="1028" applyNumberFormat="1" applyFont="1" applyFill="1" applyBorder="1" applyAlignment="1" applyProtection="1"/>
    <xf numFmtId="4" fontId="46" fillId="0" borderId="0" xfId="1028" applyNumberFormat="1" applyFont="1" applyFill="1" applyBorder="1" applyAlignment="1" applyProtection="1">
      <alignment horizontal="left"/>
    </xf>
    <xf numFmtId="4" fontId="46" fillId="0" borderId="0" xfId="0" applyNumberFormat="1" applyFont="1" applyFill="1" applyAlignment="1" applyProtection="1">
      <alignment horizontal="left"/>
    </xf>
    <xf numFmtId="164" fontId="39" fillId="0" borderId="0" xfId="0" applyFont="1" applyFill="1" applyBorder="1" applyProtection="1"/>
    <xf numFmtId="164" fontId="39" fillId="0" borderId="0" xfId="0" applyFont="1" applyBorder="1" applyProtection="1"/>
    <xf numFmtId="0" fontId="117" fillId="0" borderId="0" xfId="1028" quotePrefix="1" applyNumberFormat="1" applyFont="1" applyAlignment="1" applyProtection="1"/>
    <xf numFmtId="164" fontId="39" fillId="0" borderId="0" xfId="1028" quotePrefix="1" applyNumberFormat="1" applyFont="1" applyBorder="1" applyAlignment="1" applyProtection="1"/>
    <xf numFmtId="4" fontId="46" fillId="0" borderId="0" xfId="0" applyNumberFormat="1" applyFont="1" applyAlignment="1" applyProtection="1">
      <alignment horizontal="left"/>
    </xf>
    <xf numFmtId="164" fontId="39" fillId="0" borderId="0" xfId="1028" applyNumberFormat="1" applyFont="1" applyBorder="1" applyAlignment="1" applyProtection="1"/>
    <xf numFmtId="164" fontId="99" fillId="0" borderId="0" xfId="0" applyFont="1" applyBorder="1" applyProtection="1"/>
    <xf numFmtId="7" fontId="46" fillId="0" borderId="0" xfId="1767" applyNumberFormat="1" applyFont="1" applyFill="1" applyAlignment="1" applyProtection="1">
      <alignment horizontal="right"/>
    </xf>
    <xf numFmtId="7" fontId="46" fillId="0" borderId="0" xfId="0" applyNumberFormat="1" applyFont="1" applyAlignment="1" applyProtection="1">
      <alignment horizontal="right"/>
    </xf>
    <xf numFmtId="4" fontId="46" fillId="0" borderId="0" xfId="1028" quotePrefix="1" applyNumberFormat="1" applyFont="1" applyAlignment="1" applyProtection="1">
      <alignment horizontal="left"/>
    </xf>
    <xf numFmtId="164" fontId="39" fillId="0" borderId="0" xfId="1028" quotePrefix="1" applyNumberFormat="1" applyFont="1" applyAlignment="1" applyProtection="1"/>
    <xf numFmtId="37" fontId="46" fillId="0" borderId="0" xfId="1028" applyNumberFormat="1" applyFont="1" applyAlignment="1" applyProtection="1">
      <alignment horizontal="right"/>
    </xf>
    <xf numFmtId="4" fontId="46" fillId="0" borderId="0" xfId="0" applyNumberFormat="1" applyFont="1" applyAlignment="1" applyProtection="1">
      <alignment horizontal="left" vertical="top"/>
    </xf>
    <xf numFmtId="37" fontId="46" fillId="0" borderId="0" xfId="0" applyNumberFormat="1" applyFont="1" applyBorder="1" applyAlignment="1" applyProtection="1">
      <alignment horizontal="right" vertical="top"/>
    </xf>
    <xf numFmtId="4" fontId="46" fillId="0" borderId="0" xfId="0" applyNumberFormat="1" applyFont="1" applyBorder="1" applyAlignment="1" applyProtection="1">
      <alignment horizontal="left" vertical="top"/>
    </xf>
    <xf numFmtId="164" fontId="99" fillId="0" borderId="0" xfId="0" applyNumberFormat="1" applyFont="1" applyProtection="1"/>
    <xf numFmtId="164" fontId="99" fillId="0" borderId="0" xfId="0" applyNumberFormat="1" applyFont="1" applyBorder="1" applyProtection="1"/>
    <xf numFmtId="37" fontId="103" fillId="0" borderId="0" xfId="0" applyNumberFormat="1" applyFont="1" applyAlignment="1" applyProtection="1">
      <alignment horizontal="right" vertical="top"/>
    </xf>
    <xf numFmtId="37" fontId="46" fillId="0" borderId="0" xfId="841" applyNumberFormat="1" applyFont="1" applyAlignment="1" applyProtection="1">
      <alignment horizontal="right"/>
    </xf>
    <xf numFmtId="164" fontId="39" fillId="0" borderId="0" xfId="0" applyNumberFormat="1" applyFont="1" applyAlignment="1" applyProtection="1"/>
    <xf numFmtId="37" fontId="46" fillId="0" borderId="0" xfId="0" applyNumberFormat="1" applyFont="1" applyAlignment="1" applyProtection="1">
      <alignment horizontal="right"/>
    </xf>
    <xf numFmtId="4" fontId="46" fillId="0" borderId="0" xfId="1028" applyNumberFormat="1" applyFont="1" applyAlignment="1" applyProtection="1">
      <alignment horizontal="left"/>
    </xf>
    <xf numFmtId="4" fontId="46" fillId="0" borderId="0" xfId="1028" quotePrefix="1" applyNumberFormat="1" applyFont="1" applyBorder="1" applyAlignment="1" applyProtection="1">
      <alignment horizontal="left"/>
    </xf>
    <xf numFmtId="43" fontId="99" fillId="0" borderId="0" xfId="0" applyNumberFormat="1" applyFont="1" applyProtection="1"/>
    <xf numFmtId="7" fontId="46" fillId="0" borderId="0" xfId="1028" applyNumberFormat="1" applyFont="1" applyBorder="1" applyAlignment="1" applyProtection="1">
      <alignment horizontal="right"/>
    </xf>
    <xf numFmtId="37" fontId="46" fillId="0" borderId="0" xfId="1028" applyNumberFormat="1" applyFont="1" applyFill="1" applyBorder="1" applyAlignment="1" applyProtection="1">
      <alignment horizontal="right"/>
    </xf>
    <xf numFmtId="4" fontId="46" fillId="0" borderId="0" xfId="0" applyNumberFormat="1" applyFont="1" applyBorder="1" applyAlignment="1" applyProtection="1">
      <alignment horizontal="left"/>
    </xf>
    <xf numFmtId="37" fontId="46" fillId="0" borderId="0" xfId="1028" quotePrefix="1" applyNumberFormat="1" applyFont="1" applyFill="1" applyBorder="1" applyAlignment="1" applyProtection="1">
      <alignment horizontal="right"/>
    </xf>
    <xf numFmtId="39" fontId="39" fillId="0" borderId="0" xfId="1028" applyNumberFormat="1" applyFont="1" applyFill="1" applyAlignment="1" applyProtection="1"/>
    <xf numFmtId="39" fontId="39" fillId="0" borderId="0" xfId="1028" applyNumberFormat="1" applyFont="1" applyFill="1" applyBorder="1" applyAlignment="1" applyProtection="1"/>
    <xf numFmtId="0" fontId="16" fillId="0" borderId="0" xfId="841" applyFont="1" applyBorder="1" applyProtection="1"/>
    <xf numFmtId="0" fontId="137" fillId="0" borderId="0" xfId="841" applyFont="1" applyBorder="1" applyProtection="1"/>
    <xf numFmtId="0" fontId="3" fillId="0" borderId="0" xfId="841" applyFont="1" applyProtection="1"/>
    <xf numFmtId="4" fontId="44" fillId="0" borderId="0" xfId="1767" applyNumberFormat="1" applyFont="1" applyFill="1" applyBorder="1" applyAlignment="1" applyProtection="1">
      <alignment horizontal="right"/>
    </xf>
    <xf numFmtId="4" fontId="44" fillId="0" borderId="0" xfId="1767" applyNumberFormat="1" applyFont="1" applyFill="1" applyAlignment="1" applyProtection="1">
      <alignment horizontal="right"/>
    </xf>
    <xf numFmtId="42" fontId="39" fillId="0" borderId="0" xfId="739" applyNumberFormat="1" applyFont="1" applyBorder="1" applyAlignment="1" applyProtection="1"/>
    <xf numFmtId="41" fontId="46" fillId="0" borderId="107" xfId="739" applyNumberFormat="1" applyFont="1" applyBorder="1" applyAlignment="1" applyProtection="1"/>
    <xf numFmtId="42" fontId="46" fillId="0" borderId="17" xfId="840" applyNumberFormat="1" applyFont="1" applyFill="1" applyBorder="1" applyAlignment="1"/>
    <xf numFmtId="165" fontId="39" fillId="0" borderId="0" xfId="740" applyNumberFormat="1" applyFont="1" applyFill="1" applyProtection="1">
      <protection locked="0"/>
    </xf>
    <xf numFmtId="177" fontId="68" fillId="0" borderId="0" xfId="740" applyNumberFormat="1" applyFont="1" applyFill="1" applyAlignment="1"/>
    <xf numFmtId="177" fontId="68" fillId="0" borderId="0" xfId="740" quotePrefix="1" applyNumberFormat="1" applyFont="1" applyFill="1" applyAlignment="1">
      <alignment horizontal="right"/>
    </xf>
    <xf numFmtId="177" fontId="44" fillId="0" borderId="0" xfId="740" applyNumberFormat="1" applyFont="1" applyFill="1" applyBorder="1" applyAlignment="1"/>
    <xf numFmtId="177" fontId="46" fillId="0" borderId="0" xfId="740" quotePrefix="1" applyNumberFormat="1" applyFont="1" applyFill="1" applyBorder="1" applyAlignment="1">
      <alignment horizontal="right"/>
    </xf>
    <xf numFmtId="0" fontId="86" fillId="0" borderId="0" xfId="740" applyFont="1" applyFill="1" applyAlignment="1">
      <alignment horizontal="right"/>
    </xf>
    <xf numFmtId="0" fontId="86" fillId="0" borderId="0" xfId="740" applyFont="1" applyFill="1" applyBorder="1" applyAlignment="1">
      <alignment horizontal="right"/>
    </xf>
    <xf numFmtId="177" fontId="68" fillId="0" borderId="0" xfId="740" quotePrefix="1" applyNumberFormat="1" applyFont="1" applyFill="1" applyAlignment="1">
      <alignment horizontal="left"/>
    </xf>
    <xf numFmtId="165" fontId="101" fillId="0" borderId="0" xfId="740" applyNumberFormat="1" applyFont="1" applyFill="1" applyBorder="1" applyAlignment="1"/>
    <xf numFmtId="177" fontId="39" fillId="0" borderId="0" xfId="740" applyNumberFormat="1" applyFont="1" applyFill="1" applyAlignment="1">
      <alignment horizontal="fill"/>
    </xf>
    <xf numFmtId="179" fontId="46" fillId="0" borderId="10" xfId="740" quotePrefix="1" applyNumberFormat="1" applyFont="1" applyFill="1" applyBorder="1" applyAlignment="1">
      <alignment horizontal="center"/>
    </xf>
    <xf numFmtId="179" fontId="46" fillId="0" borderId="0" xfId="740" quotePrefix="1" applyNumberFormat="1" applyFont="1" applyFill="1" applyBorder="1" applyAlignment="1">
      <alignment horizontal="center"/>
    </xf>
    <xf numFmtId="177" fontId="46" fillId="0" borderId="0" xfId="740" applyNumberFormat="1" applyFont="1" applyFill="1" applyBorder="1" applyAlignment="1">
      <alignment horizontal="right"/>
    </xf>
    <xf numFmtId="173" fontId="39" fillId="0" borderId="0" xfId="740" applyNumberFormat="1" applyFont="1" applyFill="1" applyAlignment="1"/>
    <xf numFmtId="177" fontId="99" fillId="0" borderId="0" xfId="740" applyNumberFormat="1" applyFont="1" applyFill="1" applyBorder="1" applyAlignment="1">
      <alignment horizontal="left"/>
    </xf>
    <xf numFmtId="177" fontId="103" fillId="0" borderId="0" xfId="740" applyNumberFormat="1" applyFont="1" applyFill="1" applyBorder="1"/>
    <xf numFmtId="182" fontId="99" fillId="0" borderId="0" xfId="740" applyNumberFormat="1" applyFont="1" applyFill="1"/>
    <xf numFmtId="177" fontId="46" fillId="0" borderId="0" xfId="740" applyNumberFormat="1" applyFont="1" applyFill="1" applyAlignment="1">
      <alignment horizontal="left"/>
    </xf>
    <xf numFmtId="43" fontId="39" fillId="0" borderId="0" xfId="741" applyFont="1" applyFill="1" applyAlignment="1"/>
    <xf numFmtId="177" fontId="46" fillId="0" borderId="0" xfId="740" applyNumberFormat="1" applyFont="1" applyFill="1"/>
    <xf numFmtId="181" fontId="39" fillId="0" borderId="0" xfId="740" applyNumberFormat="1" applyFont="1" applyFill="1" applyAlignment="1">
      <alignment horizontal="right"/>
    </xf>
    <xf numFmtId="177" fontId="72" fillId="0" borderId="0" xfId="740" applyNumberFormat="1" applyFont="1" applyFill="1" applyAlignment="1">
      <alignment horizontal="left"/>
    </xf>
    <xf numFmtId="41" fontId="0" fillId="0" borderId="0" xfId="0" applyNumberFormat="1"/>
    <xf numFmtId="41" fontId="45" fillId="0" borderId="0" xfId="0" applyNumberFormat="1" applyFont="1" applyAlignment="1">
      <alignment horizontal="center" wrapText="1"/>
    </xf>
    <xf numFmtId="199" fontId="0" fillId="0" borderId="0" xfId="0" applyNumberFormat="1"/>
    <xf numFmtId="41" fontId="112" fillId="0" borderId="0" xfId="0" applyNumberFormat="1" applyFont="1" applyFill="1"/>
    <xf numFmtId="41" fontId="168" fillId="0" borderId="0" xfId="0" applyNumberFormat="1" applyFont="1" applyFill="1" applyAlignment="1">
      <alignment horizontal="center" vertical="top"/>
    </xf>
    <xf numFmtId="170" fontId="68" fillId="0" borderId="98" xfId="2" quotePrefix="1" applyNumberFormat="1" applyFont="1" applyBorder="1" applyAlignment="1">
      <alignment horizontal="right"/>
    </xf>
    <xf numFmtId="177" fontId="63" fillId="0" borderId="0" xfId="740" applyNumberFormat="1" applyFont="1" applyFill="1" applyAlignment="1">
      <alignment horizontal="right"/>
    </xf>
    <xf numFmtId="185" fontId="63" fillId="0" borderId="0" xfId="836" applyNumberFormat="1" applyFont="1" applyFill="1" applyAlignment="1">
      <alignment horizontal="right"/>
    </xf>
    <xf numFmtId="194" fontId="170" fillId="0" borderId="66" xfId="2" applyNumberFormat="1" applyFont="1" applyFill="1" applyBorder="1" applyAlignment="1"/>
    <xf numFmtId="170" fontId="39" fillId="0" borderId="66" xfId="2" quotePrefix="1" applyNumberFormat="1" applyFont="1" applyFill="1" applyBorder="1" applyAlignment="1">
      <alignment horizontal="center"/>
    </xf>
    <xf numFmtId="170" fontId="39" fillId="0" borderId="31" xfId="2" applyNumberFormat="1" applyFont="1" applyFill="1" applyBorder="1" applyAlignment="1"/>
    <xf numFmtId="170" fontId="39" fillId="0" borderId="15" xfId="2" quotePrefix="1" applyNumberFormat="1" applyFont="1" applyFill="1" applyBorder="1" applyAlignment="1"/>
    <xf numFmtId="194" fontId="39" fillId="0" borderId="10" xfId="0" applyNumberFormat="1" applyFont="1" applyFill="1" applyBorder="1" applyProtection="1"/>
    <xf numFmtId="0" fontId="41" fillId="0" borderId="0" xfId="2" quotePrefix="1" applyFont="1" applyFill="1" applyBorder="1" applyAlignment="1">
      <alignment horizontal="center"/>
    </xf>
    <xf numFmtId="177" fontId="63" fillId="0" borderId="0" xfId="836" applyNumberFormat="1" applyFont="1" applyFill="1" applyAlignment="1">
      <alignment horizontal="fill"/>
    </xf>
    <xf numFmtId="165" fontId="41" fillId="0" borderId="20" xfId="2" applyNumberFormat="1" applyFont="1" applyFill="1" applyBorder="1" applyAlignment="1" applyProtection="1"/>
    <xf numFmtId="168" fontId="41" fillId="0" borderId="36" xfId="2" applyNumberFormat="1" applyFont="1" applyFill="1" applyBorder="1" applyAlignment="1" applyProtection="1"/>
    <xf numFmtId="168" fontId="41" fillId="0" borderId="0" xfId="2" applyNumberFormat="1" applyFont="1" applyFill="1" applyBorder="1" applyAlignment="1" applyProtection="1"/>
    <xf numFmtId="165" fontId="39" fillId="0" borderId="0" xfId="836" applyNumberFormat="1" applyFont="1" applyFill="1" applyAlignment="1" applyProtection="1">
      <protection locked="0"/>
    </xf>
    <xf numFmtId="0" fontId="54" fillId="0" borderId="0" xfId="836" applyNumberFormat="1" applyFont="1" applyFill="1" applyAlignment="1"/>
    <xf numFmtId="185" fontId="63" fillId="0" borderId="0" xfId="836" applyNumberFormat="1" applyFont="1" applyFill="1" applyBorder="1" applyAlignment="1">
      <alignment horizontal="right"/>
    </xf>
    <xf numFmtId="0" fontId="41" fillId="0" borderId="0" xfId="836" quotePrefix="1" applyNumberFormat="1" applyFont="1" applyFill="1" applyAlignment="1">
      <alignment horizontal="left"/>
    </xf>
    <xf numFmtId="181" fontId="80" fillId="0" borderId="0" xfId="836" applyNumberFormat="1" applyFont="1" applyFill="1" applyAlignment="1"/>
    <xf numFmtId="181" fontId="80" fillId="0" borderId="0" xfId="836" applyNumberFormat="1" applyFont="1" applyFill="1" applyAlignment="1">
      <alignment horizontal="left"/>
    </xf>
    <xf numFmtId="182" fontId="80" fillId="0" borderId="0" xfId="836" applyNumberFormat="1" applyFont="1" applyFill="1" applyAlignment="1"/>
    <xf numFmtId="185" fontId="63" fillId="0" borderId="0" xfId="836" quotePrefix="1" applyNumberFormat="1" applyFont="1" applyFill="1" applyAlignment="1">
      <alignment horizontal="center"/>
    </xf>
    <xf numFmtId="176" fontId="80" fillId="0" borderId="0" xfId="836" applyNumberFormat="1" applyFont="1" applyFill="1" applyAlignment="1"/>
    <xf numFmtId="0" fontId="115" fillId="0" borderId="0" xfId="2" applyFont="1"/>
    <xf numFmtId="165" fontId="44" fillId="0" borderId="0" xfId="0" applyNumberFormat="1" applyFont="1" applyAlignment="1" applyProtection="1">
      <protection locked="0"/>
    </xf>
    <xf numFmtId="165" fontId="168" fillId="0" borderId="0" xfId="0" applyNumberFormat="1" applyFont="1" applyProtection="1">
      <protection locked="0"/>
    </xf>
    <xf numFmtId="170" fontId="46" fillId="0" borderId="0" xfId="2" applyNumberFormat="1" applyFont="1"/>
    <xf numFmtId="164" fontId="41" fillId="0" borderId="0" xfId="0" applyFont="1" applyFill="1" applyProtection="1"/>
    <xf numFmtId="174" fontId="46" fillId="0" borderId="15" xfId="0" applyNumberFormat="1" applyFont="1" applyFill="1" applyBorder="1" applyAlignment="1" applyProtection="1"/>
    <xf numFmtId="165" fontId="49" fillId="0" borderId="0" xfId="0" applyNumberFormat="1" applyFont="1" applyFill="1" applyAlignment="1" applyProtection="1"/>
    <xf numFmtId="164" fontId="46" fillId="0" borderId="17" xfId="0" applyNumberFormat="1" applyFont="1" applyFill="1" applyBorder="1" applyAlignment="1" applyProtection="1"/>
    <xf numFmtId="165" fontId="46" fillId="0" borderId="0" xfId="0" applyNumberFormat="1" applyFont="1" applyFill="1" applyAlignment="1" applyProtection="1"/>
    <xf numFmtId="168" fontId="49" fillId="0" borderId="0" xfId="0" applyNumberFormat="1" applyFont="1" applyFill="1" applyAlignment="1" applyProtection="1"/>
    <xf numFmtId="166" fontId="49" fillId="0" borderId="0" xfId="0" applyNumberFormat="1" applyFont="1" applyFill="1" applyBorder="1" applyAlignment="1" applyProtection="1"/>
    <xf numFmtId="165" fontId="52" fillId="0" borderId="0" xfId="0" applyNumberFormat="1" applyFont="1" applyFill="1" applyBorder="1" applyAlignment="1" applyProtection="1"/>
    <xf numFmtId="165" fontId="41" fillId="0" borderId="0" xfId="0" applyNumberFormat="1" applyFont="1" applyFill="1" applyBorder="1" applyAlignment="1" applyProtection="1"/>
    <xf numFmtId="165" fontId="41" fillId="0" borderId="0" xfId="0" applyNumberFormat="1" applyFont="1" applyFill="1" applyAlignment="1" applyProtection="1"/>
    <xf numFmtId="170" fontId="41" fillId="0" borderId="15" xfId="0" applyNumberFormat="1" applyFont="1" applyFill="1" applyBorder="1" applyAlignment="1" applyProtection="1"/>
    <xf numFmtId="170" fontId="46" fillId="0" borderId="15" xfId="0" applyNumberFormat="1" applyFont="1" applyFill="1" applyBorder="1" applyAlignment="1" applyProtection="1"/>
    <xf numFmtId="164" fontId="46" fillId="0" borderId="10" xfId="0" applyNumberFormat="1" applyFont="1" applyFill="1" applyBorder="1" applyAlignment="1" applyProtection="1"/>
    <xf numFmtId="165" fontId="44" fillId="0" borderId="0" xfId="2" applyNumberFormat="1" applyFont="1" applyFill="1" applyAlignment="1" applyProtection="1">
      <alignment horizontal="centerContinuous"/>
    </xf>
    <xf numFmtId="166" fontId="60" fillId="0" borderId="0" xfId="2" applyNumberFormat="1" applyFont="1" applyFill="1" applyAlignment="1" applyProtection="1"/>
    <xf numFmtId="181" fontId="63" fillId="0" borderId="0" xfId="1776" applyNumberFormat="1" applyFont="1" applyFill="1" applyAlignment="1"/>
    <xf numFmtId="181" fontId="68" fillId="0" borderId="0" xfId="1776" applyNumberFormat="1" applyFont="1" applyFill="1" applyAlignment="1"/>
    <xf numFmtId="181" fontId="68" fillId="0" borderId="0" xfId="1776" applyNumberFormat="1" applyFont="1" applyFill="1" applyAlignment="1">
      <alignment horizontal="center"/>
    </xf>
    <xf numFmtId="181" fontId="63" fillId="0" borderId="0" xfId="1776" applyNumberFormat="1" applyFont="1" applyFill="1" applyBorder="1" applyAlignment="1"/>
    <xf numFmtId="37" fontId="46" fillId="0" borderId="0" xfId="1028" applyNumberFormat="1" applyFont="1" applyFill="1" applyBorder="1" applyAlignment="1" applyProtection="1">
      <alignment horizontal="center"/>
    </xf>
    <xf numFmtId="44" fontId="117" fillId="0" borderId="0" xfId="841" applyNumberFormat="1" applyFont="1" applyFill="1" applyProtection="1"/>
    <xf numFmtId="0" fontId="117" fillId="0" borderId="0" xfId="841" applyFont="1" applyFill="1" applyProtection="1"/>
    <xf numFmtId="4" fontId="39" fillId="0" borderId="0" xfId="0" applyNumberFormat="1" applyFont="1" applyFill="1" applyAlignment="1" applyProtection="1">
      <alignment horizontal="left"/>
    </xf>
    <xf numFmtId="1" fontId="39" fillId="0" borderId="0" xfId="0" applyNumberFormat="1" applyFont="1" applyFill="1" applyAlignment="1" applyProtection="1">
      <alignment horizontal="center"/>
    </xf>
    <xf numFmtId="164" fontId="99" fillId="0" borderId="0" xfId="0" applyFont="1" applyFill="1" applyProtection="1"/>
    <xf numFmtId="174" fontId="39" fillId="0" borderId="0" xfId="17" applyNumberFormat="1" applyFont="1" applyFill="1" applyAlignment="1"/>
    <xf numFmtId="189" fontId="0" fillId="0" borderId="0" xfId="17" applyNumberFormat="1" applyFont="1" applyFill="1"/>
    <xf numFmtId="180" fontId="39" fillId="0" borderId="0" xfId="17" applyNumberFormat="1" applyFont="1" applyFill="1" applyAlignment="1"/>
    <xf numFmtId="181" fontId="63" fillId="0" borderId="0" xfId="1776" applyNumberFormat="1" applyFont="1" applyFill="1" applyAlignment="1">
      <alignment horizontal="left"/>
    </xf>
    <xf numFmtId="180" fontId="68" fillId="0" borderId="0" xfId="1776" applyNumberFormat="1" applyFont="1" applyFill="1" applyAlignment="1">
      <alignment horizontal="right"/>
    </xf>
    <xf numFmtId="166" fontId="61" fillId="0" borderId="0" xfId="2" applyNumberFormat="1" applyFont="1" applyFill="1" applyAlignment="1" applyProtection="1"/>
    <xf numFmtId="164" fontId="191" fillId="0" borderId="0" xfId="0" applyFont="1" applyFill="1"/>
    <xf numFmtId="0" fontId="39" fillId="0" borderId="0" xfId="1028" quotePrefix="1" applyNumberFormat="1" applyFont="1" applyBorder="1" applyAlignment="1" applyProtection="1">
      <alignment horizontal="left"/>
    </xf>
    <xf numFmtId="194" fontId="39" fillId="0" borderId="0" xfId="2" quotePrefix="1" applyNumberFormat="1" applyFont="1" applyFill="1" applyAlignment="1">
      <alignment horizontal="center"/>
    </xf>
    <xf numFmtId="0" fontId="0" fillId="0" borderId="0" xfId="2" applyFont="1" applyFill="1" applyBorder="1" applyAlignment="1"/>
    <xf numFmtId="37" fontId="41" fillId="0" borderId="0" xfId="0" quotePrefix="1" applyNumberFormat="1" applyFont="1" applyFill="1" applyAlignment="1" applyProtection="1">
      <alignment horizontal="left"/>
    </xf>
    <xf numFmtId="165" fontId="41" fillId="0" borderId="0" xfId="2" applyNumberFormat="1" applyFont="1" applyFill="1" applyProtection="1"/>
    <xf numFmtId="0" fontId="68" fillId="0" borderId="0" xfId="2" applyNumberFormat="1" applyFont="1" applyFill="1" applyAlignment="1" applyProtection="1"/>
    <xf numFmtId="0" fontId="41" fillId="0" borderId="0" xfId="2" applyFont="1" applyFill="1" applyBorder="1" applyAlignment="1" applyProtection="1"/>
    <xf numFmtId="0" fontId="68" fillId="0" borderId="0" xfId="2" applyNumberFormat="1" applyFont="1" applyFill="1" applyAlignment="1" applyProtection="1">
      <alignment horizontal="right"/>
    </xf>
    <xf numFmtId="165" fontId="39" fillId="0" borderId="0" xfId="2" applyNumberFormat="1" applyFont="1" applyFill="1" applyAlignment="1" applyProtection="1"/>
    <xf numFmtId="165" fontId="40" fillId="0" borderId="0" xfId="2" applyNumberFormat="1" applyFont="1" applyFill="1" applyAlignment="1" applyProtection="1">
      <alignment horizontal="right"/>
    </xf>
    <xf numFmtId="43" fontId="0" fillId="0" borderId="0" xfId="0" applyNumberFormat="1" applyFill="1" applyAlignment="1" applyProtection="1">
      <alignment horizontal="right"/>
    </xf>
    <xf numFmtId="0" fontId="39" fillId="0" borderId="0" xfId="17" applyNumberFormat="1" applyFont="1" applyFill="1" applyBorder="1" applyAlignment="1" applyProtection="1">
      <protection locked="0"/>
    </xf>
    <xf numFmtId="0" fontId="67" fillId="0" borderId="0" xfId="1776" applyNumberFormat="1" applyFont="1" applyFill="1" applyAlignment="1" applyProtection="1"/>
    <xf numFmtId="165" fontId="44" fillId="0" borderId="0" xfId="0" applyNumberFormat="1" applyFont="1" applyFill="1" applyAlignment="1" applyProtection="1">
      <alignment horizontal="centerContinuous"/>
    </xf>
    <xf numFmtId="165" fontId="46" fillId="0" borderId="0" xfId="0" applyNumberFormat="1" applyFont="1" applyFill="1" applyAlignment="1" applyProtection="1">
      <alignment horizontal="centerContinuous"/>
    </xf>
    <xf numFmtId="165" fontId="46" fillId="0" borderId="0" xfId="0" applyNumberFormat="1" applyFont="1" applyFill="1" applyAlignment="1" applyProtection="1">
      <alignment horizontal="right"/>
    </xf>
    <xf numFmtId="165" fontId="46" fillId="0" borderId="0" xfId="0" applyNumberFormat="1" applyFont="1" applyFill="1" applyBorder="1" applyAlignment="1" applyProtection="1">
      <alignment horizontal="centerContinuous"/>
    </xf>
    <xf numFmtId="0" fontId="46" fillId="0" borderId="0" xfId="0" quotePrefix="1" applyNumberFormat="1" applyFont="1" applyFill="1" applyBorder="1" applyAlignment="1" applyProtection="1">
      <alignment horizontal="center"/>
    </xf>
    <xf numFmtId="165" fontId="39" fillId="0" borderId="0" xfId="0" applyNumberFormat="1" applyFont="1" applyFill="1" applyBorder="1" applyAlignment="1" applyProtection="1"/>
    <xf numFmtId="166" fontId="61" fillId="0" borderId="0" xfId="2" applyNumberFormat="1" applyFont="1" applyFill="1" applyAlignment="1"/>
    <xf numFmtId="166" fontId="60" fillId="0" borderId="0" xfId="2" applyNumberFormat="1" applyFont="1" applyFill="1" applyAlignment="1"/>
    <xf numFmtId="166" fontId="60" fillId="0" borderId="0" xfId="2" applyNumberFormat="1" applyFont="1" applyFill="1" applyBorder="1" applyAlignment="1"/>
    <xf numFmtId="171" fontId="60" fillId="0" borderId="0" xfId="2" quotePrefix="1" applyNumberFormat="1" applyFont="1" applyFill="1" applyAlignment="1">
      <alignment horizontal="center"/>
    </xf>
    <xf numFmtId="166" fontId="61" fillId="0" borderId="20" xfId="2" applyNumberFormat="1" applyFont="1" applyFill="1" applyBorder="1" applyAlignment="1"/>
    <xf numFmtId="170" fontId="60" fillId="0" borderId="16" xfId="2" applyNumberFormat="1" applyFont="1" applyFill="1" applyBorder="1" applyAlignment="1"/>
    <xf numFmtId="170" fontId="46" fillId="0" borderId="40" xfId="0" applyNumberFormat="1" applyFont="1" applyFill="1" applyBorder="1" applyAlignment="1"/>
    <xf numFmtId="166" fontId="61" fillId="0" borderId="0" xfId="2" applyNumberFormat="1" applyFont="1" applyFill="1" applyBorder="1" applyAlignment="1"/>
    <xf numFmtId="170" fontId="60" fillId="0" borderId="0" xfId="2" applyNumberFormat="1" applyFont="1" applyFill="1" applyAlignment="1"/>
    <xf numFmtId="170" fontId="60" fillId="0" borderId="0" xfId="2" applyNumberFormat="1" applyFont="1" applyFill="1" applyBorder="1" applyAlignment="1"/>
    <xf numFmtId="170" fontId="61" fillId="0" borderId="10" xfId="2" applyNumberFormat="1" applyFont="1" applyFill="1" applyBorder="1" applyAlignment="1"/>
    <xf numFmtId="170" fontId="65" fillId="0" borderId="0" xfId="2" applyNumberFormat="1" applyFont="1" applyFill="1" applyBorder="1" applyAlignment="1"/>
    <xf numFmtId="170" fontId="61" fillId="0" borderId="13" xfId="2" applyNumberFormat="1" applyFont="1" applyFill="1" applyBorder="1" applyAlignment="1"/>
    <xf numFmtId="170" fontId="61" fillId="0" borderId="24" xfId="2" applyNumberFormat="1" applyFont="1" applyFill="1" applyBorder="1" applyAlignment="1"/>
    <xf numFmtId="170" fontId="60" fillId="0" borderId="24" xfId="2" applyNumberFormat="1" applyFont="1" applyFill="1" applyBorder="1" applyAlignment="1"/>
    <xf numFmtId="170" fontId="66" fillId="0" borderId="0" xfId="2" applyNumberFormat="1" applyFont="1" applyFill="1" applyAlignment="1"/>
    <xf numFmtId="170" fontId="60" fillId="0" borderId="0" xfId="2" applyNumberFormat="1" applyFont="1" applyFill="1" applyAlignment="1">
      <alignment horizontal="right"/>
    </xf>
    <xf numFmtId="174" fontId="60" fillId="0" borderId="17" xfId="2" applyNumberFormat="1" applyFont="1" applyFill="1" applyBorder="1" applyAlignment="1"/>
    <xf numFmtId="174" fontId="66" fillId="0" borderId="0" xfId="2" applyNumberFormat="1" applyFont="1" applyFill="1" applyAlignment="1"/>
    <xf numFmtId="166" fontId="60" fillId="0" borderId="0" xfId="2" applyNumberFormat="1" applyFont="1" applyFill="1" applyBorder="1" applyAlignment="1" applyProtection="1"/>
    <xf numFmtId="170" fontId="61" fillId="0" borderId="0" xfId="2" applyNumberFormat="1" applyFont="1" applyFill="1" applyAlignment="1" applyProtection="1"/>
    <xf numFmtId="170" fontId="60" fillId="0" borderId="0" xfId="2" applyNumberFormat="1" applyFont="1" applyFill="1" applyBorder="1" applyAlignment="1" applyProtection="1"/>
    <xf numFmtId="170" fontId="61" fillId="0" borderId="0" xfId="2" applyNumberFormat="1" applyFont="1" applyFill="1" applyBorder="1" applyAlignment="1" applyProtection="1"/>
    <xf numFmtId="170" fontId="61" fillId="0" borderId="66" xfId="2" applyNumberFormat="1" applyFont="1" applyFill="1" applyBorder="1" applyAlignment="1" applyProtection="1"/>
    <xf numFmtId="170" fontId="60" fillId="0" borderId="66" xfId="2" applyNumberFormat="1" applyFont="1" applyFill="1" applyBorder="1" applyAlignment="1" applyProtection="1">
      <alignment horizontal="right"/>
    </xf>
    <xf numFmtId="174" fontId="60" fillId="0" borderId="17" xfId="2" applyNumberFormat="1" applyFont="1" applyFill="1" applyBorder="1" applyAlignment="1" applyProtection="1"/>
    <xf numFmtId="165" fontId="68" fillId="0" borderId="0" xfId="2" applyNumberFormat="1" applyFont="1" applyFill="1" applyAlignment="1" applyProtection="1">
      <alignment horizontal="right"/>
    </xf>
    <xf numFmtId="165" fontId="45" fillId="0" borderId="0" xfId="2" applyNumberFormat="1" applyFont="1" applyFill="1" applyAlignment="1" applyProtection="1">
      <alignment horizontal="right"/>
    </xf>
    <xf numFmtId="1" fontId="46" fillId="0" borderId="10" xfId="2" quotePrefix="1" applyNumberFormat="1" applyFont="1" applyFill="1" applyBorder="1" applyAlignment="1" applyProtection="1">
      <alignment horizontal="center"/>
    </xf>
    <xf numFmtId="169" fontId="46" fillId="0" borderId="21" xfId="2" applyNumberFormat="1" applyFont="1" applyFill="1" applyBorder="1" applyAlignment="1" applyProtection="1"/>
    <xf numFmtId="0" fontId="41" fillId="0" borderId="21" xfId="2" applyNumberFormat="1" applyFont="1" applyFill="1" applyBorder="1" applyAlignment="1" applyProtection="1"/>
    <xf numFmtId="170" fontId="46" fillId="0" borderId="107" xfId="2" applyNumberFormat="1" applyFont="1" applyFill="1" applyBorder="1" applyAlignment="1" applyProtection="1"/>
    <xf numFmtId="0" fontId="39" fillId="0" borderId="21" xfId="2" applyNumberFormat="1" applyFont="1" applyFill="1" applyBorder="1" applyAlignment="1" applyProtection="1"/>
    <xf numFmtId="170" fontId="46" fillId="0" borderId="10" xfId="1046" applyNumberFormat="1" applyFont="1" applyFill="1" applyBorder="1" applyProtection="1"/>
    <xf numFmtId="170" fontId="67" fillId="0" borderId="0" xfId="2" applyNumberFormat="1" applyFont="1" applyFill="1" applyBorder="1" applyProtection="1"/>
    <xf numFmtId="170" fontId="46" fillId="0" borderId="18" xfId="2" applyNumberFormat="1" applyFont="1" applyFill="1" applyBorder="1" applyAlignment="1" applyProtection="1"/>
    <xf numFmtId="170" fontId="39" fillId="0" borderId="102"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0" fontId="44" fillId="0" borderId="0" xfId="2" applyNumberFormat="1" applyFont="1" applyFill="1" applyAlignment="1"/>
    <xf numFmtId="165" fontId="46" fillId="0" borderId="0" xfId="2" applyNumberFormat="1" applyFont="1" applyFill="1" applyBorder="1" applyAlignment="1"/>
    <xf numFmtId="0" fontId="46" fillId="0" borderId="66" xfId="2" quotePrefix="1" applyNumberFormat="1" applyFont="1" applyFill="1" applyBorder="1" applyAlignment="1">
      <alignment horizontal="center"/>
    </xf>
    <xf numFmtId="0" fontId="46" fillId="0" borderId="0" xfId="2" quotePrefix="1" applyNumberFormat="1" applyFont="1" applyFill="1" applyBorder="1" applyAlignment="1">
      <alignment horizontal="center"/>
    </xf>
    <xf numFmtId="174" fontId="46"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6" fillId="0" borderId="96" xfId="2" applyNumberFormat="1" applyFont="1" applyFill="1" applyBorder="1" applyAlignment="1"/>
    <xf numFmtId="0" fontId="46" fillId="0" borderId="28" xfId="2" applyNumberFormat="1" applyFont="1" applyFill="1" applyBorder="1" applyAlignment="1">
      <alignment horizontal="center"/>
    </xf>
    <xf numFmtId="165" fontId="41" fillId="0" borderId="28" xfId="2" applyNumberFormat="1" applyFont="1" applyFill="1" applyBorder="1" applyAlignment="1"/>
    <xf numFmtId="165" fontId="41" fillId="0" borderId="18" xfId="2" applyNumberFormat="1" applyFont="1" applyFill="1" applyBorder="1" applyAlignment="1"/>
    <xf numFmtId="174" fontId="39" fillId="0" borderId="28" xfId="2" applyNumberFormat="1" applyFont="1" applyFill="1" applyBorder="1" applyAlignment="1" applyProtection="1">
      <alignment horizontal="right"/>
    </xf>
    <xf numFmtId="174" fontId="39" fillId="0" borderId="18" xfId="2" applyNumberFormat="1" applyFont="1" applyFill="1" applyBorder="1" applyAlignment="1" applyProtection="1">
      <alignment horizontal="right"/>
    </xf>
    <xf numFmtId="170" fontId="41" fillId="0" borderId="28" xfId="2" applyNumberFormat="1" applyFont="1" applyFill="1" applyBorder="1" applyAlignment="1" applyProtection="1"/>
    <xf numFmtId="170" fontId="39" fillId="0" borderId="28" xfId="2" applyNumberFormat="1" applyFont="1" applyFill="1" applyBorder="1" applyAlignment="1" applyProtection="1">
      <alignment horizontal="right"/>
    </xf>
    <xf numFmtId="170" fontId="46" fillId="0" borderId="28" xfId="2" applyNumberFormat="1" applyFont="1" applyFill="1" applyBorder="1" applyAlignment="1" applyProtection="1"/>
    <xf numFmtId="170" fontId="39" fillId="0" borderId="18" xfId="2" applyNumberFormat="1" applyFont="1" applyFill="1" applyBorder="1" applyAlignment="1" applyProtection="1">
      <alignment horizontal="right"/>
    </xf>
    <xf numFmtId="170" fontId="46" fillId="0" borderId="18" xfId="2" applyNumberFormat="1" applyFont="1" applyFill="1" applyBorder="1" applyAlignment="1"/>
    <xf numFmtId="166" fontId="41" fillId="0" borderId="28" xfId="2" applyNumberFormat="1" applyFont="1" applyFill="1" applyBorder="1" applyAlignment="1"/>
    <xf numFmtId="165" fontId="41" fillId="0" borderId="20" xfId="2" applyNumberFormat="1" applyFont="1" applyFill="1" applyBorder="1" applyAlignment="1"/>
    <xf numFmtId="166" fontId="41" fillId="0" borderId="0" xfId="2" applyNumberFormat="1" applyFont="1" applyFill="1" applyAlignment="1">
      <alignment horizontal="center"/>
    </xf>
    <xf numFmtId="170" fontId="41" fillId="0" borderId="71" xfId="2" applyNumberFormat="1" applyFont="1" applyFill="1" applyBorder="1" applyAlignment="1" applyProtection="1"/>
    <xf numFmtId="170" fontId="41" fillId="0" borderId="12" xfId="2" applyNumberFormat="1" applyFont="1" applyFill="1" applyBorder="1" applyAlignment="1" applyProtection="1"/>
    <xf numFmtId="166" fontId="41" fillId="0" borderId="18" xfId="2" applyNumberFormat="1" applyFont="1" applyFill="1" applyBorder="1" applyAlignment="1"/>
    <xf numFmtId="166" fontId="41" fillId="0" borderId="18" xfId="2" applyNumberFormat="1" applyFont="1" applyFill="1" applyBorder="1" applyAlignment="1" applyProtection="1"/>
    <xf numFmtId="170" fontId="0" fillId="0" borderId="28" xfId="2" applyNumberFormat="1" applyFont="1" applyFill="1" applyBorder="1" applyAlignment="1" applyProtection="1"/>
    <xf numFmtId="165" fontId="92" fillId="0" borderId="0" xfId="2" applyNumberFormat="1" applyFont="1" applyFill="1" applyAlignment="1" applyProtection="1">
      <alignment horizontal="centerContinuous"/>
    </xf>
    <xf numFmtId="166" fontId="41" fillId="0" borderId="13" xfId="2" applyNumberFormat="1" applyFont="1" applyFill="1" applyBorder="1" applyAlignment="1" applyProtection="1"/>
    <xf numFmtId="166" fontId="41" fillId="0" borderId="75" xfId="2" applyNumberFormat="1" applyFont="1" applyFill="1" applyBorder="1" applyAlignment="1" applyProtection="1"/>
    <xf numFmtId="170" fontId="0" fillId="0" borderId="0" xfId="2" applyNumberFormat="1" applyFont="1" applyFill="1" applyProtection="1"/>
    <xf numFmtId="170" fontId="41" fillId="0" borderId="13" xfId="2" applyNumberFormat="1" applyFont="1" applyFill="1" applyBorder="1" applyAlignment="1" applyProtection="1"/>
    <xf numFmtId="170" fontId="39" fillId="0" borderId="13" xfId="1" applyNumberFormat="1" applyFont="1" applyFill="1" applyBorder="1" applyAlignment="1" applyProtection="1"/>
    <xf numFmtId="170" fontId="39" fillId="0" borderId="0" xfId="1" applyNumberFormat="1" applyFont="1" applyFill="1" applyBorder="1" applyAlignment="1" applyProtection="1"/>
    <xf numFmtId="170" fontId="41" fillId="0" borderId="75" xfId="2" applyNumberFormat="1" applyFont="1" applyFill="1" applyBorder="1" applyAlignment="1" applyProtection="1"/>
    <xf numFmtId="170" fontId="41" fillId="0" borderId="13" xfId="2" applyNumberFormat="1" applyFont="1" applyFill="1" applyBorder="1" applyAlignment="1" applyProtection="1">
      <alignment horizontal="center"/>
    </xf>
    <xf numFmtId="170" fontId="41" fillId="0" borderId="0" xfId="2" applyNumberFormat="1" applyFont="1" applyFill="1" applyBorder="1" applyAlignment="1" applyProtection="1">
      <alignment horizontal="center"/>
    </xf>
    <xf numFmtId="170" fontId="41" fillId="0" borderId="75" xfId="2" applyNumberFormat="1" applyFont="1" applyFill="1" applyBorder="1" applyAlignment="1" applyProtection="1">
      <alignment horizontal="center"/>
    </xf>
    <xf numFmtId="170" fontId="46" fillId="0" borderId="75" xfId="2" applyNumberFormat="1" applyFont="1" applyFill="1" applyBorder="1" applyAlignment="1" applyProtection="1">
      <alignment horizontal="center"/>
    </xf>
    <xf numFmtId="170" fontId="46" fillId="0" borderId="0" xfId="2" applyNumberFormat="1" applyFont="1" applyFill="1" applyBorder="1" applyAlignment="1" applyProtection="1">
      <alignment horizontal="center"/>
    </xf>
    <xf numFmtId="170" fontId="41" fillId="0" borderId="83" xfId="2" applyNumberFormat="1" applyFont="1" applyFill="1" applyBorder="1" applyAlignment="1" applyProtection="1"/>
    <xf numFmtId="170" fontId="39" fillId="0" borderId="83" xfId="2" applyNumberFormat="1" applyFont="1" applyFill="1" applyBorder="1" applyAlignment="1" applyProtection="1"/>
    <xf numFmtId="170" fontId="41" fillId="0" borderId="93" xfId="2" applyNumberFormat="1" applyFont="1" applyFill="1" applyBorder="1" applyAlignment="1" applyProtection="1"/>
    <xf numFmtId="170" fontId="46" fillId="0" borderId="13" xfId="2" applyNumberFormat="1" applyFont="1" applyFill="1" applyBorder="1" applyAlignment="1" applyProtection="1"/>
    <xf numFmtId="170" fontId="46" fillId="0" borderId="75" xfId="2" applyNumberFormat="1" applyFont="1" applyFill="1" applyBorder="1" applyAlignment="1" applyProtection="1"/>
    <xf numFmtId="170" fontId="39" fillId="0" borderId="66" xfId="2" applyNumberFormat="1" applyFont="1" applyFill="1" applyBorder="1" applyAlignment="1" applyProtection="1"/>
    <xf numFmtId="170" fontId="46" fillId="0" borderId="13" xfId="6" applyNumberFormat="1" applyFont="1" applyFill="1" applyBorder="1" applyAlignment="1" applyProtection="1"/>
    <xf numFmtId="165" fontId="92" fillId="0" borderId="0" xfId="2" applyNumberFormat="1" applyFont="1" applyFill="1" applyAlignment="1">
      <alignment horizontal="centerContinuous"/>
    </xf>
    <xf numFmtId="194" fontId="41" fillId="0" borderId="0" xfId="2" applyNumberFormat="1" applyFont="1" applyFill="1" applyAlignment="1">
      <alignment horizontal="right"/>
    </xf>
    <xf numFmtId="170" fontId="39" fillId="0" borderId="75" xfId="2" applyNumberFormat="1" applyFont="1" applyFill="1" applyBorder="1" applyAlignment="1"/>
    <xf numFmtId="170" fontId="39" fillId="0" borderId="66" xfId="2" quotePrefix="1" applyNumberFormat="1" applyFont="1" applyFill="1" applyBorder="1" applyAlignment="1"/>
    <xf numFmtId="170" fontId="166" fillId="0" borderId="96" xfId="2" applyNumberFormat="1" applyFont="1" applyFill="1" applyBorder="1" applyAlignment="1"/>
    <xf numFmtId="174" fontId="166" fillId="0" borderId="0" xfId="2" applyNumberFormat="1" applyFont="1" applyFill="1" applyBorder="1" applyAlignment="1"/>
    <xf numFmtId="170" fontId="0" fillId="0" borderId="0" xfId="2" applyNumberFormat="1" applyFont="1" applyFill="1"/>
    <xf numFmtId="170" fontId="166" fillId="0" borderId="18" xfId="2" applyNumberFormat="1" applyFont="1" applyFill="1" applyBorder="1" applyAlignment="1"/>
    <xf numFmtId="174" fontId="166" fillId="0" borderId="18" xfId="2" applyNumberFormat="1" applyFont="1" applyFill="1" applyBorder="1" applyAlignment="1"/>
    <xf numFmtId="166" fontId="81" fillId="0" borderId="0" xfId="2" applyNumberFormat="1" applyFont="1" applyFill="1" applyBorder="1" applyAlignment="1"/>
    <xf numFmtId="0" fontId="81" fillId="0" borderId="0" xfId="2" quotePrefix="1" applyNumberFormat="1" applyFont="1" applyFill="1" applyAlignment="1">
      <alignment horizontal="center"/>
    </xf>
    <xf numFmtId="166" fontId="78" fillId="0" borderId="20" xfId="2" applyNumberFormat="1" applyFont="1" applyFill="1" applyBorder="1" applyAlignment="1"/>
    <xf numFmtId="174" fontId="81" fillId="0" borderId="0" xfId="2" applyNumberFormat="1" applyFont="1" applyFill="1" applyAlignment="1"/>
    <xf numFmtId="170" fontId="78" fillId="0" borderId="20" xfId="2" applyNumberFormat="1" applyFont="1" applyFill="1" applyBorder="1" applyAlignment="1"/>
    <xf numFmtId="170" fontId="81" fillId="0" borderId="0" xfId="2" applyNumberFormat="1" applyFont="1" applyFill="1" applyAlignment="1">
      <alignment horizontal="right"/>
    </xf>
    <xf numFmtId="170" fontId="81" fillId="0" borderId="13" xfId="2" applyNumberFormat="1" applyFont="1" applyFill="1" applyBorder="1" applyAlignment="1"/>
    <xf numFmtId="170" fontId="78" fillId="0" borderId="24" xfId="2" applyNumberFormat="1" applyFont="1" applyFill="1" applyBorder="1" applyAlignment="1"/>
    <xf numFmtId="170" fontId="68" fillId="0" borderId="66" xfId="2" applyNumberFormat="1" applyFont="1" applyFill="1" applyBorder="1" applyAlignment="1"/>
    <xf numFmtId="166" fontId="81" fillId="0" borderId="20" xfId="2" applyNumberFormat="1" applyFont="1" applyFill="1" applyBorder="1" applyAlignment="1"/>
    <xf numFmtId="166" fontId="80" fillId="0" borderId="36" xfId="2" applyNumberFormat="1" applyFont="1" applyFill="1" applyBorder="1" applyAlignment="1"/>
    <xf numFmtId="166" fontId="80" fillId="0" borderId="0" xfId="2" applyNumberFormat="1" applyFont="1" applyFill="1" applyAlignment="1"/>
    <xf numFmtId="0" fontId="170" fillId="0" borderId="0" xfId="2" applyNumberFormat="1" applyFont="1" applyFill="1" applyAlignment="1"/>
    <xf numFmtId="0" fontId="54" fillId="0" borderId="0" xfId="2" applyNumberFormat="1" applyFont="1" applyFill="1" applyAlignment="1">
      <alignment horizontal="right"/>
    </xf>
    <xf numFmtId="165" fontId="170" fillId="0" borderId="0" xfId="2" applyNumberFormat="1" applyFont="1" applyFill="1" applyAlignment="1"/>
    <xf numFmtId="166" fontId="170" fillId="0" borderId="0" xfId="2" applyNumberFormat="1" applyFont="1" applyFill="1" applyAlignment="1"/>
    <xf numFmtId="0" fontId="68" fillId="0" borderId="0" xfId="2" quotePrefix="1" applyNumberFormat="1" applyFont="1" applyFill="1" applyBorder="1" applyAlignment="1">
      <alignment horizontal="left"/>
    </xf>
    <xf numFmtId="0" fontId="169" fillId="0" borderId="0" xfId="2" applyNumberFormat="1" applyFont="1" applyFill="1" applyBorder="1" applyAlignment="1"/>
    <xf numFmtId="174" fontId="68" fillId="0" borderId="0" xfId="2" quotePrefix="1" applyNumberFormat="1" applyFont="1" applyFill="1" applyBorder="1" applyAlignment="1">
      <alignment horizontal="right"/>
    </xf>
    <xf numFmtId="169" fontId="169" fillId="0" borderId="0" xfId="2" applyNumberFormat="1" applyFont="1" applyFill="1" applyBorder="1" applyAlignment="1" applyProtection="1">
      <alignment horizontal="right"/>
      <protection locked="0"/>
    </xf>
    <xf numFmtId="165" fontId="169" fillId="0" borderId="0" xfId="2" applyNumberFormat="1" applyFont="1" applyFill="1" applyAlignment="1">
      <alignment horizontal="center"/>
    </xf>
    <xf numFmtId="0" fontId="63" fillId="0" borderId="0" xfId="2" applyFont="1" applyFill="1" applyAlignment="1"/>
    <xf numFmtId="0" fontId="170" fillId="0" borderId="0" xfId="2" applyFont="1" applyFill="1" applyBorder="1" applyAlignment="1" applyProtection="1">
      <protection locked="0"/>
    </xf>
    <xf numFmtId="165" fontId="169" fillId="0" borderId="10" xfId="2" applyNumberFormat="1" applyFont="1" applyFill="1" applyBorder="1" applyAlignment="1">
      <alignment horizontal="center"/>
    </xf>
    <xf numFmtId="174" fontId="81" fillId="0" borderId="21" xfId="2" applyNumberFormat="1" applyFont="1" applyFill="1" applyBorder="1" applyAlignment="1"/>
    <xf numFmtId="166" fontId="78" fillId="0" borderId="21" xfId="2" applyNumberFormat="1" applyFont="1" applyFill="1" applyBorder="1" applyAlignment="1"/>
    <xf numFmtId="0" fontId="170" fillId="0" borderId="0" xfId="2" applyFont="1" applyFill="1" applyBorder="1" applyAlignment="1"/>
    <xf numFmtId="170" fontId="170" fillId="0" borderId="0" xfId="1" applyNumberFormat="1" applyFont="1" applyFill="1" applyAlignment="1">
      <alignment horizontal="center"/>
    </xf>
    <xf numFmtId="170" fontId="170" fillId="0" borderId="66" xfId="1" applyNumberFormat="1" applyFont="1" applyFill="1" applyBorder="1" applyAlignment="1">
      <alignment horizontal="center"/>
    </xf>
    <xf numFmtId="170" fontId="81" fillId="0" borderId="0" xfId="2" applyNumberFormat="1" applyFont="1" applyFill="1" applyAlignment="1"/>
    <xf numFmtId="170" fontId="169" fillId="0" borderId="66" xfId="2" applyNumberFormat="1" applyFont="1" applyFill="1" applyBorder="1" applyAlignment="1"/>
    <xf numFmtId="170" fontId="63" fillId="0" borderId="66" xfId="2" applyNumberFormat="1" applyFont="1" applyFill="1" applyBorder="1" applyAlignment="1"/>
    <xf numFmtId="166" fontId="81" fillId="0" borderId="21" xfId="2" applyNumberFormat="1" applyFont="1" applyFill="1" applyBorder="1" applyAlignment="1"/>
    <xf numFmtId="174" fontId="169" fillId="0" borderId="17" xfId="2" applyNumberFormat="1" applyFont="1" applyFill="1" applyBorder="1" applyAlignment="1"/>
    <xf numFmtId="165" fontId="80" fillId="0" borderId="0" xfId="2" applyNumberFormat="1" applyFont="1" applyFill="1" applyAlignment="1"/>
    <xf numFmtId="0" fontId="40" fillId="0" borderId="0" xfId="2" applyNumberFormat="1" applyFont="1" applyFill="1" applyAlignment="1">
      <alignment horizontal="right"/>
    </xf>
    <xf numFmtId="165" fontId="77" fillId="0" borderId="0" xfId="2" applyNumberFormat="1" applyFont="1" applyFill="1" applyAlignment="1"/>
    <xf numFmtId="165" fontId="68" fillId="0" borderId="0" xfId="2" applyNumberFormat="1" applyFont="1" applyFill="1" applyAlignment="1"/>
    <xf numFmtId="0" fontId="68" fillId="0" borderId="0" xfId="2" applyNumberFormat="1" applyFont="1" applyFill="1" applyBorder="1" applyAlignment="1"/>
    <xf numFmtId="0" fontId="68" fillId="0" borderId="0" xfId="2" quotePrefix="1" applyNumberFormat="1" applyFont="1" applyFill="1" applyAlignment="1">
      <alignment horizontal="center"/>
    </xf>
    <xf numFmtId="0" fontId="68" fillId="0" borderId="0" xfId="2" applyNumberFormat="1" applyFont="1" applyFill="1" applyAlignment="1">
      <alignment horizontal="center"/>
    </xf>
    <xf numFmtId="165" fontId="63" fillId="0" borderId="20" xfId="2" applyNumberFormat="1" applyFont="1" applyFill="1" applyBorder="1" applyAlignment="1"/>
    <xf numFmtId="165" fontId="63" fillId="0" borderId="0" xfId="2" applyNumberFormat="1" applyFont="1" applyFill="1" applyAlignment="1"/>
    <xf numFmtId="174" fontId="68" fillId="0" borderId="21" xfId="2" applyNumberFormat="1" applyFont="1" applyFill="1" applyBorder="1" applyAlignment="1"/>
    <xf numFmtId="174" fontId="68" fillId="0" borderId="13" xfId="2" applyNumberFormat="1" applyFont="1" applyFill="1" applyBorder="1" applyAlignment="1"/>
    <xf numFmtId="0" fontId="63" fillId="0" borderId="21" xfId="2" applyFont="1" applyFill="1" applyBorder="1" applyAlignment="1"/>
    <xf numFmtId="0" fontId="63" fillId="0" borderId="13" xfId="2" applyFont="1" applyFill="1" applyBorder="1" applyAlignment="1"/>
    <xf numFmtId="0" fontId="63" fillId="0" borderId="0" xfId="2" applyFont="1" applyFill="1" applyBorder="1" applyAlignment="1"/>
    <xf numFmtId="170" fontId="63" fillId="0" borderId="66" xfId="2" quotePrefix="1" applyNumberFormat="1" applyFont="1" applyFill="1" applyBorder="1" applyAlignment="1"/>
    <xf numFmtId="170" fontId="63" fillId="0" borderId="13" xfId="2" applyNumberFormat="1" applyFont="1" applyFill="1" applyBorder="1" applyAlignment="1"/>
    <xf numFmtId="170" fontId="68" fillId="0" borderId="13" xfId="2" applyNumberFormat="1" applyFont="1" applyFill="1" applyBorder="1" applyAlignment="1"/>
    <xf numFmtId="170" fontId="68" fillId="0" borderId="0" xfId="2" applyNumberFormat="1" applyFont="1" applyFill="1" applyBorder="1" applyAlignment="1"/>
    <xf numFmtId="170" fontId="63" fillId="0" borderId="20" xfId="2" applyNumberFormat="1" applyFont="1" applyFill="1" applyBorder="1" applyAlignment="1">
      <alignment horizontal="center"/>
    </xf>
    <xf numFmtId="0" fontId="63" fillId="0" borderId="20" xfId="2" applyFont="1" applyFill="1" applyBorder="1" applyAlignment="1"/>
    <xf numFmtId="0" fontId="63" fillId="0" borderId="36" xfId="2" applyFont="1" applyFill="1" applyBorder="1" applyAlignment="1"/>
    <xf numFmtId="0" fontId="68" fillId="0" borderId="0" xfId="2" applyNumberFormat="1" applyFont="1" applyFill="1" applyBorder="1" applyAlignment="1">
      <alignment horizontal="center"/>
    </xf>
    <xf numFmtId="0" fontId="169" fillId="0" borderId="0" xfId="2" applyNumberFormat="1" applyFont="1" applyFill="1" applyBorder="1" applyAlignment="1">
      <alignment horizontal="center"/>
    </xf>
    <xf numFmtId="0" fontId="170" fillId="0" borderId="15" xfId="2" applyFont="1" applyFill="1" applyBorder="1" applyAlignment="1" applyProtection="1">
      <protection locked="0"/>
    </xf>
    <xf numFmtId="0" fontId="68" fillId="0" borderId="0" xfId="2" applyNumberFormat="1" applyFont="1" applyFill="1" applyAlignment="1">
      <alignment horizontal="right"/>
    </xf>
    <xf numFmtId="174" fontId="68" fillId="0" borderId="0" xfId="2" applyNumberFormat="1" applyFont="1" applyFill="1" applyBorder="1" applyAlignment="1" applyProtection="1">
      <protection locked="0"/>
    </xf>
    <xf numFmtId="0" fontId="63" fillId="0" borderId="24" xfId="2" applyFont="1" applyFill="1" applyBorder="1" applyAlignment="1" applyProtection="1">
      <protection locked="0"/>
    </xf>
    <xf numFmtId="0" fontId="63" fillId="0" borderId="0" xfId="2" applyFont="1" applyFill="1" applyAlignment="1" applyProtection="1">
      <protection locked="0"/>
    </xf>
    <xf numFmtId="170" fontId="68" fillId="0" borderId="24" xfId="2" applyNumberFormat="1" applyFont="1" applyFill="1" applyBorder="1" applyAlignment="1" applyProtection="1">
      <protection locked="0"/>
    </xf>
    <xf numFmtId="170" fontId="68" fillId="0" borderId="21" xfId="2" applyNumberFormat="1" applyFont="1" applyFill="1" applyBorder="1" applyAlignment="1" applyProtection="1">
      <protection locked="0"/>
    </xf>
    <xf numFmtId="170" fontId="68" fillId="0" borderId="10" xfId="2" quotePrefix="1" applyNumberFormat="1" applyFont="1" applyFill="1" applyBorder="1" applyAlignment="1">
      <alignment horizontal="right"/>
    </xf>
    <xf numFmtId="170" fontId="68" fillId="0" borderId="20" xfId="2" quotePrefix="1" applyNumberFormat="1" applyFont="1" applyFill="1" applyBorder="1" applyAlignment="1">
      <alignment horizontal="center"/>
    </xf>
    <xf numFmtId="174" fontId="68" fillId="0" borderId="20" xfId="2" applyNumberFormat="1" applyFont="1" applyFill="1" applyBorder="1" applyAlignment="1"/>
    <xf numFmtId="166" fontId="63" fillId="0" borderId="36" xfId="2" applyNumberFormat="1" applyFont="1" applyFill="1" applyBorder="1" applyAlignment="1"/>
    <xf numFmtId="0" fontId="154" fillId="0" borderId="0" xfId="2" applyNumberFormat="1" applyFont="1" applyFill="1" applyAlignment="1"/>
    <xf numFmtId="166" fontId="63" fillId="0" borderId="0" xfId="2" applyNumberFormat="1" applyFont="1" applyFill="1" applyAlignment="1"/>
    <xf numFmtId="0" fontId="68" fillId="0" borderId="0" xfId="2" quotePrefix="1" applyNumberFormat="1" applyFont="1" applyFill="1" applyBorder="1" applyAlignment="1" applyProtection="1">
      <alignment horizontal="right"/>
      <protection locked="0"/>
    </xf>
    <xf numFmtId="0" fontId="68" fillId="0" borderId="10" xfId="2" quotePrefix="1" applyNumberFormat="1" applyFont="1" applyFill="1" applyBorder="1" applyAlignment="1">
      <alignment horizontal="center"/>
    </xf>
    <xf numFmtId="0" fontId="169" fillId="0" borderId="0" xfId="2" applyNumberFormat="1" applyFont="1" applyFill="1" applyAlignment="1">
      <alignment horizontal="center"/>
    </xf>
    <xf numFmtId="174" fontId="169" fillId="0" borderId="20" xfId="2" quotePrefix="1" applyNumberFormat="1" applyFont="1" applyFill="1" applyBorder="1" applyAlignment="1">
      <alignment horizontal="right"/>
    </xf>
    <xf numFmtId="174" fontId="169" fillId="0" borderId="24" xfId="2" applyNumberFormat="1" applyFont="1" applyFill="1" applyBorder="1" applyAlignment="1" applyProtection="1">
      <protection locked="0"/>
    </xf>
    <xf numFmtId="174" fontId="169" fillId="0" borderId="0" xfId="2" applyNumberFormat="1" applyFont="1" applyFill="1" applyBorder="1" applyAlignment="1" applyProtection="1">
      <protection locked="0"/>
    </xf>
    <xf numFmtId="0" fontId="63" fillId="0" borderId="21" xfId="2" applyFont="1" applyFill="1" applyBorder="1" applyAlignment="1" applyProtection="1">
      <protection locked="0"/>
    </xf>
    <xf numFmtId="0" fontId="170" fillId="0" borderId="0" xfId="2" applyFont="1" applyFill="1" applyAlignment="1"/>
    <xf numFmtId="0" fontId="170" fillId="0" borderId="24" xfId="2" applyFont="1" applyFill="1" applyBorder="1" applyAlignment="1" applyProtection="1">
      <protection locked="0"/>
    </xf>
    <xf numFmtId="0" fontId="170" fillId="0" borderId="0" xfId="2" applyFont="1" applyFill="1" applyAlignment="1" applyProtection="1">
      <protection locked="0"/>
    </xf>
    <xf numFmtId="170" fontId="68" fillId="0" borderId="85" xfId="2" quotePrefix="1" applyNumberFormat="1" applyFont="1" applyFill="1" applyBorder="1" applyAlignment="1">
      <alignment horizontal="right"/>
    </xf>
    <xf numFmtId="170" fontId="169" fillId="0" borderId="0" xfId="2" quotePrefix="1" applyNumberFormat="1" applyFont="1" applyFill="1" applyAlignment="1">
      <alignment horizontal="right"/>
    </xf>
    <xf numFmtId="170" fontId="63" fillId="0" borderId="20" xfId="2" applyNumberFormat="1" applyFont="1" applyFill="1" applyBorder="1" applyAlignment="1" applyProtection="1">
      <protection locked="0"/>
    </xf>
    <xf numFmtId="170" fontId="170" fillId="0" borderId="0" xfId="2" applyNumberFormat="1" applyFont="1" applyFill="1" applyAlignment="1"/>
    <xf numFmtId="170" fontId="68" fillId="0" borderId="33" xfId="2" quotePrefix="1" applyNumberFormat="1" applyFont="1" applyFill="1" applyBorder="1" applyAlignment="1">
      <alignment horizontal="center"/>
    </xf>
    <xf numFmtId="170" fontId="169" fillId="0" borderId="0" xfId="2" quotePrefix="1" applyNumberFormat="1" applyFont="1" applyFill="1" applyAlignment="1">
      <alignment horizontal="center"/>
    </xf>
    <xf numFmtId="170" fontId="169" fillId="0" borderId="0" xfId="2" quotePrefix="1" applyNumberFormat="1" applyFont="1" applyFill="1" applyBorder="1" applyAlignment="1">
      <alignment horizontal="right"/>
    </xf>
    <xf numFmtId="170" fontId="169" fillId="0" borderId="0" xfId="2" applyNumberFormat="1" applyFont="1" applyFill="1" applyBorder="1" applyAlignment="1"/>
    <xf numFmtId="166" fontId="170" fillId="0" borderId="36" xfId="2" applyNumberFormat="1" applyFont="1" applyFill="1" applyBorder="1" applyAlignment="1"/>
    <xf numFmtId="166" fontId="170" fillId="0" borderId="0" xfId="2" applyNumberFormat="1" applyFont="1" applyFill="1" applyBorder="1" applyAlignment="1"/>
    <xf numFmtId="0" fontId="96" fillId="0" borderId="0" xfId="2" applyNumberFormat="1" applyFont="1" applyFill="1" applyBorder="1" applyAlignment="1"/>
    <xf numFmtId="0" fontId="97" fillId="0" borderId="0" xfId="2" applyNumberFormat="1" applyFont="1" applyFill="1" applyBorder="1" applyAlignment="1"/>
    <xf numFmtId="0" fontId="169" fillId="0" borderId="0" xfId="2" quotePrefix="1" applyNumberFormat="1" applyFont="1" applyFill="1" applyBorder="1" applyAlignment="1">
      <alignment horizontal="left"/>
    </xf>
    <xf numFmtId="170" fontId="169" fillId="0" borderId="70" xfId="2" applyNumberFormat="1" applyFont="1" applyFill="1" applyBorder="1" applyAlignment="1"/>
    <xf numFmtId="170" fontId="169" fillId="0" borderId="0" xfId="2" quotePrefix="1" applyNumberFormat="1" applyFont="1" applyFill="1" applyBorder="1" applyAlignment="1">
      <alignment horizontal="center"/>
    </xf>
    <xf numFmtId="170" fontId="169" fillId="0" borderId="0" xfId="2" applyNumberFormat="1" applyFont="1" applyFill="1" applyAlignment="1">
      <alignment horizontal="right"/>
    </xf>
    <xf numFmtId="174" fontId="169" fillId="0" borderId="35" xfId="2" applyNumberFormat="1" applyFont="1" applyFill="1" applyBorder="1" applyAlignment="1"/>
    <xf numFmtId="0" fontId="97" fillId="0" borderId="0" xfId="2" applyFont="1" applyFill="1" applyBorder="1" applyAlignment="1"/>
    <xf numFmtId="0" fontId="96" fillId="0" borderId="0" xfId="2" applyFont="1" applyFill="1" applyBorder="1" applyAlignment="1"/>
    <xf numFmtId="166" fontId="46" fillId="0" borderId="0" xfId="2" applyNumberFormat="1" applyFont="1" applyFill="1" applyBorder="1" applyAlignment="1">
      <alignment horizontal="center"/>
    </xf>
    <xf numFmtId="166" fontId="46" fillId="0" borderId="10" xfId="2" applyNumberFormat="1" applyFont="1" applyFill="1" applyBorder="1" applyAlignment="1">
      <alignment horizontal="center"/>
    </xf>
    <xf numFmtId="170" fontId="46" fillId="0" borderId="16" xfId="2" quotePrefix="1" applyNumberFormat="1" applyFont="1" applyFill="1" applyBorder="1" applyAlignment="1"/>
    <xf numFmtId="174" fontId="46" fillId="0" borderId="35" xfId="2" quotePrefix="1" applyNumberFormat="1" applyFont="1" applyFill="1" applyBorder="1" applyAlignment="1"/>
    <xf numFmtId="166" fontId="60" fillId="0" borderId="0" xfId="2" applyNumberFormat="1" applyFont="1" applyFill="1" applyAlignment="1">
      <alignment horizontal="center"/>
    </xf>
    <xf numFmtId="166" fontId="60" fillId="0" borderId="0" xfId="2" quotePrefix="1" applyNumberFormat="1" applyFont="1" applyFill="1" applyAlignment="1">
      <alignment horizontal="center"/>
    </xf>
    <xf numFmtId="166" fontId="60" fillId="0" borderId="10" xfId="2" applyNumberFormat="1" applyFont="1" applyFill="1" applyBorder="1" applyAlignment="1">
      <alignment horizontal="center"/>
    </xf>
    <xf numFmtId="174" fontId="60" fillId="0" borderId="21" xfId="2" applyNumberFormat="1" applyFont="1" applyFill="1" applyBorder="1" applyAlignment="1"/>
    <xf numFmtId="164" fontId="46" fillId="0" borderId="0" xfId="2" applyNumberFormat="1" applyFont="1" applyFill="1" applyAlignment="1"/>
    <xf numFmtId="166" fontId="66" fillId="0" borderId="0" xfId="2" applyNumberFormat="1" applyFont="1" applyFill="1" applyAlignment="1"/>
    <xf numFmtId="166" fontId="61" fillId="0" borderId="21" xfId="2" applyNumberFormat="1" applyFont="1" applyFill="1" applyBorder="1" applyAlignment="1"/>
    <xf numFmtId="170" fontId="61" fillId="0" borderId="0" xfId="2" applyNumberFormat="1" applyFont="1" applyFill="1" applyAlignment="1">
      <alignment horizontal="right"/>
    </xf>
    <xf numFmtId="165" fontId="44" fillId="0" borderId="0" xfId="2" applyNumberFormat="1" applyFont="1" applyFill="1" applyBorder="1" applyAlignment="1"/>
    <xf numFmtId="166" fontId="61" fillId="0" borderId="0" xfId="2" applyNumberFormat="1" applyFont="1" applyFill="1" applyAlignment="1">
      <alignment horizontal="right"/>
    </xf>
    <xf numFmtId="164" fontId="46" fillId="0" borderId="0" xfId="2" applyNumberFormat="1" applyFont="1" applyFill="1" applyBorder="1" applyAlignment="1"/>
    <xf numFmtId="172" fontId="39" fillId="0" borderId="0" xfId="0" applyNumberFormat="1" applyFont="1" applyFill="1" applyBorder="1" applyAlignment="1" applyProtection="1">
      <protection locked="0"/>
    </xf>
    <xf numFmtId="164" fontId="46" fillId="0" borderId="16" xfId="0" applyNumberFormat="1" applyFont="1" applyFill="1" applyBorder="1" applyAlignment="1" applyProtection="1">
      <protection locked="0"/>
    </xf>
    <xf numFmtId="170" fontId="67" fillId="0" borderId="0" xfId="2" applyNumberFormat="1" applyFont="1" applyFill="1" applyBorder="1"/>
    <xf numFmtId="164" fontId="46" fillId="0" borderId="66" xfId="0" applyNumberFormat="1" applyFont="1" applyFill="1" applyBorder="1" applyAlignment="1" applyProtection="1">
      <protection locked="0"/>
    </xf>
    <xf numFmtId="170" fontId="61" fillId="0" borderId="21" xfId="2" applyNumberFormat="1" applyFont="1" applyFill="1" applyBorder="1" applyAlignment="1"/>
    <xf numFmtId="164" fontId="39" fillId="0" borderId="0" xfId="2" applyNumberFormat="1" applyFont="1" applyFill="1" applyAlignment="1"/>
    <xf numFmtId="170" fontId="77" fillId="0" borderId="0" xfId="2" applyNumberFormat="1" applyFont="1" applyFill="1" applyBorder="1"/>
    <xf numFmtId="170" fontId="60" fillId="0" borderId="18" xfId="2" applyNumberFormat="1" applyFont="1" applyFill="1" applyBorder="1" applyAlignment="1"/>
    <xf numFmtId="164" fontId="39" fillId="0" borderId="66" xfId="0" applyNumberFormat="1" applyFont="1" applyFill="1" applyBorder="1" applyAlignment="1" applyProtection="1">
      <protection locked="0"/>
    </xf>
    <xf numFmtId="166" fontId="61" fillId="0" borderId="19" xfId="2" applyNumberFormat="1" applyFont="1" applyFill="1" applyBorder="1" applyAlignment="1"/>
    <xf numFmtId="166" fontId="65" fillId="0" borderId="0" xfId="2" applyNumberFormat="1" applyFont="1" applyFill="1" applyBorder="1" applyAlignment="1"/>
    <xf numFmtId="170" fontId="60" fillId="0" borderId="21" xfId="2" applyNumberFormat="1" applyFont="1" applyFill="1" applyBorder="1" applyAlignment="1"/>
    <xf numFmtId="164" fontId="39" fillId="0" borderId="0" xfId="2" applyNumberFormat="1" applyFont="1" applyFill="1" applyBorder="1" applyAlignment="1"/>
    <xf numFmtId="170" fontId="60" fillId="0" borderId="10" xfId="2" applyNumberFormat="1" applyFont="1" applyFill="1" applyBorder="1" applyAlignment="1"/>
    <xf numFmtId="172" fontId="46" fillId="0" borderId="66" xfId="0" applyNumberFormat="1" applyFont="1" applyFill="1" applyBorder="1" applyAlignment="1" applyProtection="1">
      <protection locked="0"/>
    </xf>
    <xf numFmtId="166" fontId="61" fillId="0" borderId="0" xfId="2" applyNumberFormat="1" applyFont="1" applyFill="1" applyAlignment="1">
      <alignment horizontal="center"/>
    </xf>
    <xf numFmtId="170" fontId="65" fillId="0" borderId="18" xfId="2" applyNumberFormat="1" applyFont="1" applyFill="1" applyBorder="1" applyAlignment="1"/>
    <xf numFmtId="197" fontId="65" fillId="0" borderId="0" xfId="2" applyNumberFormat="1" applyFont="1" applyFill="1" applyAlignment="1"/>
    <xf numFmtId="170" fontId="66" fillId="0" borderId="18" xfId="2" applyNumberFormat="1" applyFont="1" applyFill="1" applyBorder="1" applyAlignment="1"/>
    <xf numFmtId="166" fontId="65" fillId="0" borderId="18" xfId="2" applyNumberFormat="1" applyFont="1" applyFill="1" applyBorder="1" applyAlignment="1"/>
    <xf numFmtId="174" fontId="66" fillId="0" borderId="18" xfId="2" applyNumberFormat="1" applyFont="1" applyFill="1" applyBorder="1" applyAlignment="1"/>
    <xf numFmtId="164" fontId="46" fillId="0" borderId="17" xfId="0" applyNumberFormat="1" applyFont="1" applyFill="1" applyBorder="1" applyAlignment="1" applyProtection="1">
      <protection locked="0"/>
    </xf>
    <xf numFmtId="166" fontId="60" fillId="0" borderId="0" xfId="2" applyNumberFormat="1" applyFont="1" applyFill="1" applyAlignment="1" applyProtection="1">
      <alignment horizontal="center"/>
    </xf>
    <xf numFmtId="166" fontId="60" fillId="0" borderId="0" xfId="2" quotePrefix="1" applyNumberFormat="1" applyFont="1" applyFill="1" applyAlignment="1" applyProtection="1">
      <alignment horizontal="center"/>
    </xf>
    <xf numFmtId="166" fontId="60" fillId="0" borderId="66" xfId="2" applyNumberFormat="1" applyFont="1" applyFill="1" applyBorder="1" applyAlignment="1" applyProtection="1">
      <alignment horizontal="center"/>
    </xf>
    <xf numFmtId="166" fontId="61" fillId="0" borderId="0" xfId="2" applyNumberFormat="1" applyFont="1" applyFill="1" applyBorder="1" applyAlignment="1" applyProtection="1"/>
    <xf numFmtId="174" fontId="60" fillId="0" borderId="0" xfId="2" applyNumberFormat="1" applyFont="1" applyFill="1" applyBorder="1" applyAlignment="1" applyProtection="1"/>
    <xf numFmtId="166" fontId="39" fillId="0" borderId="0" xfId="2" applyNumberFormat="1" applyFont="1" applyFill="1" applyAlignment="1" applyProtection="1"/>
    <xf numFmtId="165" fontId="45" fillId="0" borderId="0" xfId="2" applyNumberFormat="1" applyFont="1" applyFill="1" applyBorder="1" applyAlignment="1" applyProtection="1"/>
    <xf numFmtId="164" fontId="46" fillId="0" borderId="10" xfId="2" applyNumberFormat="1" applyFont="1" applyFill="1" applyBorder="1" applyAlignment="1" applyProtection="1"/>
    <xf numFmtId="170" fontId="77" fillId="0" borderId="0" xfId="2" applyNumberFormat="1" applyFont="1" applyFill="1" applyBorder="1" applyProtection="1"/>
    <xf numFmtId="172" fontId="0" fillId="0" borderId="0" xfId="0" applyNumberFormat="1" applyFill="1" applyProtection="1"/>
    <xf numFmtId="166" fontId="61" fillId="0" borderId="19" xfId="2" applyNumberFormat="1" applyFont="1" applyFill="1" applyBorder="1" applyAlignment="1" applyProtection="1"/>
    <xf numFmtId="170" fontId="60" fillId="0" borderId="66" xfId="2" applyNumberFormat="1" applyFont="1" applyFill="1" applyBorder="1" applyAlignment="1" applyProtection="1"/>
    <xf numFmtId="164" fontId="39" fillId="0" borderId="66" xfId="2" applyNumberFormat="1" applyFont="1" applyFill="1" applyBorder="1" applyAlignment="1" applyProtection="1"/>
    <xf numFmtId="170" fontId="66" fillId="0" borderId="0" xfId="2" applyNumberFormat="1" applyFont="1" applyFill="1" applyBorder="1" applyAlignment="1" applyProtection="1"/>
    <xf numFmtId="166" fontId="65" fillId="0" borderId="0" xfId="2" applyNumberFormat="1" applyFont="1" applyFill="1" applyBorder="1" applyAlignment="1" applyProtection="1"/>
    <xf numFmtId="174" fontId="66" fillId="0" borderId="0" xfId="2" applyNumberFormat="1" applyFont="1" applyFill="1" applyBorder="1" applyAlignment="1" applyProtection="1"/>
    <xf numFmtId="174" fontId="66" fillId="0" borderId="18" xfId="2" applyNumberFormat="1" applyFont="1" applyFill="1" applyBorder="1" applyAlignment="1" applyProtection="1"/>
    <xf numFmtId="164" fontId="46" fillId="0" borderId="17" xfId="2" applyNumberFormat="1" applyFont="1" applyFill="1" applyBorder="1" applyAlignment="1" applyProtection="1"/>
    <xf numFmtId="165" fontId="39" fillId="0" borderId="0" xfId="0" applyNumberFormat="1" applyFont="1" applyFill="1" applyAlignment="1" applyProtection="1">
      <alignment horizontal="centerContinuous"/>
    </xf>
    <xf numFmtId="165" fontId="65" fillId="0" borderId="0" xfId="0" applyNumberFormat="1" applyFont="1" applyFill="1" applyAlignment="1" applyProtection="1">
      <alignment horizontal="centerContinuous"/>
    </xf>
    <xf numFmtId="165" fontId="46" fillId="0" borderId="66" xfId="0" quotePrefix="1" applyNumberFormat="1" applyFont="1" applyFill="1" applyBorder="1" applyAlignment="1" applyProtection="1"/>
    <xf numFmtId="165" fontId="39" fillId="0" borderId="66" xfId="0" applyNumberFormat="1" applyFont="1" applyFill="1" applyBorder="1" applyAlignment="1" applyProtection="1"/>
    <xf numFmtId="165" fontId="46" fillId="0" borderId="0" xfId="0" applyNumberFormat="1" applyFont="1" applyFill="1" applyBorder="1" applyAlignment="1" applyProtection="1"/>
    <xf numFmtId="165" fontId="46" fillId="0" borderId="66" xfId="0" applyNumberFormat="1" applyFont="1" applyFill="1" applyBorder="1" applyAlignment="1" applyProtection="1">
      <alignment horizontal="centerContinuous"/>
    </xf>
    <xf numFmtId="165" fontId="46" fillId="0" borderId="0" xfId="0" applyNumberFormat="1" applyFont="1" applyFill="1" applyBorder="1" applyAlignment="1" applyProtection="1">
      <alignment horizontal="center"/>
    </xf>
    <xf numFmtId="165" fontId="46" fillId="0" borderId="84" xfId="0" applyNumberFormat="1" applyFont="1" applyFill="1" applyBorder="1" applyAlignment="1" applyProtection="1">
      <alignment horizontal="center"/>
    </xf>
    <xf numFmtId="165" fontId="46" fillId="0" borderId="82" xfId="0" quotePrefix="1" applyNumberFormat="1" applyFont="1" applyFill="1" applyBorder="1" applyAlignment="1" applyProtection="1">
      <alignment horizontal="center"/>
    </xf>
    <xf numFmtId="165" fontId="46" fillId="0" borderId="0" xfId="0" applyNumberFormat="1" applyFont="1" applyFill="1" applyAlignment="1" applyProtection="1">
      <alignment horizontal="center"/>
    </xf>
    <xf numFmtId="0" fontId="46" fillId="0" borderId="0" xfId="0" applyNumberFormat="1" applyFont="1" applyFill="1" applyBorder="1" applyAlignment="1" applyProtection="1">
      <alignment horizontal="center"/>
    </xf>
    <xf numFmtId="0" fontId="46" fillId="0" borderId="66" xfId="0" quotePrefix="1" applyNumberFormat="1" applyFont="1" applyFill="1" applyBorder="1" applyAlignment="1" applyProtection="1">
      <alignment horizontal="center"/>
    </xf>
    <xf numFmtId="170" fontId="46" fillId="0" borderId="86" xfId="0" quotePrefix="1" applyNumberFormat="1" applyFont="1" applyFill="1" applyBorder="1" applyAlignment="1" applyProtection="1"/>
    <xf numFmtId="166" fontId="46" fillId="0" borderId="84" xfId="0" applyNumberFormat="1" applyFont="1" applyFill="1" applyBorder="1" applyAlignment="1" applyProtection="1"/>
    <xf numFmtId="181" fontId="68" fillId="0" borderId="0" xfId="1776" quotePrefix="1" applyNumberFormat="1" applyFont="1" applyFill="1" applyAlignment="1">
      <alignment horizontal="center"/>
    </xf>
    <xf numFmtId="0" fontId="46" fillId="0" borderId="0" xfId="2" applyNumberFormat="1" applyFont="1" applyFill="1" applyAlignment="1" applyProtection="1">
      <alignment horizontal="center"/>
    </xf>
    <xf numFmtId="164" fontId="41" fillId="0" borderId="0" xfId="0" applyFont="1" applyFill="1" applyBorder="1" applyAlignment="1" applyProtection="1">
      <alignment horizontal="left"/>
    </xf>
    <xf numFmtId="167" fontId="41" fillId="0" borderId="0" xfId="0" applyNumberFormat="1" applyFont="1" applyFill="1" applyAlignment="1" applyProtection="1"/>
    <xf numFmtId="170" fontId="41" fillId="0" borderId="0" xfId="0" applyNumberFormat="1" applyFont="1" applyFill="1" applyAlignment="1" applyProtection="1">
      <alignment horizontal="right"/>
    </xf>
    <xf numFmtId="170" fontId="50" fillId="0" borderId="0" xfId="0" applyNumberFormat="1" applyFont="1" applyFill="1" applyAlignment="1" applyProtection="1"/>
    <xf numFmtId="166" fontId="42" fillId="0" borderId="0" xfId="0" applyNumberFormat="1" applyFont="1" applyFill="1" applyAlignment="1" applyProtection="1"/>
    <xf numFmtId="171" fontId="60" fillId="0" borderId="0" xfId="2" quotePrefix="1" applyNumberFormat="1" applyFont="1" applyFill="1" applyAlignment="1" applyProtection="1">
      <alignment horizontal="center"/>
    </xf>
    <xf numFmtId="166" fontId="61" fillId="0" borderId="20" xfId="2" applyNumberFormat="1" applyFont="1" applyFill="1" applyBorder="1" applyAlignment="1" applyProtection="1"/>
    <xf numFmtId="174" fontId="60" fillId="0" borderId="21" xfId="2" applyNumberFormat="1" applyFont="1" applyFill="1" applyBorder="1" applyAlignment="1" applyProtection="1"/>
    <xf numFmtId="166" fontId="61" fillId="0" borderId="21" xfId="2" applyNumberFormat="1" applyFont="1" applyFill="1" applyBorder="1" applyAlignment="1" applyProtection="1"/>
    <xf numFmtId="170" fontId="61" fillId="0" borderId="21" xfId="2" applyNumberFormat="1" applyFont="1" applyFill="1" applyBorder="1" applyAlignment="1" applyProtection="1"/>
    <xf numFmtId="170" fontId="60" fillId="0" borderId="10" xfId="2" applyNumberFormat="1" applyFont="1" applyFill="1" applyBorder="1" applyAlignment="1" applyProtection="1"/>
    <xf numFmtId="170" fontId="61" fillId="0" borderId="18" xfId="2" applyNumberFormat="1" applyFont="1" applyFill="1" applyBorder="1" applyAlignment="1" applyProtection="1"/>
    <xf numFmtId="170" fontId="61" fillId="0" borderId="73" xfId="2" applyNumberFormat="1" applyFont="1" applyFill="1" applyBorder="1" applyAlignment="1" applyProtection="1"/>
    <xf numFmtId="170" fontId="61" fillId="0" borderId="74" xfId="2" applyNumberFormat="1" applyFont="1" applyFill="1" applyBorder="1" applyAlignment="1" applyProtection="1"/>
    <xf numFmtId="170" fontId="60" fillId="0" borderId="16" xfId="2" applyNumberFormat="1" applyFont="1" applyFill="1" applyBorder="1" applyAlignment="1" applyProtection="1"/>
    <xf numFmtId="170" fontId="60" fillId="0" borderId="74" xfId="2" applyNumberFormat="1" applyFont="1" applyFill="1" applyBorder="1" applyAlignment="1" applyProtection="1"/>
    <xf numFmtId="170" fontId="60" fillId="0" borderId="21" xfId="2" applyNumberFormat="1" applyFont="1" applyFill="1" applyBorder="1" applyAlignment="1" applyProtection="1"/>
    <xf numFmtId="170" fontId="60" fillId="0" borderId="0" xfId="2" applyNumberFormat="1" applyFont="1" applyFill="1" applyAlignment="1" applyProtection="1"/>
    <xf numFmtId="170" fontId="61" fillId="0" borderId="75" xfId="2" applyNumberFormat="1" applyFont="1" applyFill="1" applyBorder="1" applyAlignment="1" applyProtection="1"/>
    <xf numFmtId="170" fontId="65" fillId="0" borderId="18" xfId="2" applyNumberFormat="1" applyFont="1" applyFill="1" applyBorder="1" applyAlignment="1" applyProtection="1"/>
    <xf numFmtId="170" fontId="66" fillId="0" borderId="18" xfId="2" applyNumberFormat="1" applyFont="1" applyFill="1" applyBorder="1" applyAlignment="1" applyProtection="1"/>
    <xf numFmtId="170" fontId="60" fillId="0" borderId="0" xfId="2" applyNumberFormat="1" applyFont="1" applyFill="1" applyAlignment="1" applyProtection="1">
      <alignment horizontal="right"/>
    </xf>
    <xf numFmtId="166" fontId="65" fillId="0" borderId="18" xfId="2" applyNumberFormat="1" applyFont="1" applyFill="1" applyBorder="1" applyAlignment="1" applyProtection="1"/>
    <xf numFmtId="174" fontId="66" fillId="0" borderId="0" xfId="2" applyNumberFormat="1" applyFont="1" applyFill="1" applyAlignment="1" applyProtection="1"/>
    <xf numFmtId="170" fontId="39" fillId="0" borderId="0" xfId="0" applyNumberFormat="1" applyFont="1" applyFill="1" applyAlignment="1"/>
    <xf numFmtId="170" fontId="46" fillId="0" borderId="0" xfId="0" applyNumberFormat="1" applyFont="1" applyFill="1" applyBorder="1" applyAlignment="1"/>
    <xf numFmtId="170" fontId="46" fillId="0" borderId="10" xfId="0" applyNumberFormat="1" applyFont="1" applyFill="1" applyBorder="1" applyAlignment="1"/>
    <xf numFmtId="170" fontId="138" fillId="0" borderId="0" xfId="2" applyNumberFormat="1" applyFont="1" applyFill="1" applyBorder="1" applyAlignment="1"/>
    <xf numFmtId="0" fontId="63" fillId="0" borderId="0" xfId="836" quotePrefix="1" applyNumberFormat="1" applyFont="1" applyFill="1" applyAlignment="1">
      <alignment horizontal="left"/>
    </xf>
    <xf numFmtId="165" fontId="67" fillId="0" borderId="0" xfId="840" quotePrefix="1" applyNumberFormat="1" applyFont="1" applyAlignment="1"/>
    <xf numFmtId="44" fontId="155" fillId="0" borderId="0" xfId="5458" applyNumberFormat="1" applyFont="1" applyFill="1"/>
    <xf numFmtId="44" fontId="44" fillId="0" borderId="0" xfId="5508" applyNumberFormat="1" applyFont="1" applyFill="1" applyBorder="1"/>
    <xf numFmtId="41" fontId="45" fillId="0" borderId="0" xfId="1773" applyNumberFormat="1" applyFont="1" applyFill="1" applyAlignment="1">
      <alignment horizontal="right"/>
    </xf>
    <xf numFmtId="174" fontId="39"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9" fillId="0" borderId="0" xfId="17" applyNumberFormat="1" applyFont="1" applyFill="1" applyAlignment="1">
      <alignment horizontal="right"/>
    </xf>
    <xf numFmtId="170" fontId="46" fillId="0" borderId="16" xfId="2" applyNumberFormat="1" applyFont="1" applyFill="1" applyBorder="1" applyAlignment="1"/>
    <xf numFmtId="170" fontId="39" fillId="0" borderId="10" xfId="0" quotePrefix="1" applyNumberFormat="1" applyFont="1" applyFill="1" applyBorder="1" applyAlignment="1" applyProtection="1">
      <alignment horizontal="right"/>
    </xf>
    <xf numFmtId="166" fontId="46" fillId="0" borderId="10" xfId="0" quotePrefix="1" applyNumberFormat="1" applyFont="1" applyFill="1" applyBorder="1" applyAlignment="1" applyProtection="1">
      <alignment horizontal="center"/>
    </xf>
    <xf numFmtId="170" fontId="46" fillId="0" borderId="16" xfId="0" quotePrefix="1" applyNumberFormat="1" applyFont="1" applyFill="1" applyBorder="1" applyAlignment="1" applyProtection="1">
      <alignment horizontal="center"/>
    </xf>
    <xf numFmtId="165" fontId="144" fillId="0" borderId="0" xfId="0" applyNumberFormat="1" applyFont="1" applyFill="1" applyAlignment="1" applyProtection="1"/>
    <xf numFmtId="166" fontId="134" fillId="0" borderId="0" xfId="0" applyNumberFormat="1" applyFont="1" applyFill="1" applyAlignment="1" applyProtection="1"/>
    <xf numFmtId="166" fontId="131" fillId="0" borderId="0" xfId="0" applyNumberFormat="1" applyFont="1" applyFill="1" applyBorder="1" applyAlignment="1" applyProtection="1"/>
    <xf numFmtId="174" fontId="39" fillId="0" borderId="0" xfId="2" applyNumberFormat="1" applyFont="1" applyFill="1" applyBorder="1" applyAlignment="1" applyProtection="1"/>
    <xf numFmtId="165" fontId="134" fillId="0" borderId="0" xfId="0" applyNumberFormat="1" applyFont="1" applyFill="1" applyBorder="1" applyAlignment="1" applyProtection="1"/>
    <xf numFmtId="177" fontId="39" fillId="0" borderId="0" xfId="740" quotePrefix="1" applyNumberFormat="1" applyFont="1" applyFill="1" applyAlignment="1"/>
    <xf numFmtId="182" fontId="39" fillId="0" borderId="0" xfId="740" applyNumberFormat="1" applyFont="1" applyFill="1" applyAlignment="1"/>
    <xf numFmtId="170" fontId="41" fillId="0" borderId="0" xfId="5" applyNumberFormat="1" applyFont="1" applyFill="1"/>
    <xf numFmtId="170" fontId="39" fillId="0" borderId="100" xfId="0" quotePrefix="1" applyNumberFormat="1" applyFont="1" applyFill="1" applyBorder="1" applyAlignment="1" applyProtection="1">
      <alignment horizontal="right"/>
    </xf>
    <xf numFmtId="181" fontId="68" fillId="0" borderId="102" xfId="1776" applyNumberFormat="1" applyFont="1" applyFill="1" applyBorder="1" applyAlignment="1">
      <alignment horizontal="center"/>
    </xf>
    <xf numFmtId="185" fontId="80" fillId="0" borderId="0" xfId="836" applyNumberFormat="1" applyFont="1" applyFill="1" applyAlignment="1"/>
    <xf numFmtId="184" fontId="68" fillId="0" borderId="0" xfId="836" quotePrefix="1" applyNumberFormat="1" applyFont="1" applyFill="1" applyAlignment="1">
      <alignment horizontal="center"/>
    </xf>
    <xf numFmtId="0" fontId="64" fillId="0" borderId="20" xfId="836" applyNumberFormat="1" applyFont="1" applyFill="1" applyBorder="1" applyAlignment="1"/>
    <xf numFmtId="185" fontId="63" fillId="0" borderId="20" xfId="836" applyNumberFormat="1" applyFont="1" applyFill="1" applyBorder="1" applyAlignment="1">
      <alignment horizontal="right"/>
    </xf>
    <xf numFmtId="177" fontId="46" fillId="0" borderId="66" xfId="740" quotePrefix="1" applyNumberFormat="1" applyFont="1" applyFill="1" applyBorder="1" applyAlignment="1">
      <alignment horizontal="center"/>
    </xf>
    <xf numFmtId="177" fontId="39" fillId="0" borderId="0" xfId="0" applyNumberFormat="1" applyFont="1" applyFill="1" applyAlignment="1">
      <alignment horizontal="center"/>
    </xf>
    <xf numFmtId="165" fontId="39" fillId="0" borderId="0" xfId="840" applyNumberFormat="1" applyFont="1" applyFill="1" applyAlignment="1" applyProtection="1">
      <protection locked="0"/>
    </xf>
    <xf numFmtId="165" fontId="46" fillId="0" borderId="0" xfId="840" applyNumberFormat="1" applyFont="1" applyFill="1" applyAlignment="1">
      <alignment horizontal="right"/>
    </xf>
    <xf numFmtId="165" fontId="46" fillId="0" borderId="0" xfId="840" applyNumberFormat="1" applyFont="1" applyFill="1" applyAlignment="1"/>
    <xf numFmtId="170" fontId="61"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6" fillId="0" borderId="21" xfId="2" applyNumberFormat="1" applyFont="1" applyFill="1" applyBorder="1" applyAlignment="1" applyProtection="1"/>
    <xf numFmtId="165" fontId="41" fillId="0" borderId="21" xfId="2" applyNumberFormat="1" applyFont="1" applyFill="1" applyBorder="1" applyAlignment="1" applyProtection="1"/>
    <xf numFmtId="174" fontId="39" fillId="0" borderId="21" xfId="2" applyNumberFormat="1" applyFont="1" applyFill="1" applyBorder="1" applyAlignment="1" applyProtection="1"/>
    <xf numFmtId="170" fontId="50" fillId="0" borderId="0" xfId="2" applyNumberFormat="1" applyFont="1" applyFill="1" applyBorder="1" applyAlignment="1" applyProtection="1"/>
    <xf numFmtId="170" fontId="50" fillId="0" borderId="21" xfId="2" applyNumberFormat="1" applyFont="1" applyFill="1" applyBorder="1" applyAlignment="1" applyProtection="1"/>
    <xf numFmtId="0" fontId="169" fillId="0" borderId="10" xfId="2" applyNumberFormat="1" applyFont="1" applyFill="1" applyBorder="1" applyAlignment="1">
      <alignment horizontal="center"/>
    </xf>
    <xf numFmtId="0" fontId="68" fillId="0" borderId="10" xfId="2" applyNumberFormat="1" applyFont="1" applyFill="1" applyBorder="1" applyAlignment="1">
      <alignment horizontal="center"/>
    </xf>
    <xf numFmtId="167" fontId="46" fillId="0" borderId="0" xfId="2" applyNumberFormat="1" applyFont="1" applyFill="1" applyAlignment="1" applyProtection="1"/>
    <xf numFmtId="174" fontId="0" fillId="0" borderId="0" xfId="2" applyNumberFormat="1" applyFont="1" applyFill="1" applyProtection="1"/>
    <xf numFmtId="174" fontId="46" fillId="0" borderId="0" xfId="5517" applyNumberFormat="1" applyFont="1" applyFill="1"/>
    <xf numFmtId="170" fontId="41" fillId="0" borderId="0" xfId="4" applyNumberFormat="1" applyFont="1" applyFill="1"/>
    <xf numFmtId="170" fontId="41" fillId="0" borderId="0" xfId="1" quotePrefix="1" applyNumberFormat="1" applyFont="1" applyFill="1" applyAlignment="1"/>
    <xf numFmtId="170" fontId="39" fillId="0" borderId="0" xfId="1" quotePrefix="1" applyNumberFormat="1" applyFont="1" applyFill="1" applyAlignment="1"/>
    <xf numFmtId="170" fontId="0" fillId="0" borderId="0" xfId="0" applyNumberFormat="1" applyFill="1"/>
    <xf numFmtId="170" fontId="39" fillId="0" borderId="66" xfId="2" applyNumberFormat="1" applyFont="1" applyFill="1" applyBorder="1" applyAlignment="1">
      <alignment horizontal="center"/>
    </xf>
    <xf numFmtId="170" fontId="46" fillId="0" borderId="0" xfId="2" applyNumberFormat="1" applyFont="1" applyFill="1" applyBorder="1"/>
    <xf numFmtId="169" fontId="0" fillId="0" borderId="0" xfId="2" applyNumberFormat="1" applyFont="1" applyFill="1"/>
    <xf numFmtId="174" fontId="46" fillId="0" borderId="0" xfId="5517" applyNumberFormat="1" applyFont="1" applyFill="1" applyProtection="1"/>
    <xf numFmtId="170" fontId="46" fillId="0" borderId="46" xfId="2" applyNumberFormat="1" applyFont="1" applyFill="1" applyBorder="1" applyAlignment="1" applyProtection="1"/>
    <xf numFmtId="166" fontId="39" fillId="0" borderId="0" xfId="5517" applyNumberFormat="1" applyFont="1" applyFill="1" applyProtection="1"/>
    <xf numFmtId="174" fontId="46" fillId="0" borderId="0" xfId="2" applyNumberFormat="1" applyFont="1" applyFill="1" applyBorder="1" applyAlignment="1" applyProtection="1"/>
    <xf numFmtId="0" fontId="41" fillId="0" borderId="0" xfId="2" applyFont="1" applyFill="1" applyBorder="1" applyAlignment="1"/>
    <xf numFmtId="0" fontId="46" fillId="0" borderId="0" xfId="2" quotePrefix="1" applyNumberFormat="1" applyFont="1" applyFill="1" applyBorder="1" applyAlignment="1" applyProtection="1">
      <alignment horizontal="center"/>
    </xf>
    <xf numFmtId="174" fontId="46" fillId="0" borderId="47" xfId="2" applyNumberFormat="1" applyFont="1" applyFill="1" applyBorder="1" applyAlignment="1" applyProtection="1"/>
    <xf numFmtId="165" fontId="41" fillId="0" borderId="47" xfId="2" applyNumberFormat="1" applyFont="1" applyFill="1" applyBorder="1" applyAlignment="1" applyProtection="1"/>
    <xf numFmtId="170" fontId="41" fillId="0" borderId="47" xfId="2" applyNumberFormat="1" applyFont="1" applyFill="1" applyBorder="1" applyAlignment="1" applyProtection="1"/>
    <xf numFmtId="170" fontId="39" fillId="0" borderId="47" xfId="2" applyNumberFormat="1" applyFont="1" applyFill="1" applyBorder="1" applyAlignment="1" applyProtection="1"/>
    <xf numFmtId="174" fontId="39" fillId="0" borderId="47" xfId="2" applyNumberFormat="1" applyFont="1" applyFill="1" applyBorder="1" applyAlignment="1" applyProtection="1"/>
    <xf numFmtId="170" fontId="46" fillId="0" borderId="47" xfId="2" applyNumberFormat="1" applyFont="1" applyFill="1" applyBorder="1" applyAlignment="1" applyProtection="1"/>
    <xf numFmtId="170" fontId="41"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8" fillId="0" borderId="0" xfId="2" applyNumberFormat="1" applyFont="1" applyFill="1" applyBorder="1" applyAlignment="1" applyProtection="1">
      <alignment horizontal="right"/>
    </xf>
    <xf numFmtId="170" fontId="46" fillId="0" borderId="99" xfId="2" applyNumberFormat="1" applyFont="1" applyFill="1" applyBorder="1" applyAlignment="1" applyProtection="1"/>
    <xf numFmtId="170" fontId="41" fillId="0" borderId="0" xfId="2" quotePrefix="1" applyNumberFormat="1" applyFont="1" applyFill="1" applyBorder="1" applyAlignment="1" applyProtection="1">
      <alignment horizontal="right"/>
    </xf>
    <xf numFmtId="165" fontId="46" fillId="0" borderId="0" xfId="0" quotePrefix="1" applyNumberFormat="1" applyFont="1" applyFill="1" applyAlignment="1" applyProtection="1">
      <alignment horizontal="centerContinuous"/>
    </xf>
    <xf numFmtId="165" fontId="46" fillId="0" borderId="82" xfId="0" applyNumberFormat="1" applyFont="1" applyFill="1" applyBorder="1" applyAlignment="1" applyProtection="1">
      <alignment horizontal="center"/>
    </xf>
    <xf numFmtId="0" fontId="46" fillId="0" borderId="0" xfId="0" quotePrefix="1" applyNumberFormat="1" applyFont="1" applyFill="1" applyAlignment="1" applyProtection="1">
      <alignment horizontal="center"/>
    </xf>
    <xf numFmtId="165" fontId="39" fillId="0" borderId="82" xfId="0" applyNumberFormat="1" applyFont="1" applyFill="1" applyBorder="1" applyAlignment="1" applyProtection="1"/>
    <xf numFmtId="174" fontId="39" fillId="0" borderId="0" xfId="0" quotePrefix="1" applyNumberFormat="1" applyFont="1" applyFill="1" applyAlignment="1" applyProtection="1">
      <alignment horizontal="right"/>
    </xf>
    <xf numFmtId="170" fontId="46" fillId="0" borderId="98" xfId="0" quotePrefix="1" applyNumberFormat="1" applyFont="1" applyFill="1" applyBorder="1" applyAlignment="1" applyProtection="1"/>
    <xf numFmtId="170" fontId="39" fillId="0" borderId="0" xfId="0" applyNumberFormat="1" applyFont="1" applyFill="1" applyAlignment="1" applyProtection="1">
      <alignment horizontal="right"/>
    </xf>
    <xf numFmtId="166" fontId="46" fillId="0" borderId="82" xfId="0" applyNumberFormat="1" applyFont="1" applyFill="1" applyBorder="1" applyAlignment="1" applyProtection="1"/>
    <xf numFmtId="174" fontId="46" fillId="0" borderId="41" xfId="0" applyNumberFormat="1" applyFont="1" applyFill="1" applyBorder="1" applyAlignment="1" applyProtection="1"/>
    <xf numFmtId="165" fontId="136" fillId="0" borderId="0" xfId="2" applyNumberFormat="1" applyFont="1" applyFill="1" applyAlignment="1"/>
    <xf numFmtId="0" fontId="46" fillId="0" borderId="10" xfId="2" quotePrefix="1" applyNumberFormat="1" applyFont="1" applyFill="1" applyBorder="1" applyAlignment="1">
      <alignment horizontal="center"/>
    </xf>
    <xf numFmtId="174" fontId="39" fillId="0" borderId="0" xfId="2" applyNumberFormat="1" applyFont="1" applyFill="1" applyBorder="1" applyAlignment="1">
      <alignment horizontal="right"/>
    </xf>
    <xf numFmtId="170" fontId="39" fillId="0" borderId="0" xfId="2" applyNumberFormat="1" applyFont="1" applyFill="1" applyBorder="1" applyAlignment="1">
      <alignment horizontal="center"/>
    </xf>
    <xf numFmtId="0" fontId="41" fillId="0" borderId="20" xfId="2" applyNumberFormat="1" applyFont="1" applyFill="1" applyBorder="1" applyAlignment="1"/>
    <xf numFmtId="0" fontId="41" fillId="0" borderId="0" xfId="2" applyFont="1" applyFill="1" applyAlignment="1"/>
    <xf numFmtId="170" fontId="46" fillId="0" borderId="95" xfId="2" quotePrefix="1" applyNumberFormat="1" applyFont="1" applyFill="1" applyBorder="1" applyAlignment="1"/>
    <xf numFmtId="0" fontId="65" fillId="0" borderId="0" xfId="2" applyNumberFormat="1" applyFont="1" applyFill="1" applyAlignment="1"/>
    <xf numFmtId="174" fontId="65" fillId="0" borderId="0" xfId="2" applyNumberFormat="1" applyFont="1" applyFill="1" applyAlignment="1"/>
    <xf numFmtId="194" fontId="46" fillId="0" borderId="0" xfId="2" applyNumberFormat="1" applyFont="1" applyFill="1" applyAlignment="1"/>
    <xf numFmtId="42" fontId="157" fillId="0" borderId="0" xfId="5488" applyNumberFormat="1" applyFont="1" applyFill="1" applyAlignment="1">
      <alignment horizontal="right"/>
    </xf>
    <xf numFmtId="42" fontId="155" fillId="0" borderId="0" xfId="5458" applyNumberFormat="1" applyFont="1" applyFill="1" applyBorder="1" applyAlignment="1">
      <alignment horizontal="right"/>
    </xf>
    <xf numFmtId="41" fontId="157" fillId="0" borderId="0" xfId="5488" applyNumberFormat="1" applyFont="1" applyFill="1" applyAlignment="1">
      <alignment horizontal="right"/>
    </xf>
    <xf numFmtId="166" fontId="41" fillId="0" borderId="0" xfId="0" quotePrefix="1" applyNumberFormat="1" applyFont="1" applyFill="1" applyAlignment="1" applyProtection="1"/>
    <xf numFmtId="170" fontId="41" fillId="0" borderId="0" xfId="0" quotePrefix="1" applyNumberFormat="1" applyFont="1" applyFill="1" applyAlignment="1" applyProtection="1">
      <alignment horizontal="right"/>
    </xf>
    <xf numFmtId="49" fontId="39" fillId="0" borderId="0" xfId="17" applyNumberFormat="1" applyFont="1" applyFill="1" applyBorder="1" applyAlignment="1">
      <alignment horizontal="center"/>
    </xf>
    <xf numFmtId="0" fontId="39" fillId="0" borderId="66" xfId="17" applyNumberFormat="1" applyFont="1" applyFill="1" applyBorder="1" applyAlignment="1">
      <alignment horizontal="center"/>
    </xf>
    <xf numFmtId="164" fontId="65" fillId="0" borderId="0" xfId="0" quotePrefix="1" applyNumberFormat="1" applyFont="1" applyFill="1" applyBorder="1" applyAlignment="1" applyProtection="1"/>
    <xf numFmtId="164" fontId="66" fillId="0" borderId="107" xfId="0" applyNumberFormat="1" applyFont="1" applyFill="1" applyBorder="1" applyAlignment="1" applyProtection="1"/>
    <xf numFmtId="4" fontId="46" fillId="0" borderId="0" xfId="0" applyNumberFormat="1" applyFont="1" applyFill="1" applyProtection="1"/>
    <xf numFmtId="4" fontId="46" fillId="0" borderId="0" xfId="0" applyNumberFormat="1" applyFont="1" applyFill="1" applyAlignment="1" applyProtection="1">
      <alignment horizontal="center"/>
    </xf>
    <xf numFmtId="43" fontId="46" fillId="0" borderId="0" xfId="0" applyNumberFormat="1" applyFont="1" applyFill="1" applyAlignment="1" applyProtection="1">
      <alignment horizontal="right"/>
    </xf>
    <xf numFmtId="0" fontId="99" fillId="0" borderId="0" xfId="0" applyNumberFormat="1" applyFont="1" applyFill="1" applyAlignment="1" applyProtection="1"/>
    <xf numFmtId="42" fontId="44" fillId="0" borderId="0" xfId="0" applyNumberFormat="1" applyFont="1" applyFill="1" applyAlignment="1"/>
    <xf numFmtId="41" fontId="44" fillId="0" borderId="0" xfId="0" applyNumberFormat="1" applyFont="1" applyFill="1" applyAlignment="1"/>
    <xf numFmtId="41" fontId="44" fillId="0" borderId="0" xfId="0" applyNumberFormat="1" applyFont="1" applyFill="1" applyAlignment="1">
      <alignment horizontal="right"/>
    </xf>
    <xf numFmtId="41" fontId="44" fillId="0" borderId="0" xfId="0" quotePrefix="1" applyNumberFormat="1" applyFont="1" applyFill="1" applyAlignment="1">
      <alignment horizontal="right"/>
    </xf>
    <xf numFmtId="3" fontId="44" fillId="0" borderId="0" xfId="0" applyNumberFormat="1" applyFont="1" applyFill="1" applyBorder="1" applyAlignment="1"/>
    <xf numFmtId="42" fontId="45" fillId="0" borderId="87" xfId="0" applyNumberFormat="1" applyFont="1" applyFill="1" applyBorder="1" applyAlignment="1">
      <alignment horizontal="right"/>
    </xf>
    <xf numFmtId="43" fontId="184" fillId="0" borderId="0" xfId="9967" applyNumberFormat="1"/>
    <xf numFmtId="43" fontId="45" fillId="0" borderId="66" xfId="9967" quotePrefix="1" applyNumberFormat="1" applyFont="1" applyFill="1" applyBorder="1" applyAlignment="1">
      <alignment horizontal="center"/>
    </xf>
    <xf numFmtId="43" fontId="44" fillId="0" borderId="0" xfId="0" applyNumberFormat="1" applyFont="1" applyFill="1" applyBorder="1" applyAlignment="1"/>
    <xf numFmtId="43" fontId="45" fillId="0" borderId="0" xfId="0" applyNumberFormat="1" applyFont="1" applyFill="1" applyBorder="1"/>
    <xf numFmtId="43" fontId="44" fillId="0" borderId="0" xfId="0" quotePrefix="1" applyNumberFormat="1" applyFont="1" applyFill="1" applyAlignment="1"/>
    <xf numFmtId="43" fontId="44" fillId="0" borderId="0" xfId="0" applyNumberFormat="1" applyFont="1" applyFill="1" applyAlignment="1">
      <alignment horizontal="left" vertical="top"/>
    </xf>
    <xf numFmtId="170" fontId="61" fillId="0" borderId="46" xfId="2" applyNumberFormat="1" applyFont="1" applyBorder="1" applyAlignment="1" applyProtection="1"/>
    <xf numFmtId="170" fontId="61" fillId="0" borderId="46" xfId="2" applyNumberFormat="1" applyFont="1" applyFill="1" applyBorder="1" applyAlignment="1" applyProtection="1"/>
    <xf numFmtId="164" fontId="39" fillId="0" borderId="46" xfId="2" applyNumberFormat="1" applyFont="1" applyFill="1" applyBorder="1" applyAlignment="1" applyProtection="1"/>
    <xf numFmtId="170" fontId="61" fillId="0" borderId="10" xfId="2" applyNumberFormat="1" applyFont="1" applyFill="1" applyBorder="1" applyAlignment="1">
      <alignment horizontal="center"/>
    </xf>
    <xf numFmtId="170" fontId="46" fillId="0" borderId="10" xfId="1046" applyNumberFormat="1" applyFont="1" applyFill="1" applyBorder="1"/>
    <xf numFmtId="164" fontId="46" fillId="0" borderId="10" xfId="1046" applyNumberFormat="1" applyFont="1" applyFill="1" applyBorder="1"/>
    <xf numFmtId="165" fontId="39" fillId="58" borderId="0" xfId="0" applyNumberFormat="1" applyFont="1" applyFill="1" applyAlignment="1" applyProtection="1"/>
    <xf numFmtId="170" fontId="39" fillId="58" borderId="0" xfId="0" applyNumberFormat="1" applyFont="1" applyFill="1" applyAlignment="1" applyProtection="1"/>
    <xf numFmtId="170" fontId="46" fillId="58" borderId="0" xfId="0" applyNumberFormat="1" applyFont="1" applyFill="1" applyAlignment="1" applyProtection="1"/>
    <xf numFmtId="165" fontId="46" fillId="58" borderId="0" xfId="0" applyNumberFormat="1" applyFont="1" applyFill="1" applyAlignment="1" applyProtection="1"/>
    <xf numFmtId="174" fontId="46" fillId="58" borderId="0" xfId="0" applyNumberFormat="1" applyFont="1" applyFill="1" applyAlignment="1" applyProtection="1"/>
    <xf numFmtId="41" fontId="155" fillId="0" borderId="0" xfId="5458" applyNumberFormat="1" applyFont="1" applyFill="1" applyAlignment="1">
      <alignment horizontal="center"/>
    </xf>
    <xf numFmtId="181" fontId="44" fillId="0" borderId="0" xfId="1776" applyNumberFormat="1" applyFont="1" applyFill="1" applyAlignment="1"/>
    <xf numFmtId="172" fontId="46" fillId="0" borderId="80" xfId="2" applyNumberFormat="1" applyFont="1" applyBorder="1" applyAlignment="1" applyProtection="1"/>
    <xf numFmtId="166" fontId="171" fillId="0" borderId="0" xfId="2" applyNumberFormat="1" applyFont="1" applyAlignment="1"/>
    <xf numFmtId="166" fontId="171" fillId="0" borderId="0" xfId="2" quotePrefix="1" applyNumberFormat="1" applyFont="1" applyAlignment="1">
      <alignment horizontal="left"/>
    </xf>
    <xf numFmtId="0" fontId="171" fillId="0" borderId="0" xfId="2" applyNumberFormat="1" applyFont="1" applyAlignment="1"/>
    <xf numFmtId="0" fontId="171" fillId="0" borderId="0" xfId="2" quotePrefix="1" applyNumberFormat="1" applyFont="1" applyAlignment="1">
      <alignment horizontal="left"/>
    </xf>
    <xf numFmtId="0" fontId="40" fillId="0" borderId="0" xfId="2" applyNumberFormat="1" applyFont="1" applyAlignment="1"/>
    <xf numFmtId="165" fontId="84" fillId="0" borderId="0" xfId="0" applyNumberFormat="1" applyFont="1" applyAlignment="1" applyProtection="1">
      <protection locked="0"/>
    </xf>
    <xf numFmtId="170" fontId="41" fillId="0" borderId="72" xfId="0" applyNumberFormat="1" applyFont="1" applyFill="1" applyBorder="1" applyAlignment="1" applyProtection="1"/>
    <xf numFmtId="0" fontId="39" fillId="0" borderId="106" xfId="4" applyFont="1" applyFill="1" applyBorder="1" applyProtection="1"/>
    <xf numFmtId="166" fontId="39" fillId="0" borderId="106" xfId="4" applyNumberFormat="1" applyFont="1" applyFill="1" applyBorder="1" applyProtection="1"/>
    <xf numFmtId="166" fontId="39" fillId="0" borderId="0" xfId="4" applyNumberFormat="1" applyFont="1" applyFill="1" applyProtection="1"/>
    <xf numFmtId="0" fontId="39" fillId="0" borderId="0" xfId="4" applyNumberFormat="1" applyFont="1" applyFill="1" applyBorder="1" applyAlignment="1" applyProtection="1">
      <alignment horizontal="center"/>
    </xf>
    <xf numFmtId="166" fontId="39" fillId="0" borderId="15" xfId="4" applyNumberFormat="1" applyFont="1" applyFill="1" applyBorder="1" applyProtection="1"/>
    <xf numFmtId="170" fontId="46" fillId="0" borderId="107" xfId="0" quotePrefix="1" applyNumberFormat="1" applyFont="1" applyFill="1" applyBorder="1" applyAlignment="1" applyProtection="1"/>
    <xf numFmtId="164" fontId="67" fillId="0" borderId="0" xfId="2" applyNumberFormat="1" applyFont="1" applyAlignment="1"/>
    <xf numFmtId="172" fontId="46" fillId="0" borderId="10" xfId="2" applyNumberFormat="1" applyFont="1" applyFill="1" applyBorder="1" applyAlignment="1" applyProtection="1">
      <alignment horizontal="right"/>
    </xf>
    <xf numFmtId="164" fontId="170" fillId="0" borderId="10" xfId="1940" applyNumberFormat="1" applyFont="1" applyBorder="1" applyAlignment="1"/>
    <xf numFmtId="164" fontId="112" fillId="0" borderId="10" xfId="0" applyFont="1" applyFill="1" applyBorder="1" applyAlignment="1">
      <alignment horizontal="center"/>
    </xf>
    <xf numFmtId="164" fontId="112" fillId="0" borderId="10" xfId="0" applyFont="1" applyFill="1" applyBorder="1" applyAlignment="1">
      <alignment horizontal="center" wrapText="1"/>
    </xf>
    <xf numFmtId="43" fontId="168" fillId="0" borderId="0" xfId="0" applyNumberFormat="1" applyFont="1"/>
    <xf numFmtId="49" fontId="112" fillId="0" borderId="0" xfId="0" applyNumberFormat="1" applyFont="1"/>
    <xf numFmtId="0" fontId="168" fillId="0" borderId="0" xfId="0" applyNumberFormat="1" applyFont="1" applyFill="1" applyAlignment="1">
      <alignment horizontal="left"/>
    </xf>
    <xf numFmtId="0" fontId="168" fillId="0" borderId="0" xfId="0" applyNumberFormat="1" applyFont="1" applyFill="1" applyAlignment="1">
      <alignment vertical="top"/>
    </xf>
    <xf numFmtId="0" fontId="44" fillId="0" borderId="0" xfId="0" applyNumberFormat="1" applyFont="1" applyBorder="1" applyAlignment="1">
      <alignment horizontal="left"/>
    </xf>
    <xf numFmtId="43" fontId="168" fillId="0" borderId="0" xfId="17924" applyFont="1"/>
    <xf numFmtId="164" fontId="44" fillId="0" borderId="0" xfId="0" applyFont="1" applyBorder="1" applyAlignment="1">
      <alignment horizontal="left" indent="1"/>
    </xf>
    <xf numFmtId="43" fontId="44" fillId="0" borderId="0" xfId="0" applyNumberFormat="1" applyFont="1" applyBorder="1"/>
    <xf numFmtId="0" fontId="45" fillId="0" borderId="0" xfId="9967" applyFont="1" applyBorder="1" applyAlignment="1">
      <alignment horizontal="centerContinuous" vertical="top"/>
    </xf>
    <xf numFmtId="0" fontId="45" fillId="0" borderId="0" xfId="9967" applyNumberFormat="1" applyFont="1" applyFill="1" applyBorder="1" applyAlignment="1">
      <alignment horizontal="center"/>
    </xf>
    <xf numFmtId="0" fontId="45" fillId="0" borderId="0" xfId="9967" applyNumberFormat="1" applyFont="1" applyFill="1" applyBorder="1" applyAlignment="1" applyProtection="1">
      <alignment horizontal="centerContinuous"/>
    </xf>
    <xf numFmtId="0" fontId="45" fillId="0" borderId="0" xfId="9967" applyNumberFormat="1" applyFont="1" applyFill="1" applyBorder="1" applyAlignment="1">
      <alignment horizontal="centerContinuous"/>
    </xf>
    <xf numFmtId="0" fontId="45" fillId="0" borderId="0" xfId="9967" applyNumberFormat="1" applyFont="1" applyBorder="1" applyAlignment="1">
      <alignment horizontal="centerContinuous"/>
    </xf>
    <xf numFmtId="0" fontId="45" fillId="0" borderId="10" xfId="9967" applyNumberFormat="1" applyFont="1" applyFill="1" applyBorder="1" applyAlignment="1">
      <alignment horizontal="centerContinuous"/>
    </xf>
    <xf numFmtId="0" fontId="45" fillId="0" borderId="10" xfId="9967" applyNumberFormat="1" applyFont="1" applyBorder="1" applyAlignment="1">
      <alignment horizontal="centerContinuous"/>
    </xf>
    <xf numFmtId="170" fontId="39" fillId="0" borderId="10" xfId="2" quotePrefix="1" applyNumberFormat="1" applyFont="1" applyBorder="1" applyAlignment="1"/>
    <xf numFmtId="170" fontId="41" fillId="0" borderId="46" xfId="2" applyNumberFormat="1" applyFont="1" applyFill="1" applyBorder="1" applyAlignment="1" applyProtection="1"/>
    <xf numFmtId="49" fontId="168" fillId="0" borderId="0" xfId="0" applyNumberFormat="1" applyFont="1" applyBorder="1" applyAlignment="1">
      <alignment vertical="top" wrapText="1"/>
    </xf>
    <xf numFmtId="43" fontId="168" fillId="0" borderId="0" xfId="0" applyNumberFormat="1" applyFont="1" applyBorder="1"/>
    <xf numFmtId="172" fontId="187" fillId="0" borderId="66" xfId="2" applyNumberFormat="1" applyFont="1" applyBorder="1" applyAlignment="1" applyProtection="1"/>
    <xf numFmtId="0" fontId="45" fillId="0" borderId="0" xfId="9967" applyNumberFormat="1" applyFont="1" applyFill="1" applyAlignment="1">
      <alignment horizontal="centerContinuous"/>
    </xf>
    <xf numFmtId="49" fontId="45" fillId="0" borderId="10" xfId="9967" applyNumberFormat="1" applyFont="1" applyFill="1" applyBorder="1" applyAlignment="1">
      <alignment horizontal="center"/>
    </xf>
    <xf numFmtId="169" fontId="51" fillId="0" borderId="0" xfId="8" applyNumberFormat="1" applyFont="1" applyFill="1" applyAlignment="1">
      <alignment horizontal="right" vertical="top"/>
    </xf>
    <xf numFmtId="170" fontId="39" fillId="0" borderId="0" xfId="0" applyNumberFormat="1" applyFont="1" applyAlignment="1">
      <alignment horizontal="right"/>
    </xf>
    <xf numFmtId="0" fontId="192" fillId="0" borderId="0" xfId="25863" applyFill="1"/>
    <xf numFmtId="0" fontId="194" fillId="0" borderId="0" xfId="25863" applyFont="1" applyFill="1" applyAlignment="1">
      <alignment horizontal="left"/>
    </xf>
    <xf numFmtId="0" fontId="194" fillId="0" borderId="0" xfId="25863" applyFont="1" applyFill="1" applyBorder="1" applyAlignment="1">
      <alignment horizontal="left"/>
    </xf>
    <xf numFmtId="7" fontId="192" fillId="0" borderId="0" xfId="25863" applyNumberFormat="1" applyFill="1"/>
    <xf numFmtId="0" fontId="198" fillId="0" borderId="0" xfId="25863" applyFont="1" applyFill="1" applyBorder="1" applyAlignment="1">
      <alignment horizontal="center" wrapText="1"/>
    </xf>
    <xf numFmtId="0" fontId="68" fillId="0" borderId="0" xfId="25863" applyFont="1" applyFill="1"/>
    <xf numFmtId="0" fontId="68" fillId="0" borderId="0" xfId="25863" applyFont="1" applyFill="1" applyAlignment="1">
      <alignment horizontal="right"/>
    </xf>
    <xf numFmtId="0" fontId="39" fillId="0" borderId="0" xfId="25866" applyFont="1" applyFill="1" applyBorder="1" applyAlignment="1">
      <alignment horizontal="left"/>
    </xf>
    <xf numFmtId="37" fontId="39" fillId="0" borderId="0" xfId="2" applyNumberFormat="1" applyFont="1" applyFill="1" applyAlignment="1">
      <alignment horizontal="center"/>
    </xf>
    <xf numFmtId="44" fontId="112" fillId="0" borderId="87" xfId="25862" applyFont="1" applyBorder="1"/>
    <xf numFmtId="43" fontId="166" fillId="0" borderId="0" xfId="25873" applyNumberFormat="1" applyFont="1" applyFill="1" applyBorder="1"/>
    <xf numFmtId="43" fontId="166" fillId="0" borderId="0" xfId="25876" applyNumberFormat="1" applyFont="1" applyFill="1" applyAlignment="1">
      <alignment horizontal="right"/>
    </xf>
    <xf numFmtId="43" fontId="166" fillId="0" borderId="0" xfId="25876" applyNumberFormat="1" applyFont="1" applyFill="1" applyBorder="1" applyAlignment="1"/>
    <xf numFmtId="43" fontId="166" fillId="0" borderId="0" xfId="4579" applyNumberFormat="1" applyFont="1" applyFill="1" applyAlignment="1">
      <alignment wrapText="1"/>
    </xf>
    <xf numFmtId="0" fontId="44" fillId="0" borderId="0" xfId="25863" applyFont="1" applyFill="1"/>
    <xf numFmtId="170" fontId="39" fillId="0" borderId="0" xfId="0" applyNumberFormat="1" applyFont="1" applyFill="1" applyBorder="1" applyAlignment="1" applyProtection="1">
      <alignment horizontal="right"/>
    </xf>
    <xf numFmtId="170" fontId="63" fillId="0" borderId="0" xfId="2" applyNumberFormat="1" applyFont="1" applyFill="1" applyAlignment="1">
      <alignment horizontal="right"/>
    </xf>
    <xf numFmtId="43" fontId="46" fillId="0" borderId="0" xfId="25870" applyNumberFormat="1" applyFont="1" applyFill="1" applyBorder="1"/>
    <xf numFmtId="164" fontId="112" fillId="0" borderId="0" xfId="0" applyFont="1" applyBorder="1" applyAlignment="1">
      <alignment horizontal="left"/>
    </xf>
    <xf numFmtId="43" fontId="112" fillId="0" borderId="0" xfId="0" applyNumberFormat="1" applyFont="1" applyBorder="1"/>
    <xf numFmtId="37" fontId="39" fillId="0" borderId="0" xfId="25864" applyNumberFormat="1" applyFont="1" applyFill="1" applyBorder="1">
      <alignment horizontal="right"/>
    </xf>
    <xf numFmtId="44" fontId="39" fillId="0" borderId="0" xfId="25868" applyFont="1" applyFill="1" applyBorder="1"/>
    <xf numFmtId="43" fontId="39" fillId="0" borderId="0" xfId="25870" applyNumberFormat="1" applyFont="1" applyFill="1" applyBorder="1"/>
    <xf numFmtId="43" fontId="46" fillId="0" borderId="103" xfId="25874" applyNumberFormat="1" applyFont="1" applyFill="1" applyBorder="1" applyAlignment="1">
      <alignment horizontal="right"/>
    </xf>
    <xf numFmtId="44" fontId="149" fillId="0" borderId="0" xfId="25863" applyNumberFormat="1" applyFont="1" applyFill="1" applyBorder="1" applyAlignment="1">
      <alignment horizontal="left"/>
    </xf>
    <xf numFmtId="44" fontId="39" fillId="0" borderId="0" xfId="25863" applyNumberFormat="1" applyFont="1" applyFill="1"/>
    <xf numFmtId="0" fontId="16" fillId="0" borderId="0" xfId="841" applyFont="1" applyFill="1" applyProtection="1"/>
    <xf numFmtId="0" fontId="86" fillId="0" borderId="0" xfId="841" applyFont="1" applyFill="1" applyAlignment="1" applyProtection="1">
      <alignment horizontal="right"/>
    </xf>
    <xf numFmtId="0" fontId="84" fillId="0" borderId="0" xfId="1028" applyFont="1" applyFill="1" applyAlignment="1" applyProtection="1">
      <alignment horizontal="right"/>
    </xf>
    <xf numFmtId="39" fontId="45" fillId="0" borderId="0" xfId="1028" applyNumberFormat="1" applyFont="1" applyFill="1" applyAlignment="1" applyProtection="1"/>
    <xf numFmtId="186" fontId="46" fillId="0" borderId="50" xfId="1767" quotePrefix="1" applyNumberFormat="1" applyFont="1" applyFill="1" applyBorder="1" applyAlignment="1" applyProtection="1">
      <alignment horizontal="center"/>
    </xf>
    <xf numFmtId="39" fontId="46" fillId="0" borderId="0" xfId="0" applyNumberFormat="1" applyFont="1" applyFill="1" applyAlignment="1" applyProtection="1">
      <alignment horizontal="center"/>
    </xf>
    <xf numFmtId="43" fontId="46" fillId="0" borderId="35" xfId="1028" applyNumberFormat="1" applyFont="1" applyFill="1" applyBorder="1" applyAlignment="1" applyProtection="1">
      <alignment horizontal="right"/>
    </xf>
    <xf numFmtId="43" fontId="46" fillId="0" borderId="0" xfId="1028" applyNumberFormat="1" applyFont="1" applyFill="1" applyBorder="1" applyAlignment="1" applyProtection="1">
      <alignment horizontal="right"/>
    </xf>
    <xf numFmtId="164" fontId="46" fillId="0" borderId="0" xfId="0" applyFont="1" applyFill="1" applyAlignment="1" applyProtection="1">
      <alignment horizontal="right"/>
    </xf>
    <xf numFmtId="43" fontId="39"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6" fillId="0" borderId="87" xfId="0" applyNumberFormat="1" applyFont="1" applyFill="1" applyBorder="1" applyAlignment="1" applyProtection="1">
      <alignment horizontal="right"/>
    </xf>
    <xf numFmtId="4" fontId="46" fillId="0" borderId="0" xfId="0" applyNumberFormat="1" applyFont="1" applyFill="1" applyAlignment="1" applyProtection="1">
      <alignment horizontal="left" vertical="top"/>
    </xf>
    <xf numFmtId="0" fontId="0" fillId="0" borderId="0" xfId="0" applyNumberFormat="1" applyFill="1" applyProtection="1"/>
    <xf numFmtId="43" fontId="99" fillId="0" borderId="0" xfId="0" applyNumberFormat="1" applyFont="1" applyFill="1" applyProtection="1"/>
    <xf numFmtId="164" fontId="39" fillId="0" borderId="0" xfId="0" applyFont="1" applyFill="1" applyProtection="1"/>
    <xf numFmtId="177" fontId="205" fillId="0" borderId="0" xfId="1767" applyNumberFormat="1" applyFont="1" applyFill="1" applyAlignment="1">
      <alignment horizontal="left"/>
    </xf>
    <xf numFmtId="10" fontId="170" fillId="0" borderId="0" xfId="2" applyNumberFormat="1" applyFont="1" applyBorder="1" applyAlignment="1"/>
    <xf numFmtId="10" fontId="170" fillId="0" borderId="0" xfId="1940" applyNumberFormat="1" applyFont="1" applyBorder="1" applyAlignment="1"/>
    <xf numFmtId="10" fontId="170" fillId="0" borderId="0" xfId="1940" applyNumberFormat="1" applyFont="1" applyFill="1" applyBorder="1" applyAlignment="1"/>
    <xf numFmtId="10" fontId="170" fillId="0" borderId="0" xfId="2" applyNumberFormat="1" applyFont="1" applyAlignment="1" applyProtection="1"/>
    <xf numFmtId="10" fontId="170" fillId="0" borderId="0" xfId="2" applyNumberFormat="1" applyFont="1" applyAlignment="1"/>
    <xf numFmtId="200" fontId="169" fillId="0" borderId="66" xfId="1940" applyNumberFormat="1" applyFont="1" applyBorder="1" applyAlignment="1"/>
    <xf numFmtId="200" fontId="170" fillId="0" borderId="66" xfId="1940" applyNumberFormat="1" applyFont="1" applyBorder="1" applyAlignment="1"/>
    <xf numFmtId="43" fontId="39" fillId="0" borderId="0" xfId="25863" applyNumberFormat="1" applyFont="1" applyFill="1"/>
    <xf numFmtId="0" fontId="39" fillId="0" borderId="0" xfId="25863" applyFont="1" applyFill="1"/>
    <xf numFmtId="0" fontId="198" fillId="0" borderId="0" xfId="25863" applyFont="1" applyFill="1" applyBorder="1" applyAlignment="1">
      <alignment horizontal="center"/>
    </xf>
    <xf numFmtId="44" fontId="46" fillId="0" borderId="87" xfId="25874" applyNumberFormat="1" applyFont="1" applyFill="1" applyBorder="1"/>
    <xf numFmtId="171" fontId="44" fillId="0" borderId="0" xfId="25863" applyNumberFormat="1" applyFont="1" applyFill="1"/>
    <xf numFmtId="44" fontId="166" fillId="0" borderId="0" xfId="25872" applyNumberFormat="1" applyFont="1" applyFill="1" applyBorder="1"/>
    <xf numFmtId="44" fontId="112" fillId="0" borderId="0" xfId="0" applyNumberFormat="1" applyFont="1" applyBorder="1"/>
    <xf numFmtId="172" fontId="39" fillId="0" borderId="0" xfId="2" applyNumberFormat="1" applyFont="1" applyAlignment="1" applyProtection="1"/>
    <xf numFmtId="172" fontId="46" fillId="0" borderId="16" xfId="2" applyNumberFormat="1" applyFont="1" applyBorder="1" applyAlignment="1" applyProtection="1"/>
    <xf numFmtId="0" fontId="149" fillId="0" borderId="0" xfId="1028" quotePrefix="1" applyNumberFormat="1" applyFont="1" applyFill="1" applyAlignment="1" applyProtection="1">
      <alignment horizontal="right"/>
    </xf>
    <xf numFmtId="165" fontId="39" fillId="0" borderId="0" xfId="2" applyNumberFormat="1" applyFont="1" applyFill="1" applyProtection="1"/>
    <xf numFmtId="165" fontId="89" fillId="0" borderId="0" xfId="2" applyNumberFormat="1" applyFont="1" applyFill="1" applyAlignment="1" applyProtection="1">
      <alignment horizontal="left"/>
    </xf>
    <xf numFmtId="0" fontId="40" fillId="0" borderId="0" xfId="2" applyNumberFormat="1" applyFont="1" applyFill="1" applyAlignment="1" applyProtection="1">
      <alignment horizontal="right"/>
    </xf>
    <xf numFmtId="0" fontId="93" fillId="0" borderId="0" xfId="2" applyNumberFormat="1" applyFont="1" applyFill="1" applyAlignment="1" applyProtection="1">
      <alignment horizontal="left"/>
    </xf>
    <xf numFmtId="165" fontId="94" fillId="0" borderId="0" xfId="2" applyNumberFormat="1" applyFont="1" applyFill="1" applyAlignment="1" applyProtection="1"/>
    <xf numFmtId="165" fontId="46" fillId="0" borderId="0" xfId="2" quotePrefix="1" applyNumberFormat="1" applyFont="1" applyFill="1" applyAlignment="1" applyProtection="1">
      <alignment horizontal="center"/>
    </xf>
    <xf numFmtId="0" fontId="161" fillId="0" borderId="0" xfId="2" applyFont="1" applyFill="1" applyProtection="1"/>
    <xf numFmtId="165" fontId="46" fillId="0" borderId="0" xfId="2" applyNumberFormat="1" applyFont="1" applyFill="1" applyBorder="1" applyAlignment="1" applyProtection="1">
      <alignment horizontal="center"/>
    </xf>
    <xf numFmtId="170" fontId="89" fillId="0" borderId="0" xfId="2" applyNumberFormat="1" applyFont="1" applyFill="1" applyAlignment="1" applyProtection="1"/>
    <xf numFmtId="164" fontId="41" fillId="0" borderId="16" xfId="0" applyNumberFormat="1" applyFont="1" applyFill="1" applyBorder="1" applyAlignment="1" applyProtection="1"/>
    <xf numFmtId="166" fontId="46" fillId="0" borderId="0" xfId="2" applyNumberFormat="1" applyFont="1" applyFill="1" applyBorder="1" applyAlignment="1" applyProtection="1">
      <alignment horizontal="center"/>
    </xf>
    <xf numFmtId="172" fontId="41" fillId="0" borderId="0" xfId="1940" applyNumberFormat="1" applyFont="1" applyFill="1" applyBorder="1" applyAlignment="1" applyProtection="1"/>
    <xf numFmtId="0" fontId="166" fillId="0" borderId="0" xfId="2" applyNumberFormat="1" applyFont="1" applyFill="1" applyAlignment="1" applyProtection="1"/>
    <xf numFmtId="0" fontId="41" fillId="0" borderId="0" xfId="2" quotePrefix="1" applyNumberFormat="1" applyFont="1" applyFill="1" applyAlignment="1" applyProtection="1">
      <alignment horizontal="left"/>
    </xf>
    <xf numFmtId="172" fontId="46" fillId="0" borderId="66" xfId="0" applyNumberFormat="1" applyFont="1" applyFill="1" applyBorder="1" applyAlignment="1" applyProtection="1"/>
    <xf numFmtId="166" fontId="46" fillId="0" borderId="0" xfId="2" applyNumberFormat="1" applyFont="1" applyFill="1" applyProtection="1"/>
    <xf numFmtId="178" fontId="0" fillId="0" borderId="0" xfId="2" applyNumberFormat="1" applyFont="1" applyFill="1" applyProtection="1"/>
    <xf numFmtId="170" fontId="46" fillId="0" borderId="0" xfId="6" applyNumberFormat="1" applyFont="1" applyFill="1" applyBorder="1" applyAlignment="1" applyProtection="1"/>
    <xf numFmtId="170" fontId="46" fillId="0" borderId="0" xfId="2" applyNumberFormat="1" applyFont="1" applyFill="1" applyProtection="1"/>
    <xf numFmtId="165" fontId="41" fillId="0" borderId="0" xfId="2" quotePrefix="1" applyNumberFormat="1" applyFont="1" applyFill="1" applyAlignment="1" applyProtection="1">
      <alignment horizontal="left"/>
    </xf>
    <xf numFmtId="169" fontId="41" fillId="0" borderId="0" xfId="6" applyNumberFormat="1" applyFont="1" applyFill="1" applyBorder="1" applyAlignment="1" applyProtection="1"/>
    <xf numFmtId="0" fontId="84" fillId="0" borderId="0" xfId="2" applyFont="1" applyFill="1" applyAlignment="1" applyProtection="1"/>
    <xf numFmtId="164" fontId="46"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4" fillId="0" borderId="0" xfId="2" quotePrefix="1" applyNumberFormat="1" applyFont="1" applyFill="1" applyAlignment="1" applyProtection="1">
      <alignment horizontal="left"/>
    </xf>
    <xf numFmtId="166" fontId="84" fillId="0" borderId="0" xfId="2" applyNumberFormat="1" applyFont="1" applyFill="1" applyAlignment="1" applyProtection="1">
      <alignment horizontal="left"/>
    </xf>
    <xf numFmtId="172" fontId="46" fillId="0" borderId="70" xfId="2" applyNumberFormat="1" applyFont="1" applyBorder="1" applyAlignment="1" applyProtection="1"/>
    <xf numFmtId="164" fontId="39" fillId="0" borderId="0" xfId="1940" applyNumberFormat="1" applyFont="1" applyBorder="1" applyAlignment="1"/>
    <xf numFmtId="164" fontId="63" fillId="0" borderId="0" xfId="1940" applyNumberFormat="1" applyFont="1" applyFill="1" applyBorder="1" applyAlignment="1"/>
    <xf numFmtId="164" fontId="63" fillId="0" borderId="66" xfId="1940" applyNumberFormat="1" applyFont="1" applyBorder="1" applyAlignment="1"/>
    <xf numFmtId="164" fontId="68" fillId="0" borderId="66" xfId="1940" applyNumberFormat="1" applyFont="1" applyFill="1" applyBorder="1" applyAlignment="1"/>
    <xf numFmtId="164" fontId="46" fillId="0" borderId="107" xfId="2" applyNumberFormat="1" applyFont="1" applyBorder="1" applyAlignment="1" applyProtection="1"/>
    <xf numFmtId="166" fontId="39" fillId="0" borderId="0" xfId="0" applyNumberFormat="1" applyFont="1" applyFill="1" applyAlignment="1" applyProtection="1"/>
    <xf numFmtId="0" fontId="41" fillId="0" borderId="28" xfId="2" applyNumberFormat="1" applyFont="1" applyFill="1" applyBorder="1" applyAlignment="1" applyProtection="1"/>
    <xf numFmtId="172" fontId="170" fillId="0" borderId="66" xfId="0" applyNumberFormat="1" applyFont="1" applyBorder="1" applyAlignment="1" applyProtection="1"/>
    <xf numFmtId="165" fontId="39" fillId="0" borderId="0" xfId="2" applyNumberFormat="1" applyFont="1" applyFill="1" applyProtection="1">
      <protection locked="0"/>
    </xf>
    <xf numFmtId="165" fontId="89" fillId="0" borderId="0" xfId="2" applyNumberFormat="1" applyFont="1" applyFill="1" applyAlignment="1">
      <alignment horizontal="left"/>
    </xf>
    <xf numFmtId="165" fontId="91" fillId="0" borderId="0" xfId="2" applyNumberFormat="1" applyFont="1" applyFill="1" applyAlignment="1">
      <alignment horizontal="left"/>
    </xf>
    <xf numFmtId="0" fontId="68" fillId="0" borderId="0" xfId="2" quotePrefix="1" applyNumberFormat="1" applyFont="1" applyFill="1" applyAlignment="1">
      <alignment horizontal="left"/>
    </xf>
    <xf numFmtId="165" fontId="164" fillId="0" borderId="0" xfId="2" applyNumberFormat="1" applyFont="1" applyFill="1" applyAlignment="1"/>
    <xf numFmtId="0" fontId="40" fillId="0" borderId="0" xfId="2" quotePrefix="1" applyNumberFormat="1" applyFont="1" applyFill="1" applyAlignment="1">
      <alignment horizontal="left"/>
    </xf>
    <xf numFmtId="165" fontId="46" fillId="0" borderId="0" xfId="2" quotePrefix="1" applyNumberFormat="1" applyFont="1" applyFill="1" applyAlignment="1">
      <alignment horizontal="center"/>
    </xf>
    <xf numFmtId="0" fontId="161" fillId="0" borderId="0" xfId="2" applyFont="1" applyFill="1"/>
    <xf numFmtId="165" fontId="46" fillId="0" borderId="0" xfId="2" applyNumberFormat="1" applyFont="1" applyFill="1" applyBorder="1" applyAlignment="1">
      <alignment horizontal="center"/>
    </xf>
    <xf numFmtId="164" fontId="46" fillId="0" borderId="0" xfId="2" applyNumberFormat="1" applyFont="1" applyFill="1" applyBorder="1"/>
    <xf numFmtId="166" fontId="46" fillId="0" borderId="0" xfId="2" applyNumberFormat="1" applyFont="1" applyFill="1" applyBorder="1"/>
    <xf numFmtId="0" fontId="46" fillId="0" borderId="0" xfId="2" applyFont="1" applyFill="1"/>
    <xf numFmtId="170" fontId="41" fillId="0" borderId="0" xfId="2" quotePrefix="1" applyNumberFormat="1" applyFont="1" applyFill="1" applyAlignment="1">
      <alignment horizontal="left"/>
    </xf>
    <xf numFmtId="164" fontId="46" fillId="0" borderId="10" xfId="2" applyNumberFormat="1" applyFont="1" applyFill="1" applyBorder="1"/>
    <xf numFmtId="0" fontId="46" fillId="0" borderId="0" xfId="2" applyFont="1" applyFill="1" applyBorder="1"/>
    <xf numFmtId="164" fontId="46"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6" fillId="0" borderId="0" xfId="2" applyFont="1" applyFill="1"/>
    <xf numFmtId="172" fontId="46" fillId="0" borderId="0" xfId="0" applyNumberFormat="1" applyFont="1" applyFill="1" applyBorder="1" applyAlignment="1" applyProtection="1"/>
    <xf numFmtId="172" fontId="46" fillId="0" borderId="81" xfId="0" applyNumberFormat="1" applyFont="1" applyFill="1" applyBorder="1"/>
    <xf numFmtId="164" fontId="0" fillId="0" borderId="42" xfId="2" applyNumberFormat="1" applyFont="1" applyFill="1" applyBorder="1"/>
    <xf numFmtId="165" fontId="39" fillId="0" borderId="0" xfId="2" quotePrefix="1" applyNumberFormat="1" applyFont="1" applyFill="1" applyAlignment="1">
      <alignment horizontal="left"/>
    </xf>
    <xf numFmtId="168" fontId="41" fillId="0" borderId="0" xfId="2" applyNumberFormat="1" applyFont="1" applyFill="1" applyBorder="1" applyAlignment="1"/>
    <xf numFmtId="164" fontId="0" fillId="0" borderId="0" xfId="2" applyNumberFormat="1" applyFont="1" applyFill="1"/>
    <xf numFmtId="166" fontId="39" fillId="0" borderId="20" xfId="2" applyNumberFormat="1" applyFont="1" applyFill="1" applyBorder="1" applyAlignment="1"/>
    <xf numFmtId="166" fontId="41" fillId="0" borderId="20" xfId="2" applyNumberFormat="1" applyFont="1" applyFill="1" applyBorder="1" applyAlignment="1"/>
    <xf numFmtId="194" fontId="46" fillId="0" borderId="66" xfId="2" applyNumberFormat="1" applyFont="1" applyFill="1" applyBorder="1" applyAlignment="1"/>
    <xf numFmtId="174" fontId="63" fillId="0" borderId="0" xfId="2" applyNumberFormat="1" applyFont="1" applyFill="1" applyAlignment="1"/>
    <xf numFmtId="170" fontId="68" fillId="0" borderId="20" xfId="2" applyNumberFormat="1" applyFont="1" applyFill="1" applyBorder="1" applyAlignment="1">
      <alignment horizontal="right"/>
    </xf>
    <xf numFmtId="170" fontId="68" fillId="0" borderId="10" xfId="2" quotePrefix="1" applyNumberFormat="1" applyFont="1" applyFill="1" applyBorder="1" applyAlignment="1"/>
    <xf numFmtId="170" fontId="68" fillId="0" borderId="20" xfId="2" applyNumberFormat="1" applyFont="1" applyFill="1" applyBorder="1" applyAlignment="1">
      <alignment horizontal="center"/>
    </xf>
    <xf numFmtId="170" fontId="68" fillId="0" borderId="85" xfId="2" quotePrefix="1" applyNumberFormat="1" applyFont="1" applyFill="1" applyBorder="1" applyAlignment="1">
      <alignment horizontal="center"/>
    </xf>
    <xf numFmtId="170" fontId="170" fillId="0" borderId="24" xfId="2" applyNumberFormat="1" applyFont="1" applyFill="1" applyBorder="1" applyAlignment="1" applyProtection="1">
      <protection locked="0"/>
    </xf>
    <xf numFmtId="170" fontId="170" fillId="0" borderId="0" xfId="2" applyNumberFormat="1" applyFont="1" applyFill="1" applyAlignment="1" applyProtection="1">
      <protection locked="0"/>
    </xf>
    <xf numFmtId="170" fontId="169" fillId="0" borderId="24" xfId="2" applyNumberFormat="1" applyFont="1" applyFill="1" applyBorder="1" applyAlignment="1" applyProtection="1">
      <protection locked="0"/>
    </xf>
    <xf numFmtId="170" fontId="169" fillId="0" borderId="21" xfId="2" applyNumberFormat="1" applyFont="1" applyFill="1" applyBorder="1" applyAlignment="1" applyProtection="1">
      <protection locked="0"/>
    </xf>
    <xf numFmtId="170" fontId="170" fillId="0" borderId="20" xfId="2" applyNumberFormat="1" applyFont="1" applyFill="1" applyBorder="1" applyAlignment="1"/>
    <xf numFmtId="170" fontId="170" fillId="0" borderId="0" xfId="2" applyNumberFormat="1" applyFont="1" applyFill="1" applyBorder="1" applyAlignment="1" applyProtection="1">
      <protection locked="0"/>
    </xf>
    <xf numFmtId="170" fontId="170" fillId="0" borderId="24" xfId="2" applyNumberFormat="1" applyFont="1" applyFill="1" applyBorder="1" applyAlignment="1" applyProtection="1">
      <alignment horizontal="center"/>
      <protection locked="0"/>
    </xf>
    <xf numFmtId="170" fontId="170" fillId="0" borderId="0" xfId="2" applyNumberFormat="1" applyFont="1" applyFill="1" applyAlignment="1" applyProtection="1">
      <alignment horizontal="center"/>
      <protection locked="0"/>
    </xf>
    <xf numFmtId="170" fontId="63" fillId="0" borderId="10" xfId="2" quotePrefix="1" applyNumberFormat="1" applyFont="1" applyFill="1" applyBorder="1" applyAlignment="1">
      <alignment horizontal="center"/>
    </xf>
    <xf numFmtId="170" fontId="169" fillId="0" borderId="10" xfId="2" quotePrefix="1" applyNumberFormat="1" applyFont="1" applyFill="1" applyBorder="1" applyAlignment="1">
      <alignment horizontal="right"/>
    </xf>
    <xf numFmtId="170" fontId="169" fillId="0" borderId="0" xfId="2" applyNumberFormat="1" applyFont="1" applyFill="1" applyBorder="1" applyAlignment="1" applyProtection="1">
      <protection locked="0"/>
    </xf>
    <xf numFmtId="170" fontId="170" fillId="0" borderId="24" xfId="2" applyNumberFormat="1" applyFont="1" applyFill="1" applyBorder="1" applyAlignment="1">
      <alignment horizontal="center"/>
    </xf>
    <xf numFmtId="170" fontId="170" fillId="0" borderId="0" xfId="2" applyNumberFormat="1" applyFont="1" applyFill="1" applyBorder="1" applyAlignment="1">
      <alignment horizontal="center"/>
    </xf>
    <xf numFmtId="170" fontId="169" fillId="0" borderId="20" xfId="2" quotePrefix="1" applyNumberFormat="1" applyFont="1" applyFill="1" applyBorder="1" applyAlignment="1">
      <alignment horizontal="center"/>
    </xf>
    <xf numFmtId="170" fontId="169" fillId="0" borderId="24" xfId="2" applyNumberFormat="1" applyFont="1" applyFill="1" applyBorder="1" applyAlignment="1" applyProtection="1">
      <alignment horizontal="right"/>
      <protection locked="0"/>
    </xf>
    <xf numFmtId="170" fontId="169" fillId="0" borderId="0" xfId="2" applyNumberFormat="1" applyFont="1" applyFill="1" applyBorder="1" applyAlignment="1" applyProtection="1">
      <alignment horizontal="right"/>
      <protection locked="0"/>
    </xf>
    <xf numFmtId="170" fontId="169" fillId="0" borderId="18" xfId="2" applyNumberFormat="1" applyFont="1" applyFill="1" applyBorder="1" applyAlignment="1"/>
    <xf numFmtId="174" fontId="169" fillId="0" borderId="20" xfId="2" applyNumberFormat="1" applyFont="1" applyFill="1" applyBorder="1" applyAlignment="1"/>
    <xf numFmtId="174" fontId="169" fillId="0" borderId="18" xfId="2" applyNumberFormat="1" applyFont="1" applyFill="1" applyBorder="1" applyAlignment="1"/>
    <xf numFmtId="170" fontId="63" fillId="0" borderId="24" xfId="2" applyNumberFormat="1" applyFont="1" applyFill="1" applyBorder="1" applyAlignment="1" applyProtection="1">
      <alignment horizontal="center"/>
      <protection locked="0"/>
    </xf>
    <xf numFmtId="170" fontId="63" fillId="0" borderId="0" xfId="2" applyNumberFormat="1" applyFont="1" applyFill="1" applyAlignment="1" applyProtection="1">
      <alignment horizontal="center"/>
      <protection locked="0"/>
    </xf>
    <xf numFmtId="170" fontId="63" fillId="0" borderId="66" xfId="2" quotePrefix="1" applyNumberFormat="1" applyFont="1" applyFill="1" applyBorder="1" applyAlignment="1">
      <alignment horizontal="right"/>
    </xf>
    <xf numFmtId="170" fontId="68" fillId="0" borderId="0" xfId="2" applyNumberFormat="1" applyFont="1" applyFill="1" applyBorder="1" applyAlignment="1" applyProtection="1">
      <protection locked="0"/>
    </xf>
    <xf numFmtId="170" fontId="68" fillId="0" borderId="24" xfId="2" applyNumberFormat="1" applyFont="1" applyFill="1" applyBorder="1" applyAlignment="1" applyProtection="1">
      <alignment horizontal="right"/>
      <protection locked="0"/>
    </xf>
    <xf numFmtId="170" fontId="68" fillId="0" borderId="0" xfId="2" applyNumberFormat="1" applyFont="1" applyFill="1" applyBorder="1" applyAlignment="1" applyProtection="1">
      <alignment horizontal="right"/>
      <protection locked="0"/>
    </xf>
    <xf numFmtId="170" fontId="68" fillId="0" borderId="18" xfId="2" applyNumberFormat="1" applyFont="1" applyFill="1" applyBorder="1" applyAlignment="1"/>
    <xf numFmtId="174" fontId="68" fillId="0" borderId="18" xfId="2" applyNumberFormat="1" applyFont="1" applyFill="1" applyBorder="1" applyAlignment="1"/>
    <xf numFmtId="174" fontId="68" fillId="0" borderId="35" xfId="2" applyNumberFormat="1" applyFont="1" applyFill="1" applyBorder="1" applyAlignment="1"/>
    <xf numFmtId="0" fontId="51" fillId="0" borderId="0" xfId="0" applyNumberFormat="1" applyFont="1" applyFill="1" applyBorder="1" applyAlignment="1" applyProtection="1">
      <alignment horizontal="left"/>
    </xf>
    <xf numFmtId="166" fontId="51" fillId="0" borderId="0" xfId="8" applyNumberFormat="1" applyFont="1" applyAlignment="1">
      <alignment horizontal="right" vertical="top"/>
    </xf>
    <xf numFmtId="7" fontId="46" fillId="0" borderId="0" xfId="25863" applyNumberFormat="1" applyFont="1" applyFill="1" applyBorder="1" applyAlignment="1">
      <alignment horizontal="center"/>
    </xf>
    <xf numFmtId="0" fontId="200" fillId="0" borderId="0" xfId="25863" applyFont="1" applyFill="1" applyBorder="1" applyAlignment="1">
      <alignment horizontal="left"/>
    </xf>
    <xf numFmtId="7" fontId="39" fillId="0" borderId="0" xfId="25863" applyNumberFormat="1" applyFont="1" applyFill="1"/>
    <xf numFmtId="0" fontId="149" fillId="0" borderId="0" xfId="25864" applyFont="1" applyFill="1" applyBorder="1">
      <alignment horizontal="right"/>
    </xf>
    <xf numFmtId="7" fontId="39" fillId="0" borderId="0" xfId="25864" applyNumberFormat="1" applyFont="1" applyFill="1" applyBorder="1">
      <alignment horizontal="right"/>
    </xf>
    <xf numFmtId="0" fontId="39" fillId="0" borderId="0" xfId="25864" applyFont="1" applyFill="1" applyBorder="1">
      <alignment horizontal="right"/>
    </xf>
    <xf numFmtId="44" fontId="39" fillId="0" borderId="0" xfId="25874" applyNumberFormat="1" applyFont="1" applyFill="1" applyBorder="1"/>
    <xf numFmtId="44" fontId="46" fillId="0" borderId="0" xfId="25874" applyNumberFormat="1" applyFont="1" applyFill="1" applyBorder="1"/>
    <xf numFmtId="43" fontId="46" fillId="0" borderId="0" xfId="25874" applyNumberFormat="1" applyFont="1" applyFill="1" applyBorder="1" applyAlignment="1">
      <alignment horizontal="right"/>
    </xf>
    <xf numFmtId="43" fontId="149" fillId="0" borderId="0" xfId="25863" applyNumberFormat="1" applyFont="1" applyFill="1" applyBorder="1" applyAlignment="1">
      <alignment horizontal="left"/>
    </xf>
    <xf numFmtId="0" fontId="37" fillId="0" borderId="0" xfId="25863" applyFont="1" applyFill="1" applyBorder="1" applyAlignment="1">
      <alignment horizontal="left"/>
    </xf>
    <xf numFmtId="177" fontId="39" fillId="0" borderId="0" xfId="1776" applyNumberFormat="1" applyBorder="1" applyAlignment="1"/>
    <xf numFmtId="164" fontId="112" fillId="0" borderId="103" xfId="0" applyFont="1" applyFill="1" applyBorder="1" applyAlignment="1">
      <alignment horizontal="left"/>
    </xf>
    <xf numFmtId="4" fontId="112" fillId="0" borderId="0" xfId="0" applyNumberFormat="1" applyFont="1" applyFill="1" applyBorder="1"/>
    <xf numFmtId="43" fontId="112" fillId="0" borderId="103" xfId="0" applyNumberFormat="1" applyFont="1" applyFill="1" applyBorder="1"/>
    <xf numFmtId="168" fontId="39" fillId="0" borderId="0" xfId="2" applyNumberFormat="1" applyFont="1" applyBorder="1" applyAlignment="1" applyProtection="1"/>
    <xf numFmtId="43" fontId="168" fillId="0" borderId="0" xfId="0" applyNumberFormat="1" applyFont="1" applyAlignment="1"/>
    <xf numFmtId="42" fontId="39" fillId="0" borderId="0" xfId="0" quotePrefix="1" applyNumberFormat="1" applyFont="1" applyFill="1" applyBorder="1" applyAlignment="1"/>
    <xf numFmtId="41" fontId="39" fillId="0" borderId="0" xfId="0" quotePrefix="1" applyNumberFormat="1" applyFont="1" applyFill="1" applyBorder="1" applyAlignment="1"/>
    <xf numFmtId="41" fontId="39" fillId="0" borderId="0" xfId="0" quotePrefix="1" applyNumberFormat="1" applyFont="1" applyFill="1" applyBorder="1" applyAlignment="1">
      <alignment horizontal="center"/>
    </xf>
    <xf numFmtId="41" fontId="39" fillId="0" borderId="0" xfId="0" applyNumberFormat="1" applyFont="1" applyFill="1" applyBorder="1" applyAlignment="1">
      <alignment horizontal="center"/>
    </xf>
    <xf numFmtId="164" fontId="63" fillId="0" borderId="0" xfId="0" applyFont="1" applyFill="1"/>
    <xf numFmtId="41" fontId="39" fillId="0" borderId="66" xfId="0" quotePrefix="1" applyNumberFormat="1" applyFont="1" applyFill="1" applyBorder="1" applyAlignment="1">
      <alignment horizontal="center"/>
    </xf>
    <xf numFmtId="170" fontId="46" fillId="0" borderId="10" xfId="0" applyNumberFormat="1" applyFont="1" applyFill="1" applyBorder="1" applyAlignment="1" applyProtection="1">
      <alignment horizontal="center"/>
    </xf>
    <xf numFmtId="170" fontId="46" fillId="0" borderId="18" xfId="0" applyNumberFormat="1" applyFont="1" applyFill="1" applyBorder="1" applyAlignment="1" applyProtection="1"/>
    <xf numFmtId="41" fontId="168" fillId="0" borderId="0" xfId="0" applyNumberFormat="1" applyFont="1" applyFill="1" applyAlignment="1">
      <alignment horizontal="right"/>
    </xf>
    <xf numFmtId="42" fontId="44" fillId="0" borderId="0" xfId="5508" applyNumberFormat="1" applyFont="1" applyFill="1" applyBorder="1"/>
    <xf numFmtId="200" fontId="39" fillId="0" borderId="0" xfId="0" applyNumberFormat="1" applyFont="1" applyFill="1" applyBorder="1" applyAlignment="1" applyProtection="1"/>
    <xf numFmtId="170" fontId="46" fillId="0" borderId="93" xfId="0" applyNumberFormat="1" applyFont="1" applyFill="1" applyBorder="1" applyAlignment="1" applyProtection="1"/>
    <xf numFmtId="165" fontId="46" fillId="0" borderId="21" xfId="0" applyNumberFormat="1" applyFont="1" applyFill="1" applyBorder="1" applyAlignment="1" applyProtection="1"/>
    <xf numFmtId="165" fontId="46" fillId="0" borderId="14" xfId="0" applyNumberFormat="1" applyFont="1" applyFill="1" applyBorder="1" applyAlignment="1" applyProtection="1"/>
    <xf numFmtId="174" fontId="46" fillId="0" borderId="81" xfId="0" applyNumberFormat="1" applyFont="1" applyFill="1" applyBorder="1" applyAlignment="1" applyProtection="1"/>
    <xf numFmtId="174" fontId="46" fillId="0" borderId="0" xfId="0" applyNumberFormat="1" applyFont="1" applyFill="1" applyAlignment="1" applyProtection="1">
      <alignment horizontal="center"/>
    </xf>
    <xf numFmtId="174" fontId="46" fillId="0" borderId="26" xfId="0" applyNumberFormat="1" applyFont="1" applyFill="1" applyBorder="1" applyAlignment="1" applyProtection="1"/>
    <xf numFmtId="174" fontId="46" fillId="0" borderId="93" xfId="0" applyNumberFormat="1" applyFont="1" applyFill="1" applyBorder="1" applyAlignment="1" applyProtection="1"/>
    <xf numFmtId="0" fontId="193" fillId="0" borderId="0" xfId="25863" applyFont="1" applyFill="1" applyBorder="1" applyAlignment="1">
      <alignment horizontal="left"/>
    </xf>
    <xf numFmtId="0" fontId="193" fillId="0" borderId="0" xfId="25863" applyFont="1" applyFill="1" applyAlignment="1">
      <alignment horizontal="left"/>
    </xf>
    <xf numFmtId="0" fontId="40" fillId="0" borderId="0" xfId="25863" quotePrefix="1" applyNumberFormat="1" applyFont="1" applyFill="1" applyAlignment="1">
      <alignment horizontal="left"/>
    </xf>
    <xf numFmtId="0" fontId="149" fillId="0" borderId="0" xfId="25863" applyFont="1" applyFill="1" applyBorder="1" applyAlignment="1">
      <alignment horizontal="left"/>
    </xf>
    <xf numFmtId="0" fontId="46" fillId="0" borderId="0" xfId="25865" applyFont="1" applyFill="1"/>
    <xf numFmtId="37" fontId="149" fillId="0" borderId="0" xfId="25864" applyNumberFormat="1" applyFont="1" applyFill="1" applyBorder="1">
      <alignment horizontal="right"/>
    </xf>
    <xf numFmtId="0" fontId="0" fillId="0" borderId="0" xfId="25864" applyFont="1" applyFill="1" applyBorder="1">
      <alignment horizontal="right"/>
    </xf>
    <xf numFmtId="0" fontId="50" fillId="0" borderId="0" xfId="25866" applyFont="1" applyFill="1" applyBorder="1" applyAlignment="1">
      <alignment horizontal="left"/>
    </xf>
    <xf numFmtId="0" fontId="39" fillId="0" borderId="0" xfId="25866" applyFont="1" applyFill="1"/>
    <xf numFmtId="44" fontId="46" fillId="0" borderId="0" xfId="25868" applyFont="1" applyFill="1" applyBorder="1"/>
    <xf numFmtId="0" fontId="0" fillId="0" borderId="0" xfId="25866" applyFont="1" applyFill="1"/>
    <xf numFmtId="44" fontId="0" fillId="0" borderId="0" xfId="25866" applyNumberFormat="1" applyFont="1" applyFill="1"/>
    <xf numFmtId="43" fontId="39" fillId="0" borderId="0" xfId="25869" applyNumberFormat="1" applyFont="1" applyFill="1" applyBorder="1"/>
    <xf numFmtId="0" fontId="166" fillId="0" borderId="0" xfId="25866" applyFont="1" applyFill="1"/>
    <xf numFmtId="0" fontId="46" fillId="0" borderId="0" xfId="25871" applyFont="1" applyFill="1"/>
    <xf numFmtId="43" fontId="46" fillId="0" borderId="103" xfId="25868" applyNumberFormat="1" applyFont="1" applyFill="1" applyBorder="1" applyAlignment="1">
      <alignment horizontal="right"/>
    </xf>
    <xf numFmtId="44" fontId="46" fillId="0" borderId="0" xfId="25868" applyNumberFormat="1" applyFont="1" applyFill="1" applyBorder="1" applyAlignment="1">
      <alignment horizontal="right"/>
    </xf>
    <xf numFmtId="0" fontId="168" fillId="0" borderId="0" xfId="25872" applyFont="1" applyFill="1" applyBorder="1" applyAlignment="1">
      <alignment horizontal="left" wrapText="1"/>
    </xf>
    <xf numFmtId="0" fontId="149" fillId="0" borderId="0" xfId="25872" applyFont="1" applyFill="1" applyBorder="1"/>
    <xf numFmtId="44" fontId="46" fillId="0" borderId="87" xfId="25868" applyNumberFormat="1" applyFont="1" applyFill="1" applyBorder="1"/>
    <xf numFmtId="0" fontId="112" fillId="0" borderId="0" xfId="25863" applyFont="1" applyFill="1" applyBorder="1" applyAlignment="1">
      <alignment horizontal="left"/>
    </xf>
    <xf numFmtId="171" fontId="112" fillId="0" borderId="0" xfId="25863" applyNumberFormat="1" applyFont="1" applyFill="1" applyBorder="1" applyAlignment="1">
      <alignment horizontal="left"/>
    </xf>
    <xf numFmtId="0" fontId="204" fillId="0" borderId="0" xfId="25863" applyFont="1" applyFill="1" applyBorder="1" applyAlignment="1">
      <alignment horizontal="left" vertical="top"/>
    </xf>
    <xf numFmtId="43" fontId="112" fillId="0" borderId="0" xfId="25863" applyNumberFormat="1" applyFont="1" applyFill="1" applyBorder="1" applyAlignment="1">
      <alignment horizontal="left"/>
    </xf>
    <xf numFmtId="44" fontId="44" fillId="0" borderId="0" xfId="25863" applyNumberFormat="1" applyFont="1" applyFill="1"/>
    <xf numFmtId="0" fontId="168" fillId="0" borderId="0" xfId="25863" applyFont="1" applyFill="1" applyBorder="1" applyAlignment="1">
      <alignment horizontal="left" vertical="top"/>
    </xf>
    <xf numFmtId="43" fontId="166" fillId="0" borderId="0" xfId="25872" applyNumberFormat="1" applyFont="1" applyFill="1" applyBorder="1" applyAlignment="1">
      <alignment horizontal="left"/>
    </xf>
    <xf numFmtId="44" fontId="166" fillId="0" borderId="0" xfId="25872" applyNumberFormat="1" applyFont="1" applyFill="1" applyBorder="1" applyAlignment="1">
      <alignment horizontal="left"/>
    </xf>
    <xf numFmtId="43" fontId="103" fillId="0" borderId="0" xfId="0" applyNumberFormat="1" applyFont="1" applyFill="1" applyAlignment="1">
      <alignment vertical="top" wrapText="1"/>
    </xf>
    <xf numFmtId="44" fontId="166" fillId="0" borderId="0" xfId="25873" applyNumberFormat="1" applyFont="1" applyFill="1" applyBorder="1" applyAlignment="1">
      <alignment horizontal="left"/>
    </xf>
    <xf numFmtId="43" fontId="166" fillId="0" borderId="0" xfId="25872" applyNumberFormat="1" applyFont="1" applyFill="1" applyBorder="1"/>
    <xf numFmtId="0" fontId="168" fillId="0" borderId="0" xfId="25863" applyFont="1" applyFill="1" applyBorder="1" applyAlignment="1">
      <alignment horizontal="left" vertical="top" wrapText="1"/>
    </xf>
    <xf numFmtId="43" fontId="44" fillId="0" borderId="0" xfId="25863" applyNumberFormat="1" applyFont="1" applyFill="1"/>
    <xf numFmtId="43" fontId="37" fillId="0" borderId="0" xfId="25863" applyNumberFormat="1" applyFont="1" applyFill="1" applyBorder="1" applyAlignment="1">
      <alignment horizontal="left"/>
    </xf>
    <xf numFmtId="43" fontId="192" fillId="0" borderId="0" xfId="25863" applyNumberFormat="1" applyFill="1"/>
    <xf numFmtId="44" fontId="37" fillId="0" borderId="0" xfId="25863" applyNumberFormat="1" applyFont="1" applyFill="1" applyBorder="1" applyAlignment="1">
      <alignment horizontal="left"/>
    </xf>
    <xf numFmtId="44" fontId="192" fillId="0" borderId="0" xfId="25863" applyNumberFormat="1" applyFill="1"/>
    <xf numFmtId="0" fontId="195" fillId="0" borderId="0" xfId="25863" quotePrefix="1" applyNumberFormat="1" applyFont="1" applyFill="1" applyAlignment="1">
      <alignment horizontal="left"/>
    </xf>
    <xf numFmtId="0" fontId="50" fillId="0" borderId="0" xfId="25863" applyFont="1" applyFill="1" applyBorder="1" applyAlignment="1">
      <alignment horizontal="left"/>
    </xf>
    <xf numFmtId="0" fontId="201" fillId="0" borderId="0" xfId="25863" applyFont="1" applyFill="1" applyBorder="1" applyAlignment="1">
      <alignment horizontal="center"/>
    </xf>
    <xf numFmtId="43" fontId="0" fillId="0" borderId="0" xfId="25864" applyNumberFormat="1" applyFont="1" applyFill="1" applyBorder="1">
      <alignment horizontal="right"/>
    </xf>
    <xf numFmtId="0" fontId="200" fillId="0" borderId="0" xfId="25863" applyFont="1" applyFill="1" applyBorder="1"/>
    <xf numFmtId="44" fontId="39" fillId="0" borderId="0" xfId="0" applyNumberFormat="1" applyFont="1" applyFill="1"/>
    <xf numFmtId="0" fontId="168" fillId="0" borderId="0" xfId="25863" applyFont="1" applyFill="1" applyBorder="1" applyAlignment="1">
      <alignment horizontal="left"/>
    </xf>
    <xf numFmtId="170" fontId="41" fillId="0" borderId="10" xfId="2" applyNumberFormat="1" applyFont="1" applyFill="1" applyBorder="1" applyAlignment="1"/>
    <xf numFmtId="170" fontId="46" fillId="0" borderId="10" xfId="1" applyNumberFormat="1" applyFont="1" applyFill="1" applyBorder="1" applyAlignment="1"/>
    <xf numFmtId="0" fontId="41" fillId="0" borderId="0" xfId="2" applyFont="1" applyFill="1" applyBorder="1" applyAlignment="1"/>
    <xf numFmtId="0" fontId="46" fillId="0" borderId="10" xfId="2" quotePrefix="1" applyNumberFormat="1" applyFont="1" applyFill="1" applyBorder="1" applyAlignment="1">
      <alignment horizontal="center"/>
    </xf>
    <xf numFmtId="170" fontId="41" fillId="0" borderId="0" xfId="0" quotePrefix="1" applyNumberFormat="1" applyFont="1" applyFill="1" applyBorder="1" applyAlignment="1" applyProtection="1">
      <alignment horizontal="center"/>
    </xf>
    <xf numFmtId="165" fontId="49" fillId="0" borderId="0" xfId="0" applyNumberFormat="1" applyFont="1" applyFill="1" applyBorder="1" applyAlignment="1" applyProtection="1"/>
    <xf numFmtId="165" fontId="47" fillId="0" borderId="0" xfId="0" applyNumberFormat="1" applyFont="1" applyFill="1" applyBorder="1" applyAlignment="1" applyProtection="1"/>
    <xf numFmtId="165" fontId="146" fillId="0" borderId="0" xfId="0" applyNumberFormat="1" applyFont="1" applyFill="1" applyBorder="1" applyAlignment="1" applyProtection="1"/>
    <xf numFmtId="165" fontId="48" fillId="0" borderId="0" xfId="0" applyNumberFormat="1" applyFont="1" applyFill="1" applyBorder="1" applyAlignment="1" applyProtection="1"/>
    <xf numFmtId="170" fontId="39" fillId="0" borderId="20" xfId="0" quotePrefix="1" applyNumberFormat="1" applyFont="1" applyFill="1" applyBorder="1" applyAlignment="1" applyProtection="1">
      <alignment horizontal="center"/>
    </xf>
    <xf numFmtId="170" fontId="61" fillId="0" borderId="66" xfId="2" applyNumberFormat="1" applyFont="1" applyFill="1" applyBorder="1" applyAlignment="1"/>
    <xf numFmtId="170" fontId="41" fillId="0" borderId="66" xfId="2" applyNumberFormat="1" applyFont="1" applyFill="1" applyBorder="1" applyAlignment="1"/>
    <xf numFmtId="170" fontId="61" fillId="0" borderId="20" xfId="2" applyNumberFormat="1" applyFont="1" applyFill="1" applyBorder="1" applyAlignment="1" applyProtection="1"/>
    <xf numFmtId="170" fontId="46" fillId="0" borderId="95" xfId="0" quotePrefix="1" applyNumberFormat="1" applyFont="1" applyFill="1" applyBorder="1" applyAlignment="1" applyProtection="1"/>
    <xf numFmtId="166" fontId="61" fillId="0" borderId="0" xfId="2" applyNumberFormat="1" applyFont="1" applyFill="1" applyAlignment="1" applyProtection="1">
      <alignment horizontal="right"/>
    </xf>
    <xf numFmtId="170" fontId="138" fillId="0" borderId="0" xfId="2" applyNumberFormat="1" applyFont="1" applyFill="1" applyBorder="1" applyAlignment="1" applyProtection="1"/>
    <xf numFmtId="0" fontId="0" fillId="0" borderId="0" xfId="0" applyNumberFormat="1" applyFont="1" applyFill="1" applyBorder="1" applyAlignment="1" applyProtection="1">
      <alignment horizontal="left"/>
    </xf>
    <xf numFmtId="43" fontId="0" fillId="0" borderId="0" xfId="25866" applyNumberFormat="1" applyFont="1" applyFill="1"/>
    <xf numFmtId="170" fontId="50" fillId="0" borderId="0" xfId="2" applyNumberFormat="1" applyFont="1" applyFill="1" applyAlignment="1" applyProtection="1"/>
    <xf numFmtId="170" fontId="50" fillId="0" borderId="0" xfId="2" applyNumberFormat="1" applyFont="1" applyFill="1" applyAlignment="1">
      <alignment horizontal="right"/>
    </xf>
    <xf numFmtId="43" fontId="50" fillId="0" borderId="0" xfId="1767" applyNumberFormat="1" applyFont="1" applyFill="1" applyAlignment="1" applyProtection="1">
      <alignment horizontal="right"/>
    </xf>
    <xf numFmtId="42" fontId="44" fillId="0" borderId="0" xfId="0" applyNumberFormat="1" applyFont="1" applyFill="1"/>
    <xf numFmtId="170" fontId="39" fillId="0" borderId="15" xfId="4" applyNumberFormat="1" applyFont="1" applyFill="1" applyBorder="1" applyProtection="1"/>
    <xf numFmtId="170" fontId="39" fillId="0" borderId="0" xfId="4" applyNumberFormat="1" applyFont="1" applyFill="1" applyBorder="1" applyProtection="1"/>
    <xf numFmtId="43" fontId="39" fillId="0" borderId="0" xfId="25872" applyNumberFormat="1" applyFont="1" applyFill="1" applyBorder="1"/>
    <xf numFmtId="43" fontId="168" fillId="0" borderId="0" xfId="0" applyNumberFormat="1" applyFont="1" applyFill="1" applyAlignment="1"/>
    <xf numFmtId="44" fontId="168" fillId="0" borderId="0" xfId="0" applyNumberFormat="1" applyFont="1" applyAlignment="1"/>
    <xf numFmtId="37" fontId="50" fillId="0" borderId="0" xfId="25872" applyNumberFormat="1" applyFont="1" applyFill="1" applyBorder="1" applyAlignment="1">
      <alignment horizontal="left"/>
    </xf>
    <xf numFmtId="37" fontId="50" fillId="0" borderId="0" xfId="25872" applyNumberFormat="1" applyFont="1" applyFill="1" applyBorder="1"/>
    <xf numFmtId="49" fontId="44" fillId="0" borderId="0" xfId="0" applyNumberFormat="1" applyFont="1" applyFill="1" applyAlignment="1" applyProtection="1">
      <alignment horizontal="left" vertical="top"/>
    </xf>
    <xf numFmtId="166" fontId="39" fillId="0" borderId="0" xfId="8" applyNumberFormat="1" applyFont="1"/>
    <xf numFmtId="169" fontId="39" fillId="0" borderId="0" xfId="8" applyNumberFormat="1" applyFont="1"/>
    <xf numFmtId="170" fontId="39" fillId="0" borderId="0" xfId="0" quotePrefix="1" applyNumberFormat="1" applyFont="1" applyAlignment="1">
      <alignment horizontal="right"/>
    </xf>
    <xf numFmtId="170" fontId="61" fillId="0" borderId="46" xfId="2" applyNumberFormat="1" applyFont="1" applyFill="1" applyBorder="1" applyAlignment="1"/>
    <xf numFmtId="165" fontId="39" fillId="0" borderId="0" xfId="0" applyNumberFormat="1" applyFont="1" applyFill="1" applyBorder="1" applyAlignment="1"/>
    <xf numFmtId="166" fontId="39" fillId="0" borderId="0" xfId="0" applyNumberFormat="1" applyFont="1" applyFill="1" applyBorder="1" applyAlignment="1">
      <alignment horizontal="left"/>
    </xf>
    <xf numFmtId="0" fontId="39" fillId="0" borderId="0" xfId="2" applyFont="1" applyFill="1" applyAlignment="1">
      <alignment horizontal="left"/>
    </xf>
    <xf numFmtId="0" fontId="45" fillId="0" borderId="66" xfId="9967" applyNumberFormat="1" applyFont="1" applyFill="1" applyBorder="1" applyAlignment="1">
      <alignment horizontal="center"/>
    </xf>
    <xf numFmtId="177" fontId="63" fillId="0" borderId="0" xfId="740" applyNumberFormat="1" applyFont="1" applyFill="1" applyAlignment="1"/>
    <xf numFmtId="0" fontId="39" fillId="0" borderId="0" xfId="1767" applyFont="1" applyProtection="1"/>
    <xf numFmtId="0" fontId="39" fillId="0" borderId="0" xfId="1767" applyFont="1" applyFill="1" applyProtection="1"/>
    <xf numFmtId="0" fontId="39" fillId="0" borderId="0" xfId="1028" quotePrefix="1" applyAlignment="1">
      <alignment horizontal="center"/>
    </xf>
    <xf numFmtId="4" fontId="39" fillId="0" borderId="0" xfId="1028" applyNumberFormat="1"/>
    <xf numFmtId="4" fontId="39" fillId="0" borderId="0" xfId="1028" applyNumberFormat="1" applyAlignment="1">
      <alignment horizontal="left"/>
    </xf>
    <xf numFmtId="0" fontId="39" fillId="0" borderId="0" xfId="1028" applyFont="1" applyAlignment="1" applyProtection="1">
      <alignment horizontal="left"/>
    </xf>
    <xf numFmtId="166" fontId="46" fillId="0" borderId="0" xfId="0" applyNumberFormat="1" applyFont="1" applyFill="1" applyBorder="1" applyAlignment="1" applyProtection="1">
      <alignment horizontal="center"/>
    </xf>
    <xf numFmtId="164" fontId="43" fillId="0" borderId="0" xfId="0" applyFont="1" applyFill="1" applyBorder="1" applyAlignment="1" applyProtection="1">
      <alignment horizontal="left"/>
    </xf>
    <xf numFmtId="170" fontId="46" fillId="0" borderId="10" xfId="2" applyNumberFormat="1" applyFont="1" applyFill="1" applyBorder="1" applyAlignment="1" applyProtection="1">
      <alignment horizontal="right"/>
    </xf>
    <xf numFmtId="164" fontId="46" fillId="0" borderId="16" xfId="0" applyNumberFormat="1" applyFont="1" applyBorder="1" applyProtection="1">
      <protection locked="0"/>
    </xf>
    <xf numFmtId="172" fontId="170" fillId="0" borderId="0" xfId="1940" applyNumberFormat="1" applyFont="1" applyAlignment="1"/>
    <xf numFmtId="172" fontId="170" fillId="0" borderId="0" xfId="0" applyNumberFormat="1" applyFont="1" applyBorder="1" applyAlignment="1" applyProtection="1"/>
    <xf numFmtId="181" fontId="99" fillId="0" borderId="0" xfId="740" applyNumberFormat="1" applyFont="1" applyFill="1" applyBorder="1"/>
    <xf numFmtId="0" fontId="68" fillId="0" borderId="0" xfId="25863" quotePrefix="1" applyNumberFormat="1" applyFont="1" applyFill="1" applyAlignment="1">
      <alignment horizontal="left"/>
    </xf>
    <xf numFmtId="172" fontId="39" fillId="0" borderId="10" xfId="0" applyNumberFormat="1" applyFont="1" applyBorder="1" applyAlignment="1" applyProtection="1"/>
    <xf numFmtId="172" fontId="68" fillId="0" borderId="0" xfId="1940" applyNumberFormat="1" applyFont="1" applyAlignment="1"/>
    <xf numFmtId="200" fontId="65" fillId="0" borderId="0" xfId="0" applyNumberFormat="1" applyFont="1" applyFill="1" applyAlignment="1" applyProtection="1"/>
    <xf numFmtId="201" fontId="39" fillId="0" borderId="0" xfId="0" applyNumberFormat="1" applyFont="1" applyAlignment="1" applyProtection="1"/>
    <xf numFmtId="170" fontId="39" fillId="0" borderId="0" xfId="2" applyNumberFormat="1" applyAlignment="1">
      <alignment horizontal="center"/>
    </xf>
    <xf numFmtId="170" fontId="39" fillId="0" borderId="0" xfId="2" applyNumberFormat="1" applyAlignment="1">
      <alignment horizontal="right"/>
    </xf>
    <xf numFmtId="170" fontId="39" fillId="0" borderId="0" xfId="2" applyNumberFormat="1"/>
    <xf numFmtId="177" fontId="50" fillId="0" borderId="0" xfId="1767" applyNumberFormat="1" applyFont="1" applyFill="1" applyAlignment="1">
      <alignment horizontal="left"/>
    </xf>
    <xf numFmtId="177" fontId="50" fillId="0" borderId="0" xfId="740" applyNumberFormat="1" applyFont="1" applyFill="1" applyAlignment="1">
      <alignment horizontal="center"/>
    </xf>
    <xf numFmtId="172" fontId="65" fillId="0" borderId="0" xfId="0" applyNumberFormat="1" applyFont="1" applyAlignment="1" applyProtection="1"/>
    <xf numFmtId="166" fontId="51" fillId="0" borderId="0" xfId="8" quotePrefix="1" applyNumberFormat="1" applyFont="1" applyFill="1" applyAlignment="1"/>
    <xf numFmtId="43" fontId="39" fillId="0" borderId="0" xfId="25863" applyNumberFormat="1" applyFont="1" applyFill="1" applyBorder="1" applyAlignment="1">
      <alignment horizontal="right" wrapText="1"/>
    </xf>
    <xf numFmtId="43" fontId="50" fillId="0" borderId="0" xfId="25863" applyNumberFormat="1" applyFont="1" applyFill="1" applyBorder="1" applyAlignment="1">
      <alignment horizontal="left"/>
    </xf>
    <xf numFmtId="43" fontId="50" fillId="0" borderId="0" xfId="25863" applyNumberFormat="1" applyFont="1" applyFill="1" applyBorder="1" applyAlignment="1">
      <alignment horizontal="right"/>
    </xf>
    <xf numFmtId="43" fontId="50" fillId="0" borderId="0" xfId="0" applyNumberFormat="1" applyFont="1" applyFill="1" applyAlignment="1"/>
    <xf numFmtId="43" fontId="50" fillId="0" borderId="0" xfId="25863" applyNumberFormat="1" applyFont="1" applyFill="1"/>
    <xf numFmtId="43" fontId="50" fillId="0" borderId="0" xfId="25863" applyNumberFormat="1" applyFont="1" applyFill="1" applyAlignment="1">
      <alignment wrapText="1"/>
    </xf>
    <xf numFmtId="44" fontId="50" fillId="0" borderId="0" xfId="25872" applyNumberFormat="1" applyFont="1" applyFill="1" applyBorder="1" applyAlignment="1">
      <alignment horizontal="left"/>
    </xf>
    <xf numFmtId="44" fontId="39" fillId="0" borderId="0" xfId="25872" applyNumberFormat="1" applyFont="1" applyFill="1" applyBorder="1"/>
    <xf numFmtId="43" fontId="39" fillId="0" borderId="0" xfId="25863" applyNumberFormat="1" applyFont="1" applyFill="1" applyBorder="1" applyAlignment="1"/>
    <xf numFmtId="43" fontId="39" fillId="0" borderId="0" xfId="25863" applyNumberFormat="1" applyFont="1" applyFill="1" applyBorder="1" applyAlignment="1">
      <alignment horizontal="left"/>
    </xf>
    <xf numFmtId="0" fontId="51" fillId="0" borderId="0" xfId="8" applyNumberFormat="1" applyFont="1" applyFill="1" applyAlignment="1">
      <alignment horizontal="left" vertical="top"/>
    </xf>
    <xf numFmtId="0" fontId="51" fillId="0" borderId="0" xfId="8" applyFont="1" applyFill="1" applyAlignment="1">
      <alignment horizontal="left" vertical="top"/>
    </xf>
    <xf numFmtId="164" fontId="51" fillId="0" borderId="0" xfId="0" applyFont="1" applyFill="1"/>
    <xf numFmtId="0" fontId="51" fillId="0" borderId="0" xfId="8" applyNumberFormat="1" applyFont="1" applyAlignment="1">
      <alignment horizontal="left"/>
    </xf>
    <xf numFmtId="165" fontId="39" fillId="0" borderId="0" xfId="2" applyNumberFormat="1"/>
    <xf numFmtId="0" fontId="39" fillId="0" borderId="0" xfId="5508" applyFont="1"/>
    <xf numFmtId="166" fontId="46" fillId="0" borderId="0" xfId="0" applyNumberFormat="1" applyFont="1" applyFill="1" applyBorder="1" applyAlignment="1" applyProtection="1">
      <alignment horizontal="center"/>
    </xf>
    <xf numFmtId="42" fontId="50" fillId="0" borderId="0" xfId="840" applyNumberFormat="1" applyFont="1" applyAlignment="1"/>
    <xf numFmtId="42" fontId="149" fillId="0" borderId="0" xfId="840" applyNumberFormat="1" applyFont="1" applyBorder="1" applyAlignment="1"/>
    <xf numFmtId="37" fontId="149" fillId="0" borderId="0" xfId="840" applyNumberFormat="1" applyFont="1" applyFill="1" applyAlignment="1"/>
    <xf numFmtId="42" fontId="149" fillId="0" borderId="0" xfId="840" applyNumberFormat="1" applyFont="1" applyFill="1" applyAlignment="1"/>
    <xf numFmtId="177" fontId="39" fillId="0" borderId="0" xfId="1767" applyNumberFormat="1" applyFont="1" applyFill="1" applyBorder="1" applyAlignment="1">
      <alignment horizontal="left"/>
    </xf>
    <xf numFmtId="177" fontId="0" fillId="0" borderId="0" xfId="0" applyNumberFormat="1" applyFill="1"/>
    <xf numFmtId="177" fontId="39" fillId="0" borderId="0" xfId="740" quotePrefix="1" applyNumberFormat="1" applyFont="1" applyFill="1" applyAlignment="1">
      <alignment horizontal="center"/>
    </xf>
    <xf numFmtId="177" fontId="50" fillId="0" borderId="0" xfId="740" applyNumberFormat="1" applyFont="1" applyFill="1" applyAlignment="1">
      <alignment horizontal="right"/>
    </xf>
    <xf numFmtId="42" fontId="44" fillId="0" borderId="0" xfId="0" applyNumberFormat="1" applyFont="1" applyFill="1" applyAlignment="1">
      <alignment horizontal="right"/>
    </xf>
    <xf numFmtId="180" fontId="99" fillId="0" borderId="0" xfId="740" applyNumberFormat="1" applyFont="1" applyFill="1"/>
    <xf numFmtId="42" fontId="149" fillId="0" borderId="81" xfId="840" applyNumberFormat="1" applyFont="1" applyFill="1" applyBorder="1" applyAlignment="1"/>
    <xf numFmtId="202" fontId="39" fillId="0" borderId="0" xfId="0" quotePrefix="1" applyNumberFormat="1" applyFont="1" applyFill="1" applyAlignment="1" applyProtection="1">
      <alignment horizontal="right"/>
    </xf>
    <xf numFmtId="172" fontId="63" fillId="0" borderId="10" xfId="2" applyNumberFormat="1" applyFont="1" applyBorder="1" applyAlignment="1" applyProtection="1"/>
    <xf numFmtId="183" fontId="39" fillId="0" borderId="0" xfId="0" applyNumberFormat="1" applyFont="1" applyBorder="1" applyAlignment="1" applyProtection="1"/>
    <xf numFmtId="164" fontId="39" fillId="0" borderId="0" xfId="5458" applyNumberFormat="1" applyFont="1" applyFill="1" applyAlignment="1">
      <alignment horizontal="left"/>
    </xf>
    <xf numFmtId="167" fontId="41" fillId="0" borderId="13" xfId="0" applyNumberFormat="1" applyFont="1" applyFill="1" applyBorder="1" applyAlignment="1" applyProtection="1"/>
    <xf numFmtId="41" fontId="50" fillId="0" borderId="0" xfId="11" applyNumberFormat="1" applyFont="1" applyFill="1" applyAlignment="1"/>
    <xf numFmtId="43" fontId="205" fillId="0" borderId="0" xfId="25863" applyNumberFormat="1" applyFont="1" applyFill="1" applyBorder="1" applyAlignment="1">
      <alignment horizontal="left"/>
    </xf>
    <xf numFmtId="43" fontId="63" fillId="0" borderId="0" xfId="25863" applyNumberFormat="1" applyFont="1" applyFill="1"/>
    <xf numFmtId="43" fontId="205" fillId="0" borderId="0" xfId="25863" applyNumberFormat="1" applyFont="1" applyFill="1" applyAlignment="1">
      <alignment horizontal="left" vertical="top"/>
    </xf>
    <xf numFmtId="170" fontId="46" fillId="0" borderId="16" xfId="0" applyNumberFormat="1" applyFont="1" applyFill="1" applyBorder="1" applyAlignment="1" applyProtection="1">
      <alignment horizontal="right"/>
    </xf>
    <xf numFmtId="170" fontId="41" fillId="0" borderId="0" xfId="0" applyNumberFormat="1" applyFont="1" applyFill="1" applyBorder="1" applyAlignment="1" applyProtection="1">
      <alignment horizontal="right"/>
    </xf>
    <xf numFmtId="170" fontId="39" fillId="0" borderId="0" xfId="0" applyNumberFormat="1" applyFont="1" applyFill="1" applyBorder="1" applyAlignment="1" applyProtection="1">
      <alignment horizontal="center"/>
    </xf>
    <xf numFmtId="170" fontId="46" fillId="0" borderId="16" xfId="0" applyNumberFormat="1" applyFont="1" applyFill="1" applyBorder="1" applyAlignment="1" applyProtection="1">
      <alignment horizontal="center"/>
    </xf>
    <xf numFmtId="170" fontId="42" fillId="0" borderId="0" xfId="0" applyNumberFormat="1" applyFont="1" applyFill="1" applyAlignment="1" applyProtection="1"/>
    <xf numFmtId="170" fontId="39" fillId="0" borderId="10" xfId="0" applyNumberFormat="1" applyFont="1" applyFill="1" applyBorder="1" applyAlignment="1" applyProtection="1"/>
    <xf numFmtId="170" fontId="46" fillId="0" borderId="10" xfId="0" applyNumberFormat="1" applyFont="1" applyFill="1" applyBorder="1" applyAlignment="1" applyProtection="1">
      <alignment horizontal="right"/>
    </xf>
    <xf numFmtId="170" fontId="46" fillId="0" borderId="0" xfId="0" quotePrefix="1" applyNumberFormat="1" applyFont="1" applyFill="1" applyBorder="1" applyAlignment="1" applyProtection="1">
      <alignment horizontal="right"/>
    </xf>
    <xf numFmtId="170" fontId="97" fillId="0" borderId="0" xfId="2" applyNumberFormat="1" applyFont="1" applyFill="1" applyAlignment="1"/>
    <xf numFmtId="0" fontId="51" fillId="0" borderId="0" xfId="8" applyFont="1" applyFill="1" applyAlignment="1"/>
    <xf numFmtId="166" fontId="51" fillId="0" borderId="0" xfId="8" applyNumberFormat="1" applyFont="1" applyFill="1" applyAlignment="1">
      <alignment horizontal="right"/>
    </xf>
    <xf numFmtId="169" fontId="99" fillId="0" borderId="0" xfId="8" applyNumberFormat="1" applyFont="1"/>
    <xf numFmtId="166" fontId="66" fillId="0" borderId="0" xfId="2" quotePrefix="1" applyNumberFormat="1" applyFont="1" applyFill="1" applyAlignment="1">
      <alignment horizontal="left"/>
    </xf>
    <xf numFmtId="170" fontId="61" fillId="0" borderId="0" xfId="2" applyNumberFormat="1" applyFont="1"/>
    <xf numFmtId="0" fontId="184" fillId="0" borderId="0" xfId="9967" applyFill="1"/>
    <xf numFmtId="186" fontId="45" fillId="0" borderId="66" xfId="9967" applyNumberFormat="1" applyFont="1" applyFill="1" applyBorder="1" applyAlignment="1">
      <alignment horizontal="center"/>
    </xf>
    <xf numFmtId="4" fontId="39" fillId="0" borderId="0" xfId="1028" applyNumberFormat="1" applyFont="1" applyFill="1" applyBorder="1" applyAlignment="1" applyProtection="1">
      <alignment horizontal="centerContinuous"/>
    </xf>
    <xf numFmtId="43" fontId="39" fillId="0" borderId="0" xfId="9049" applyFont="1" applyFill="1" applyAlignment="1" applyProtection="1">
      <alignment horizontal="right"/>
    </xf>
    <xf numFmtId="1" fontId="39" fillId="0" borderId="0" xfId="1028" quotePrefix="1" applyNumberFormat="1" applyFont="1" applyFill="1" applyBorder="1" applyAlignment="1" applyProtection="1">
      <alignment horizontal="center"/>
    </xf>
    <xf numFmtId="4" fontId="39" fillId="0" borderId="0" xfId="1028" quotePrefix="1" applyNumberFormat="1" applyFont="1" applyFill="1" applyBorder="1" applyAlignment="1" applyProtection="1">
      <alignment horizontal="center"/>
    </xf>
    <xf numFmtId="203" fontId="63" fillId="0" borderId="0" xfId="2" quotePrefix="1" applyNumberFormat="1" applyFont="1" applyFill="1" applyBorder="1" applyAlignment="1">
      <alignment horizontal="right"/>
    </xf>
    <xf numFmtId="170" fontId="149" fillId="0" borderId="0" xfId="2" applyNumberFormat="1" applyFont="1" applyFill="1" applyAlignment="1"/>
    <xf numFmtId="7" fontId="44" fillId="0" borderId="0" xfId="25863" applyNumberFormat="1" applyFont="1" applyFill="1"/>
    <xf numFmtId="43" fontId="39" fillId="0" borderId="0" xfId="0" applyNumberFormat="1" applyFont="1" applyFill="1" applyAlignment="1">
      <alignment horizontal="right" wrapText="1"/>
    </xf>
    <xf numFmtId="43" fontId="50" fillId="0" borderId="0" xfId="25872" applyNumberFormat="1" applyFont="1" applyFill="1" applyBorder="1" applyAlignment="1">
      <alignment horizontal="left"/>
    </xf>
    <xf numFmtId="43" fontId="50" fillId="0" borderId="0" xfId="25876" applyNumberFormat="1" applyFont="1" applyFill="1" applyAlignment="1">
      <alignment horizontal="right"/>
    </xf>
    <xf numFmtId="43" fontId="50" fillId="0" borderId="0" xfId="25876" applyNumberFormat="1" applyFont="1" applyFill="1" applyBorder="1" applyAlignment="1"/>
    <xf numFmtId="43" fontId="50" fillId="0" borderId="0" xfId="25872" applyNumberFormat="1" applyFont="1" applyFill="1" applyBorder="1"/>
    <xf numFmtId="43" fontId="50" fillId="0" borderId="0" xfId="4579" applyNumberFormat="1" applyFont="1" applyFill="1" applyAlignment="1">
      <alignment wrapText="1"/>
    </xf>
    <xf numFmtId="43" fontId="39" fillId="0" borderId="0" xfId="25872" applyNumberFormat="1" applyFont="1" applyFill="1" applyBorder="1" applyAlignment="1"/>
    <xf numFmtId="43" fontId="39" fillId="0" borderId="0" xfId="25873" applyNumberFormat="1" applyFont="1" applyFill="1" applyBorder="1" applyAlignment="1">
      <alignment horizontal="left"/>
    </xf>
    <xf numFmtId="44" fontId="39" fillId="0" borderId="0" xfId="25873" applyNumberFormat="1" applyFont="1" applyFill="1" applyBorder="1" applyAlignment="1">
      <alignment horizontal="left"/>
    </xf>
    <xf numFmtId="43" fontId="39" fillId="0" borderId="0" xfId="25873" applyNumberFormat="1" applyFont="1" applyFill="1" applyBorder="1"/>
    <xf numFmtId="174" fontId="39" fillId="0" borderId="0" xfId="1049" applyNumberFormat="1" applyAlignment="1">
      <alignment horizontal="center"/>
    </xf>
    <xf numFmtId="170" fontId="39" fillId="0" borderId="0" xfId="17" applyNumberFormat="1" applyProtection="1">
      <protection locked="0"/>
    </xf>
    <xf numFmtId="0" fontId="41" fillId="0" borderId="108" xfId="4" applyFont="1" applyFill="1" applyBorder="1" applyProtection="1"/>
    <xf numFmtId="166" fontId="41" fillId="0" borderId="108" xfId="4" applyNumberFormat="1" applyFont="1" applyFill="1" applyBorder="1" applyProtection="1"/>
    <xf numFmtId="0" fontId="39" fillId="0" borderId="108" xfId="4" applyFont="1" applyFill="1" applyBorder="1" applyProtection="1"/>
    <xf numFmtId="0" fontId="51" fillId="0" borderId="0" xfId="0" applyNumberFormat="1" applyFont="1" applyFill="1" applyBorder="1" applyAlignment="1" applyProtection="1">
      <alignment horizontal="left" vertical="top"/>
    </xf>
    <xf numFmtId="174" fontId="39" fillId="0" borderId="0" xfId="1" applyNumberFormat="1" applyFont="1" applyFill="1" applyAlignment="1" applyProtection="1"/>
    <xf numFmtId="174" fontId="0" fillId="0" borderId="0" xfId="0" applyNumberFormat="1" applyFont="1" applyFill="1" applyAlignment="1" applyProtection="1"/>
    <xf numFmtId="174" fontId="39" fillId="0" borderId="0" xfId="0" applyNumberFormat="1" applyFont="1" applyFill="1" applyAlignment="1" applyProtection="1">
      <alignment horizontal="right"/>
    </xf>
    <xf numFmtId="174" fontId="41" fillId="0" borderId="0" xfId="0" applyNumberFormat="1" applyFont="1" applyFill="1" applyBorder="1" applyAlignment="1" applyProtection="1"/>
    <xf numFmtId="174" fontId="41" fillId="0" borderId="18" xfId="0" applyNumberFormat="1" applyFont="1" applyFill="1" applyBorder="1" applyAlignment="1" applyProtection="1"/>
    <xf numFmtId="170" fontId="0" fillId="0" borderId="0" xfId="0" applyNumberFormat="1" applyFont="1" applyFill="1" applyAlignment="1" applyProtection="1">
      <alignment horizontal="right"/>
    </xf>
    <xf numFmtId="170" fontId="41" fillId="0" borderId="18" xfId="0" applyNumberFormat="1" applyFont="1" applyFill="1" applyBorder="1" applyAlignment="1" applyProtection="1">
      <alignment horizontal="center"/>
    </xf>
    <xf numFmtId="170" fontId="41" fillId="0" borderId="10" xfId="0" applyNumberFormat="1" applyFont="1" applyFill="1" applyBorder="1" applyAlignment="1" applyProtection="1">
      <alignment horizontal="right"/>
    </xf>
    <xf numFmtId="170" fontId="46" fillId="0" borderId="18" xfId="0" applyNumberFormat="1" applyFont="1" applyFill="1" applyBorder="1" applyAlignment="1" applyProtection="1">
      <alignment horizontal="center"/>
    </xf>
    <xf numFmtId="170" fontId="41" fillId="0" borderId="28" xfId="0" applyNumberFormat="1" applyFont="1" applyFill="1" applyBorder="1" applyAlignment="1" applyProtection="1"/>
    <xf numFmtId="166" fontId="41" fillId="0" borderId="18" xfId="0" applyNumberFormat="1" applyFont="1" applyFill="1" applyBorder="1" applyAlignment="1" applyProtection="1"/>
    <xf numFmtId="0" fontId="46" fillId="0" borderId="0" xfId="0" applyNumberFormat="1" applyFont="1" applyFill="1" applyAlignment="1" applyProtection="1">
      <alignment horizontal="center"/>
    </xf>
    <xf numFmtId="174" fontId="46" fillId="0" borderId="87" xfId="17" applyNumberFormat="1" applyFont="1" applyBorder="1"/>
    <xf numFmtId="0" fontId="39" fillId="0" borderId="0" xfId="2" applyFont="1" applyAlignment="1"/>
    <xf numFmtId="0" fontId="0" fillId="0" borderId="0" xfId="2" applyFont="1" applyAlignment="1"/>
    <xf numFmtId="0" fontId="68" fillId="33" borderId="0" xfId="2" applyNumberFormat="1" applyFont="1" applyFill="1" applyAlignment="1">
      <alignment horizontal="left" vertical="center"/>
    </xf>
    <xf numFmtId="37" fontId="44" fillId="33" borderId="0" xfId="2" applyNumberFormat="1" applyFont="1" applyFill="1" applyAlignment="1">
      <alignment vertical="center"/>
    </xf>
    <xf numFmtId="37" fontId="44" fillId="0" borderId="0" xfId="2" applyNumberFormat="1" applyFont="1" applyAlignment="1">
      <alignment vertical="center"/>
    </xf>
    <xf numFmtId="0" fontId="68" fillId="0" borderId="0" xfId="2" applyNumberFormat="1" applyFont="1" applyFill="1" applyAlignment="1" applyProtection="1">
      <alignment horizontal="left" vertical="center"/>
      <protection locked="0"/>
    </xf>
    <xf numFmtId="37" fontId="44" fillId="0" borderId="0" xfId="2" applyNumberFormat="1" applyFont="1" applyFill="1" applyBorder="1" applyAlignment="1">
      <alignment vertical="center"/>
    </xf>
    <xf numFmtId="37" fontId="44" fillId="0" borderId="0" xfId="2" applyNumberFormat="1" applyFont="1" applyFill="1" applyAlignment="1">
      <alignment vertical="center"/>
    </xf>
    <xf numFmtId="0" fontId="68" fillId="0" borderId="0" xfId="2" applyNumberFormat="1" applyFont="1" applyFill="1" applyAlignment="1">
      <alignment horizontal="left" vertical="center"/>
    </xf>
    <xf numFmtId="0" fontId="51" fillId="0" borderId="0" xfId="0" applyNumberFormat="1" applyFont="1" applyAlignment="1">
      <alignment horizontal="left" vertical="top"/>
    </xf>
    <xf numFmtId="170" fontId="39" fillId="0" borderId="10" xfId="2" applyNumberFormat="1" applyBorder="1" applyAlignment="1">
      <alignment horizontal="center"/>
    </xf>
    <xf numFmtId="170" fontId="68" fillId="0" borderId="43" xfId="2" quotePrefix="1" applyNumberFormat="1" applyFont="1" applyBorder="1" applyAlignment="1">
      <alignment horizontal="right"/>
    </xf>
    <xf numFmtId="170" fontId="68" fillId="0" borderId="43" xfId="2" quotePrefix="1" applyNumberFormat="1" applyFont="1" applyBorder="1" applyAlignment="1">
      <alignment horizontal="center"/>
    </xf>
    <xf numFmtId="2" fontId="44" fillId="0" borderId="0" xfId="2" applyNumberFormat="1" applyFont="1" applyFill="1" applyAlignment="1"/>
    <xf numFmtId="174" fontId="39" fillId="0" borderId="0" xfId="17" applyNumberFormat="1"/>
    <xf numFmtId="189" fontId="0" fillId="0" borderId="0" xfId="17" applyNumberFormat="1" applyFont="1"/>
    <xf numFmtId="180" fontId="39" fillId="0" borderId="0" xfId="17" applyNumberFormat="1"/>
    <xf numFmtId="7" fontId="39" fillId="0" borderId="0" xfId="0" applyNumberFormat="1" applyFont="1" applyFill="1" applyAlignment="1">
      <alignment horizontal="right" wrapText="1"/>
    </xf>
    <xf numFmtId="43" fontId="44" fillId="0" borderId="0" xfId="9049" applyFont="1"/>
    <xf numFmtId="180" fontId="63" fillId="0" borderId="0" xfId="1767" applyNumberFormat="1" applyFont="1" applyFill="1" applyBorder="1" applyAlignment="1">
      <alignment horizontal="left"/>
    </xf>
    <xf numFmtId="170" fontId="39" fillId="0" borderId="108" xfId="2" quotePrefix="1" applyNumberFormat="1" applyFont="1" applyFill="1" applyBorder="1" applyAlignment="1" applyProtection="1"/>
    <xf numFmtId="170" fontId="41" fillId="0" borderId="108" xfId="2" applyNumberFormat="1" applyFont="1" applyFill="1" applyBorder="1" applyAlignment="1" applyProtection="1">
      <alignment horizontal="right"/>
    </xf>
    <xf numFmtId="170" fontId="39" fillId="0" borderId="108" xfId="2" applyNumberFormat="1" applyFont="1" applyFill="1" applyBorder="1" applyAlignment="1" applyProtection="1"/>
    <xf numFmtId="170" fontId="41" fillId="0" borderId="108" xfId="2" applyNumberFormat="1" applyFont="1" applyFill="1" applyBorder="1" applyAlignment="1" applyProtection="1"/>
    <xf numFmtId="170" fontId="39" fillId="0" borderId="108" xfId="0" quotePrefix="1" applyNumberFormat="1" applyFont="1" applyFill="1" applyBorder="1" applyAlignment="1" applyProtection="1">
      <alignment horizontal="right"/>
    </xf>
    <xf numFmtId="191" fontId="51" fillId="0" borderId="0" xfId="8" applyNumberFormat="1" applyFont="1" applyAlignment="1">
      <alignment horizontal="right"/>
    </xf>
    <xf numFmtId="0" fontId="139" fillId="0" borderId="0" xfId="8" applyFont="1" applyAlignment="1">
      <alignment horizontal="left"/>
    </xf>
    <xf numFmtId="4" fontId="39" fillId="0" borderId="0" xfId="25870" applyFont="1" applyFill="1" applyBorder="1"/>
    <xf numFmtId="43" fontId="50" fillId="0" borderId="0" xfId="1767" applyNumberFormat="1" applyFont="1" applyFill="1" applyBorder="1" applyAlignment="1" applyProtection="1">
      <alignment horizontal="right"/>
    </xf>
    <xf numFmtId="172" fontId="46" fillId="0" borderId="10" xfId="2" applyNumberFormat="1" applyFont="1" applyFill="1" applyBorder="1"/>
    <xf numFmtId="164" fontId="51" fillId="0" borderId="0" xfId="0" applyFont="1"/>
    <xf numFmtId="164" fontId="139" fillId="0" borderId="0" xfId="0" applyFont="1"/>
    <xf numFmtId="164" fontId="51" fillId="0" borderId="0" xfId="0" applyFont="1" applyAlignment="1">
      <alignment horizontal="left"/>
    </xf>
    <xf numFmtId="164" fontId="51" fillId="0" borderId="0" xfId="0" applyFont="1" applyAlignment="1">
      <alignment horizontal="right"/>
    </xf>
    <xf numFmtId="164" fontId="140" fillId="0" borderId="0" xfId="0" applyFont="1"/>
    <xf numFmtId="164" fontId="140" fillId="0" borderId="0" xfId="0" applyFont="1" applyAlignment="1">
      <alignment horizontal="left"/>
    </xf>
    <xf numFmtId="172" fontId="0" fillId="0" borderId="10" xfId="2" applyNumberFormat="1" applyFont="1" applyBorder="1"/>
    <xf numFmtId="164" fontId="68" fillId="0" borderId="0" xfId="0" applyNumberFormat="1" applyFont="1"/>
    <xf numFmtId="177" fontId="218" fillId="0" borderId="0" xfId="740" applyNumberFormat="1" applyFont="1" applyFill="1" applyAlignment="1"/>
    <xf numFmtId="170" fontId="46" fillId="0" borderId="107" xfId="2" applyNumberFormat="1" applyFont="1" applyBorder="1" applyAlignment="1">
      <alignment horizontal="right"/>
    </xf>
    <xf numFmtId="174" fontId="39" fillId="0" borderId="0" xfId="2" applyNumberFormat="1"/>
    <xf numFmtId="170" fontId="46" fillId="0" borderId="85" xfId="2" applyNumberFormat="1" applyFont="1" applyBorder="1" applyAlignment="1"/>
    <xf numFmtId="4" fontId="0" fillId="0" borderId="0" xfId="0" applyNumberFormat="1" applyFill="1" applyAlignment="1" applyProtection="1">
      <alignment horizontal="right"/>
    </xf>
    <xf numFmtId="43" fontId="39" fillId="0" borderId="0" xfId="1028" applyNumberFormat="1" applyFont="1" applyFill="1" applyBorder="1" applyAlignment="1" applyProtection="1">
      <alignment horizontal="right"/>
    </xf>
    <xf numFmtId="43" fontId="0" fillId="0" borderId="0" xfId="0" applyNumberFormat="1" applyFill="1" applyProtection="1"/>
    <xf numFmtId="43" fontId="46" fillId="0" borderId="35" xfId="0" applyNumberFormat="1" applyFont="1" applyFill="1" applyBorder="1" applyAlignment="1" applyProtection="1">
      <alignment horizontal="right"/>
    </xf>
    <xf numFmtId="43" fontId="39" fillId="0" borderId="0" xfId="0" applyNumberFormat="1" applyFont="1" applyFill="1" applyAlignment="1" applyProtection="1">
      <alignment horizontal="right"/>
    </xf>
    <xf numFmtId="0" fontId="103" fillId="0" borderId="0" xfId="0" applyNumberFormat="1" applyFont="1" applyFill="1" applyProtection="1"/>
    <xf numFmtId="0" fontId="99" fillId="0" borderId="0" xfId="0" applyNumberFormat="1" applyFont="1" applyFill="1" applyProtection="1"/>
    <xf numFmtId="169" fontId="51" fillId="0" borderId="0" xfId="8" applyNumberFormat="1" applyFont="1" applyAlignment="1">
      <alignment horizontal="right" vertical="top"/>
    </xf>
    <xf numFmtId="0" fontId="51" fillId="0" borderId="0" xfId="0" applyNumberFormat="1" applyFont="1" applyAlignment="1">
      <alignment horizontal="left"/>
    </xf>
    <xf numFmtId="174" fontId="41" fillId="0" borderId="0" xfId="0" applyNumberFormat="1" applyFont="1" applyFill="1" applyAlignment="1" applyProtection="1">
      <alignment horizontal="right"/>
    </xf>
    <xf numFmtId="166" fontId="46" fillId="0" borderId="0" xfId="0" applyNumberFormat="1" applyFont="1" applyFill="1" applyBorder="1" applyAlignment="1" applyProtection="1">
      <alignment horizontal="center"/>
    </xf>
    <xf numFmtId="164" fontId="43" fillId="0" borderId="0" xfId="0" applyFont="1" applyFill="1" applyBorder="1" applyAlignment="1" applyProtection="1">
      <alignment horizontal="left"/>
    </xf>
    <xf numFmtId="43" fontId="84" fillId="0" borderId="0" xfId="25863" applyNumberFormat="1" applyFont="1" applyFill="1"/>
    <xf numFmtId="43" fontId="39" fillId="0" borderId="0" xfId="25864" applyNumberFormat="1" applyFont="1" applyFill="1" applyBorder="1">
      <alignment horizontal="right"/>
    </xf>
    <xf numFmtId="43" fontId="131" fillId="0" borderId="0" xfId="2" applyNumberFormat="1" applyFont="1" applyBorder="1"/>
    <xf numFmtId="43" fontId="0" fillId="0" borderId="0" xfId="2" applyNumberFormat="1" applyFont="1" applyBorder="1" applyAlignment="1">
      <alignment horizontal="center" vertical="top"/>
    </xf>
    <xf numFmtId="37" fontId="44" fillId="0" borderId="0" xfId="2" applyNumberFormat="1" applyFont="1" applyFill="1" applyBorder="1" applyAlignment="1" applyProtection="1"/>
    <xf numFmtId="37" fontId="134" fillId="0" borderId="0" xfId="2" applyNumberFormat="1" applyFont="1" applyFill="1" applyAlignment="1" applyProtection="1"/>
    <xf numFmtId="37" fontId="44" fillId="0" borderId="0" xfId="2" applyNumberFormat="1" applyFont="1" applyAlignment="1" applyProtection="1"/>
    <xf numFmtId="200" fontId="39" fillId="0" borderId="0" xfId="2" applyNumberFormat="1" applyFont="1" applyFill="1" applyAlignment="1" applyProtection="1"/>
    <xf numFmtId="172" fontId="41" fillId="0" borderId="66" xfId="0" applyNumberFormat="1" applyFont="1" applyFill="1" applyBorder="1" applyAlignment="1" applyProtection="1"/>
    <xf numFmtId="166" fontId="40" fillId="0" borderId="0" xfId="0" applyNumberFormat="1" applyFont="1" applyBorder="1" applyAlignment="1" applyProtection="1">
      <alignment horizontal="left"/>
    </xf>
    <xf numFmtId="164" fontId="41" fillId="0" borderId="0" xfId="0" applyFont="1" applyBorder="1" applyAlignment="1" applyProtection="1">
      <alignment horizontal="left"/>
    </xf>
    <xf numFmtId="164" fontId="43" fillId="0" borderId="0" xfId="0" applyFont="1" applyBorder="1" applyAlignment="1" applyProtection="1">
      <alignment horizontal="left"/>
    </xf>
    <xf numFmtId="166" fontId="46" fillId="0" borderId="10" xfId="0" applyNumberFormat="1" applyFont="1" applyBorder="1" applyAlignment="1" applyProtection="1">
      <alignment horizontal="left"/>
    </xf>
    <xf numFmtId="164" fontId="39" fillId="0" borderId="10" xfId="0" applyFont="1" applyBorder="1" applyAlignment="1" applyProtection="1">
      <alignment horizontal="left"/>
    </xf>
    <xf numFmtId="166" fontId="46" fillId="0" borderId="0" xfId="0" applyNumberFormat="1" applyFont="1" applyFill="1" applyBorder="1" applyAlignment="1" applyProtection="1">
      <alignment horizontal="center"/>
    </xf>
    <xf numFmtId="166" fontId="46" fillId="0" borderId="0" xfId="0" applyNumberFormat="1" applyFont="1" applyBorder="1" applyAlignment="1" applyProtection="1">
      <alignment horizontal="center"/>
    </xf>
    <xf numFmtId="164" fontId="41" fillId="0" borderId="0" xfId="0" applyFont="1" applyBorder="1" applyAlignment="1" applyProtection="1">
      <alignment horizontal="center"/>
    </xf>
    <xf numFmtId="166" fontId="46" fillId="0" borderId="10" xfId="0" applyNumberFormat="1" applyFont="1" applyBorder="1" applyAlignment="1" applyProtection="1">
      <alignment horizontal="center"/>
    </xf>
    <xf numFmtId="39" fontId="40" fillId="0" borderId="0" xfId="0" applyNumberFormat="1" applyFont="1" applyFill="1" applyBorder="1" applyAlignment="1" applyProtection="1">
      <alignment horizontal="left"/>
    </xf>
    <xf numFmtId="164" fontId="43" fillId="0" borderId="0" xfId="0" applyFont="1" applyFill="1" applyBorder="1" applyAlignment="1" applyProtection="1">
      <alignment horizontal="left"/>
    </xf>
    <xf numFmtId="166" fontId="40" fillId="0" borderId="0" xfId="0" applyNumberFormat="1" applyFont="1" applyFill="1" applyBorder="1" applyAlignment="1" applyProtection="1">
      <alignment horizontal="left"/>
    </xf>
    <xf numFmtId="0" fontId="46" fillId="0" borderId="0" xfId="2" applyNumberFormat="1" applyFont="1" applyFill="1" applyAlignment="1">
      <alignment horizontal="right"/>
    </xf>
    <xf numFmtId="0" fontId="46" fillId="0" borderId="0" xfId="2" applyNumberFormat="1" applyFont="1" applyAlignment="1">
      <alignment horizontal="left"/>
    </xf>
    <xf numFmtId="0" fontId="46" fillId="0" borderId="66" xfId="2" applyNumberFormat="1" applyFont="1" applyBorder="1" applyAlignment="1">
      <alignment horizontal="center"/>
    </xf>
    <xf numFmtId="0" fontId="68" fillId="0" borderId="0" xfId="2" applyNumberFormat="1" applyFont="1" applyFill="1" applyAlignment="1" applyProtection="1">
      <alignment vertical="center"/>
      <protection locked="0"/>
    </xf>
    <xf numFmtId="0" fontId="0" fillId="0" borderId="0" xfId="2" applyFont="1" applyFill="1" applyBorder="1" applyAlignment="1">
      <alignment vertical="center"/>
    </xf>
    <xf numFmtId="0" fontId="46" fillId="33" borderId="66" xfId="2" applyFont="1" applyFill="1" applyBorder="1" applyAlignment="1">
      <alignment horizontal="center"/>
    </xf>
    <xf numFmtId="0" fontId="68" fillId="0" borderId="0" xfId="2" applyNumberFormat="1" applyFont="1" applyFill="1" applyAlignment="1" applyProtection="1"/>
    <xf numFmtId="0" fontId="0" fillId="0" borderId="0" xfId="2" applyFont="1" applyFill="1" applyBorder="1" applyAlignment="1" applyProtection="1"/>
    <xf numFmtId="0" fontId="46" fillId="0" borderId="66" xfId="2" applyFont="1" applyFill="1" applyBorder="1" applyAlignment="1">
      <alignment horizontal="center"/>
    </xf>
    <xf numFmtId="166" fontId="76" fillId="0" borderId="0" xfId="2" applyNumberFormat="1" applyFont="1" applyFill="1" applyAlignment="1">
      <alignment horizontal="right"/>
    </xf>
    <xf numFmtId="0" fontId="41" fillId="0" borderId="0" xfId="2" applyFont="1" applyFill="1" applyBorder="1" applyAlignment="1"/>
    <xf numFmtId="0" fontId="46" fillId="0" borderId="10" xfId="2" quotePrefix="1" applyNumberFormat="1" applyFont="1" applyFill="1" applyBorder="1" applyAlignment="1" applyProtection="1">
      <alignment horizontal="center"/>
      <protection locked="0"/>
    </xf>
    <xf numFmtId="0" fontId="46" fillId="0" borderId="10" xfId="2" applyNumberFormat="1" applyFont="1" applyFill="1" applyBorder="1" applyAlignment="1" applyProtection="1">
      <alignment horizontal="center"/>
      <protection locked="0"/>
    </xf>
    <xf numFmtId="166" fontId="76" fillId="0" borderId="0" xfId="2" applyNumberFormat="1" applyFont="1" applyFill="1" applyAlignment="1" applyProtection="1">
      <alignment horizontal="right"/>
    </xf>
    <xf numFmtId="0" fontId="39" fillId="0" borderId="0" xfId="2" applyFont="1" applyFill="1" applyBorder="1" applyAlignment="1" applyProtection="1"/>
    <xf numFmtId="166" fontId="46" fillId="0" borderId="66" xfId="2" applyNumberFormat="1" applyFont="1" applyFill="1" applyBorder="1" applyAlignment="1" applyProtection="1">
      <alignment horizontal="center"/>
    </xf>
    <xf numFmtId="0" fontId="46" fillId="0" borderId="10" xfId="2" quotePrefix="1" applyNumberFormat="1" applyFont="1" applyBorder="1" applyAlignment="1" applyProtection="1">
      <alignment horizontal="center"/>
    </xf>
    <xf numFmtId="0" fontId="45" fillId="0" borderId="0" xfId="4" quotePrefix="1" applyFont="1" applyFill="1" applyAlignment="1" applyProtection="1">
      <alignment horizontal="right"/>
    </xf>
    <xf numFmtId="0" fontId="87" fillId="0" borderId="0" xfId="4" applyFill="1" applyAlignment="1" applyProtection="1"/>
    <xf numFmtId="0" fontId="46" fillId="0" borderId="10" xfId="4" quotePrefix="1" applyFont="1" applyFill="1" applyBorder="1" applyAlignment="1" applyProtection="1">
      <alignment horizontal="center"/>
    </xf>
    <xf numFmtId="0" fontId="46" fillId="0" borderId="10" xfId="2" quotePrefix="1" applyNumberFormat="1" applyFont="1" applyBorder="1" applyAlignment="1">
      <alignment horizontal="center"/>
    </xf>
    <xf numFmtId="0" fontId="0" fillId="0" borderId="10" xfId="2" applyFont="1" applyBorder="1" applyAlignment="1"/>
    <xf numFmtId="0" fontId="46" fillId="0" borderId="10" xfId="2" quotePrefix="1" applyNumberFormat="1" applyFont="1" applyFill="1" applyBorder="1" applyAlignment="1" applyProtection="1">
      <alignment horizontal="center"/>
    </xf>
    <xf numFmtId="0" fontId="46" fillId="0" borderId="10" xfId="2" quotePrefix="1" applyNumberFormat="1" applyFont="1" applyFill="1" applyBorder="1" applyAlignment="1">
      <alignment horizontal="center"/>
    </xf>
    <xf numFmtId="0" fontId="0" fillId="0" borderId="10" xfId="2" applyFont="1" applyFill="1" applyBorder="1" applyAlignment="1"/>
    <xf numFmtId="166" fontId="68" fillId="0" borderId="66" xfId="2" quotePrefix="1" applyNumberFormat="1" applyFont="1" applyBorder="1" applyAlignment="1" applyProtection="1">
      <alignment horizontal="center"/>
      <protection locked="0"/>
    </xf>
    <xf numFmtId="166" fontId="68" fillId="0" borderId="66" xfId="2" applyNumberFormat="1" applyFont="1" applyBorder="1" applyAlignment="1" applyProtection="1">
      <alignment horizontal="center"/>
      <protection locked="0"/>
    </xf>
    <xf numFmtId="165" fontId="68" fillId="0" borderId="66" xfId="2" quotePrefix="1" applyNumberFormat="1" applyFont="1" applyBorder="1" applyAlignment="1" applyProtection="1">
      <alignment horizontal="center"/>
      <protection locked="0"/>
    </xf>
    <xf numFmtId="165" fontId="68" fillId="0" borderId="66" xfId="2" applyNumberFormat="1" applyFont="1" applyBorder="1" applyAlignment="1" applyProtection="1">
      <alignment horizontal="center"/>
      <protection locked="0"/>
    </xf>
    <xf numFmtId="0" fontId="68" fillId="0" borderId="0" xfId="2" quotePrefix="1" applyNumberFormat="1" applyFont="1" applyBorder="1" applyAlignment="1">
      <alignment horizontal="center"/>
    </xf>
    <xf numFmtId="0" fontId="63" fillId="0" borderId="0" xfId="2" applyFont="1" applyBorder="1" applyAlignment="1">
      <alignment horizontal="center"/>
    </xf>
    <xf numFmtId="0" fontId="68" fillId="0" borderId="66"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6" xfId="2" quotePrefix="1" applyNumberFormat="1" applyFont="1" applyBorder="1" applyAlignment="1">
      <alignment horizontal="center"/>
    </xf>
    <xf numFmtId="181" fontId="84" fillId="0" borderId="0" xfId="1776" quotePrefix="1" applyNumberFormat="1" applyFont="1" applyAlignment="1">
      <alignment horizontal="justify" vertical="top"/>
    </xf>
    <xf numFmtId="181" fontId="84" fillId="0" borderId="0" xfId="1776" quotePrefix="1" applyNumberFormat="1" applyFont="1" applyFill="1" applyAlignment="1">
      <alignment horizontal="justify" vertical="top" wrapText="1"/>
    </xf>
    <xf numFmtId="181" fontId="46" fillId="0" borderId="0" xfId="1776" quotePrefix="1" applyNumberFormat="1" applyFont="1" applyAlignment="1">
      <alignment horizontal="left" vertical="distributed" wrapText="1"/>
    </xf>
    <xf numFmtId="181" fontId="44" fillId="0" borderId="0" xfId="1776" applyNumberFormat="1" applyFont="1" applyBorder="1" applyAlignment="1">
      <alignment horizontal="left" vertical="top" wrapText="1"/>
    </xf>
    <xf numFmtId="0" fontId="45" fillId="0" borderId="66" xfId="9967" applyNumberFormat="1" applyFont="1" applyFill="1" applyBorder="1" applyAlignment="1">
      <alignment horizontal="center"/>
    </xf>
    <xf numFmtId="0" fontId="39" fillId="0" borderId="0" xfId="17" applyNumberFormat="1" applyFont="1" applyAlignment="1">
      <alignment horizontal="left" wrapText="1"/>
    </xf>
    <xf numFmtId="0" fontId="43" fillId="0" borderId="51" xfId="739" applyFont="1" applyBorder="1" applyAlignment="1">
      <alignment horizontal="justify" wrapText="1"/>
    </xf>
    <xf numFmtId="0" fontId="43" fillId="0" borderId="52" xfId="739" applyFont="1" applyBorder="1" applyAlignment="1">
      <alignment horizontal="justify" wrapText="1"/>
    </xf>
    <xf numFmtId="0" fontId="43" fillId="0" borderId="53" xfId="739" applyFont="1" applyBorder="1" applyAlignment="1">
      <alignment horizontal="justify" wrapText="1"/>
    </xf>
    <xf numFmtId="0" fontId="43" fillId="0" borderId="54" xfId="739" applyFont="1" applyBorder="1" applyAlignment="1">
      <alignment horizontal="justify" wrapText="1"/>
    </xf>
    <xf numFmtId="0" fontId="43" fillId="0" borderId="0" xfId="739" applyFont="1" applyBorder="1" applyAlignment="1">
      <alignment horizontal="justify" wrapText="1"/>
    </xf>
    <xf numFmtId="0" fontId="43" fillId="0" borderId="44" xfId="739" applyFont="1" applyBorder="1" applyAlignment="1">
      <alignment horizontal="justify" wrapText="1"/>
    </xf>
    <xf numFmtId="0" fontId="43" fillId="0" borderId="55" xfId="739" applyFont="1" applyBorder="1" applyAlignment="1">
      <alignment horizontal="justify" wrapText="1"/>
    </xf>
    <xf numFmtId="0" fontId="43" fillId="0" borderId="50" xfId="739" applyFont="1" applyBorder="1" applyAlignment="1">
      <alignment horizontal="justify" wrapText="1"/>
    </xf>
    <xf numFmtId="0" fontId="43" fillId="0" borderId="56" xfId="739" applyFont="1" applyBorder="1" applyAlignment="1">
      <alignment horizontal="justify" wrapText="1"/>
    </xf>
    <xf numFmtId="17" fontId="46" fillId="0" borderId="10" xfId="25863" quotePrefix="1" applyNumberFormat="1" applyFont="1" applyFill="1" applyBorder="1" applyAlignment="1">
      <alignment horizontal="center"/>
    </xf>
    <xf numFmtId="7" fontId="46" fillId="0" borderId="10" xfId="25863" applyNumberFormat="1" applyFont="1" applyFill="1" applyBorder="1" applyAlignment="1">
      <alignment horizontal="center"/>
    </xf>
  </cellXfs>
  <cellStyles count="49794">
    <cellStyle name="20% - Accent1" xfId="49697" builtinId="30" customBuiltin="1"/>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12" xfId="49780" xr:uid="{FF70C2F3-BDC1-47F6-A1AA-6640D5C4D4FD}"/>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12" xfId="49766" xr:uid="{FB93CA43-A575-46C0-86E2-2B60FD799D0C}"/>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xfId="49699" builtinId="34" customBuiltin="1"/>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12" xfId="49782" xr:uid="{4962DD1E-A98E-4B5C-BB81-6DB015CCF39F}"/>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12" xfId="49768" xr:uid="{EB552E18-EDC7-4049-810A-36656014AA5F}"/>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xfId="49701" builtinId="38" customBuiltin="1"/>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12" xfId="49784" xr:uid="{E56AE9A0-7888-4ED3-B2D9-2911EB824B94}"/>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12" xfId="49770" xr:uid="{44423A31-A165-4E2F-A96B-1B515125CDFD}"/>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xfId="49703" builtinId="42" customBuiltin="1"/>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12" xfId="49786" xr:uid="{EFEC892A-EA61-455C-B0F7-D0FEFE212ADF}"/>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12" xfId="49772" xr:uid="{1E383888-81A5-4DA1-9954-657F544F977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xfId="49705" builtinId="46" customBuiltin="1"/>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12" xfId="49788" xr:uid="{39659C3B-173F-45B7-AFE5-9CDB25164FCD}"/>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12" xfId="49774" xr:uid="{B1364B62-E969-4E62-A715-EC57E16D280D}"/>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xfId="49707" builtinId="50" customBuiltin="1"/>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12" xfId="49790" xr:uid="{4BD6B06A-5F58-4177-B94C-C69E7A627DC8}"/>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12" xfId="49776" xr:uid="{3E199D84-80C6-4646-B96A-FADB6B9E1079}"/>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xfId="49698" builtinId="31" customBuiltin="1"/>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12" xfId="49781" xr:uid="{66CA3E8F-B26B-4EC7-BF6A-1F1190FF6009}"/>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12" xfId="49767" xr:uid="{34093A2A-A300-4429-974F-9F9A80591ECC}"/>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xfId="49700" builtinId="35" customBuiltin="1"/>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12" xfId="49783" xr:uid="{5715E6A7-F654-4C3D-8C00-95E516144BEE}"/>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12" xfId="49769" xr:uid="{DF3D5C3A-C82C-42EA-AF19-AFE978B1DE03}"/>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xfId="49702" builtinId="39" customBuiltin="1"/>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12" xfId="49785" xr:uid="{4085C49D-FE00-49C5-8B1B-9EE9C3396E0A}"/>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12" xfId="49771" xr:uid="{7446BB79-9E0C-4567-BAFA-59C504C43327}"/>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xfId="49704" builtinId="43" customBuiltin="1"/>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12" xfId="49787" xr:uid="{C13CB8F4-CA60-4765-8B23-CCD3878CE86D}"/>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12" xfId="49773" xr:uid="{035F9CAE-C5B0-4BA8-ACB3-3374E481DDF7}"/>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xfId="49706" builtinId="47" customBuiltin="1"/>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12" xfId="49789" xr:uid="{3FC80A06-80CE-4E62-B198-8C88D52433E7}"/>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12" xfId="49775" xr:uid="{E9067AC6-71D6-4C19-954F-52F030945BF8}"/>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xfId="49708" builtinId="51" customBuiltin="1"/>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12" xfId="49791" xr:uid="{175283D7-0F46-41BF-8D02-EBBBCDC91C77}"/>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12" xfId="49777" xr:uid="{DC3A46B5-4EAF-4E11-8C9A-2EB334DF966A}"/>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10" xr:uid="{651E60E2-5F16-4971-B758-5E1DB5D226C5}"/>
    <cellStyle name="C00B" xfId="49711" xr:uid="{D7A9A9E8-AD47-4B47-9C8B-19F346E1F606}"/>
    <cellStyle name="C00L" xfId="49712" xr:uid="{972D11D0-E098-4593-B08F-41EFD348E95A}"/>
    <cellStyle name="C01A" xfId="49713" xr:uid="{373A0D2D-F697-43FA-8B25-0BE173B4FA7D}"/>
    <cellStyle name="C01B" xfId="49714" xr:uid="{C4782731-6FA2-4EE0-B720-0CAD77B50ADF}"/>
    <cellStyle name="C01H" xfId="49715" xr:uid="{BE517F0B-DB1B-49BB-BCDE-A6AC4BBD2A79}"/>
    <cellStyle name="C01L" xfId="49716" xr:uid="{5786AC69-F3E4-4899-A40D-FC463116F031}"/>
    <cellStyle name="C02A" xfId="49717" xr:uid="{1BCDA1EB-D915-4765-A23E-DCDB9977D44B}"/>
    <cellStyle name="C02B" xfId="49718" xr:uid="{5E3E6CDD-2FC2-4FCB-AABC-1E67F9133BA0}"/>
    <cellStyle name="C02H" xfId="49719" xr:uid="{167DFFC2-9900-410D-B8BB-2E3CBD12A30E}"/>
    <cellStyle name="C02L" xfId="49720" xr:uid="{A4C1EBB3-67A6-485B-9573-4658D738D0FE}"/>
    <cellStyle name="C03A" xfId="49721" xr:uid="{08EC0611-1AD1-44E7-A718-90876E55854B}"/>
    <cellStyle name="C03B" xfId="49722" xr:uid="{4D73D23E-B894-4527-A4F8-DB11C4EB11B7}"/>
    <cellStyle name="C03H" xfId="49723" xr:uid="{E21B60C1-1062-4305-A4AD-70C0ABFA318D}"/>
    <cellStyle name="C03L" xfId="49724" xr:uid="{C417BB95-5CD3-42F0-89F1-F039F1658FF7}"/>
    <cellStyle name="C04A" xfId="49725" xr:uid="{58D0B77C-3A42-4B8C-A801-FDBB76597CA1}"/>
    <cellStyle name="C04B" xfId="49726" xr:uid="{10E70545-BAC4-4740-A525-974712F0FEC1}"/>
    <cellStyle name="C04H" xfId="49727" xr:uid="{7DDA02B7-5DA4-4E6C-B6D9-C34698E33A0E}"/>
    <cellStyle name="C04L" xfId="49728" xr:uid="{492D8597-D88B-4399-8714-14B414A5AB67}"/>
    <cellStyle name="C05A" xfId="49729" xr:uid="{1C20608B-0408-43FC-8277-80C453594AEE}"/>
    <cellStyle name="C05B" xfId="49730" xr:uid="{E55CF831-5429-485F-9C11-1581956DB610}"/>
    <cellStyle name="C05H" xfId="49731" xr:uid="{1810EA43-ECCE-45E7-989D-F6E0C218F4BF}"/>
    <cellStyle name="C05L" xfId="49732" xr:uid="{5088F11A-1BF3-4CD0-8E88-363147E86014}"/>
    <cellStyle name="C05L 2" xfId="49792" xr:uid="{31623C7F-A7CA-4C0D-9001-73A280F914CC}"/>
    <cellStyle name="C05L 3" xfId="49778" xr:uid="{8D89F559-5BAB-4253-AEF6-9ABC7DD8000B}"/>
    <cellStyle name="C06A" xfId="49733" xr:uid="{E39FCB18-6B11-4E9E-88C5-DE06CD1AF104}"/>
    <cellStyle name="C06B" xfId="49734" xr:uid="{35ED561A-B862-45A5-BA57-A07AAAD0B5BC}"/>
    <cellStyle name="C06H" xfId="49735" xr:uid="{E1ED3CD1-7FEA-4B81-AA48-73529559A72E}"/>
    <cellStyle name="C06L" xfId="49736" xr:uid="{67E30422-E94B-492A-AED2-F3B045EA9115}"/>
    <cellStyle name="C07A" xfId="49737" xr:uid="{0BE651D3-CDBA-4999-A05C-ADD85E64B371}"/>
    <cellStyle name="C07B" xfId="49738" xr:uid="{B895DDF3-8628-453D-8D49-74EE6C29468A}"/>
    <cellStyle name="C07H" xfId="49739" xr:uid="{76E5E761-5C38-4800-B034-9D8C2BCFC0B3}"/>
    <cellStyle name="C07L" xfId="49740"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60" xfId="49709" xr:uid="{21714B4E-006B-4FAF-8A57-C62674FCFD8C}"/>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1" xr:uid="{7B6C0521-7885-4DB5-B264-E219D81DF26D}"/>
    <cellStyle name="R00B" xfId="49742" xr:uid="{98E9EBBF-D33C-4870-8619-E4CCB7FE6D7E}"/>
    <cellStyle name="R00L" xfId="49743" xr:uid="{C4FF600F-1EAC-4A4F-B738-673259829868}"/>
    <cellStyle name="R01A" xfId="49744" xr:uid="{DE1E0AE8-EA60-4498-92F0-43FB7007CDEC}"/>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H" xfId="49745" xr:uid="{9CBCAA73-9F11-4254-8054-AF0AA71F6F70}"/>
    <cellStyle name="R02L" xfId="25867" xr:uid="{00000000-0005-0000-0000-000009650000}"/>
    <cellStyle name="R03A" xfId="49746" xr:uid="{B8150B26-A38B-411A-9C1F-713565795023}"/>
    <cellStyle name="R03B" xfId="49747" xr:uid="{0B8CD15F-4416-430F-8748-8DD071013D90}"/>
    <cellStyle name="R03H" xfId="49748" xr:uid="{8CF50398-D3EE-434B-A96F-22B187A24912}"/>
    <cellStyle name="R03L" xfId="49749" xr:uid="{B2E5094E-A000-4592-A4B7-39799F3C4979}"/>
    <cellStyle name="R04A" xfId="49750" xr:uid="{30C3E21F-4C7D-4492-9DD8-6DDAA92046A5}"/>
    <cellStyle name="R04B" xfId="49751" xr:uid="{E1BD74AC-8068-4BAB-A82E-97C36F6650B9}"/>
    <cellStyle name="R04H" xfId="49752" xr:uid="{66CE1DD6-250A-44DD-B070-B6DF6B0071F2}"/>
    <cellStyle name="R04L" xfId="49753" xr:uid="{67189EA3-ADB9-487C-8F42-160572CC00F3}"/>
    <cellStyle name="R05A" xfId="49754" xr:uid="{C8E11FEA-5847-4E79-8849-696E1F4BD714}"/>
    <cellStyle name="R05B" xfId="49755" xr:uid="{F12A779A-FC04-4EA5-9ACB-6BEE437BD4D5}"/>
    <cellStyle name="R05H" xfId="49756" xr:uid="{4A349211-27A5-45F0-9A61-EDA5810BF6D3}"/>
    <cellStyle name="R05L" xfId="49757" xr:uid="{CCF23101-AF9D-42AA-9A10-A1AFDB9DE572}"/>
    <cellStyle name="R05L 2" xfId="49793" xr:uid="{6F9D4CE7-1A52-4BEE-B2DF-49672611DE7C}"/>
    <cellStyle name="R05L 3" xfId="49779" xr:uid="{B3B8F5D7-F2EB-45E8-B55C-76C55797736C}"/>
    <cellStyle name="R06A" xfId="49758" xr:uid="{60DBFAD4-68B0-4C88-994E-FA60A95F9159}"/>
    <cellStyle name="R06B" xfId="49759" xr:uid="{54C3346D-A60C-4C4F-9405-2B2D147C4413}"/>
    <cellStyle name="R06H" xfId="49760" xr:uid="{3AEA0AAD-CFA7-4AE6-B8B9-BD7E01ED1A46}"/>
    <cellStyle name="R06L" xfId="49761" xr:uid="{048A8497-953F-4DE4-859C-27069A4DFE88}"/>
    <cellStyle name="R07A" xfId="49762" xr:uid="{F4E5A1A0-6741-4EE6-A45A-9723749FE4D0}"/>
    <cellStyle name="R07B" xfId="49763" xr:uid="{9ECF5628-EEC7-433D-9063-2A60C438965E}"/>
    <cellStyle name="R07H" xfId="49764" xr:uid="{5852413E-657C-470A-AACE-EA9CFA079B29}"/>
    <cellStyle name="R07L" xfId="49765"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147</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147</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zoomScaleNormal="100" workbookViewId="0">
      <selection activeCell="B64" sqref="B64"/>
    </sheetView>
  </sheetViews>
  <sheetFormatPr defaultColWidth="8.6640625" defaultRowHeight="12.75"/>
  <cols>
    <col min="1" max="1" width="2.109375" style="567" customWidth="1"/>
    <col min="2" max="2" width="22.6640625" style="567" customWidth="1"/>
    <col min="3" max="3" width="6" style="567" customWidth="1"/>
    <col min="4" max="4" width="24.109375" style="567" customWidth="1"/>
    <col min="5" max="6" width="12.44140625" style="567" customWidth="1"/>
    <col min="7" max="7" width="4" style="567" customWidth="1"/>
    <col min="8" max="8" width="12.44140625" style="567" customWidth="1"/>
    <col min="9" max="9" width="12" style="567" customWidth="1"/>
    <col min="10" max="10" width="3.6640625" style="567" customWidth="1"/>
    <col min="11" max="11" width="28.44140625" style="567" customWidth="1"/>
    <col min="12" max="16384" width="8.6640625" style="567"/>
  </cols>
  <sheetData>
    <row r="1" spans="1:10" s="564" customFormat="1">
      <c r="A1" s="562"/>
      <c r="B1" s="562"/>
      <c r="C1" s="562"/>
      <c r="D1" s="562"/>
      <c r="E1" s="562"/>
      <c r="F1" s="562"/>
      <c r="G1" s="562"/>
      <c r="H1" s="562"/>
      <c r="I1" s="562"/>
      <c r="J1" s="563"/>
    </row>
    <row r="2" spans="1:10" s="564" customFormat="1">
      <c r="A2" s="562"/>
      <c r="B2" s="562"/>
      <c r="C2" s="562"/>
      <c r="D2" s="562"/>
      <c r="E2" s="562"/>
      <c r="F2" s="562"/>
      <c r="G2" s="562"/>
      <c r="H2" s="562"/>
      <c r="I2" s="562"/>
      <c r="J2" s="563"/>
    </row>
    <row r="3" spans="1:10" s="564" customFormat="1">
      <c r="A3" s="562"/>
      <c r="B3" s="562"/>
      <c r="C3" s="562"/>
      <c r="D3" s="562"/>
      <c r="E3" s="562"/>
      <c r="F3" s="562"/>
      <c r="G3" s="562"/>
      <c r="H3" s="562"/>
      <c r="I3" s="562"/>
      <c r="J3" s="563"/>
    </row>
    <row r="4" spans="1:10" s="564" customFormat="1">
      <c r="A4" s="562" t="s">
        <v>835</v>
      </c>
      <c r="B4" s="562"/>
      <c r="C4" s="562"/>
      <c r="D4" s="562"/>
      <c r="E4" s="562"/>
      <c r="F4" s="562"/>
      <c r="G4" s="562"/>
      <c r="H4" s="562"/>
      <c r="I4" s="751" t="s">
        <v>831</v>
      </c>
      <c r="J4" s="563"/>
    </row>
    <row r="5" spans="1:10" ht="18">
      <c r="A5" s="562" t="s">
        <v>833</v>
      </c>
      <c r="B5" s="565"/>
      <c r="C5" s="565"/>
      <c r="D5" s="565"/>
      <c r="E5" s="565"/>
      <c r="F5" s="565"/>
      <c r="G5" s="565"/>
      <c r="H5" s="565"/>
      <c r="I5" s="751" t="s">
        <v>832</v>
      </c>
      <c r="J5" s="566"/>
    </row>
    <row r="6" spans="1:10" ht="18">
      <c r="A6" s="562" t="s">
        <v>713</v>
      </c>
      <c r="B6" s="565"/>
      <c r="C6" s="565"/>
      <c r="D6" s="565"/>
      <c r="E6" s="565"/>
      <c r="F6" s="565"/>
      <c r="G6" s="565"/>
      <c r="H6" s="565"/>
      <c r="I6" s="565"/>
      <c r="J6" s="566"/>
    </row>
    <row r="7" spans="1:10" ht="18">
      <c r="A7" s="562" t="s">
        <v>714</v>
      </c>
      <c r="B7" s="565"/>
      <c r="C7" s="565"/>
      <c r="D7" s="565"/>
      <c r="E7" s="565"/>
      <c r="F7" s="565"/>
      <c r="G7" s="565"/>
      <c r="H7" s="565"/>
      <c r="I7" s="565"/>
      <c r="J7" s="566"/>
    </row>
    <row r="8" spans="1:10" ht="18.75" thickBot="1">
      <c r="A8" s="565"/>
      <c r="B8" s="565"/>
      <c r="C8" s="565"/>
      <c r="D8" s="565"/>
      <c r="E8" s="565"/>
      <c r="F8" s="565"/>
      <c r="G8" s="565"/>
      <c r="H8" s="565"/>
      <c r="I8" s="565"/>
      <c r="J8" s="566"/>
    </row>
    <row r="9" spans="1:10" ht="18.75" thickTop="1">
      <c r="A9" s="568" t="s">
        <v>715</v>
      </c>
      <c r="B9" s="569"/>
      <c r="C9" s="569"/>
      <c r="D9" s="569"/>
      <c r="E9" s="569"/>
      <c r="F9" s="569"/>
      <c r="G9" s="569"/>
      <c r="H9" s="569"/>
      <c r="I9" s="569"/>
      <c r="J9" s="570"/>
    </row>
    <row r="10" spans="1:10" ht="18.75" thickBot="1">
      <c r="A10" s="1496" t="s">
        <v>1517</v>
      </c>
      <c r="B10" s="565"/>
      <c r="C10" s="565"/>
      <c r="D10" s="565"/>
      <c r="E10" s="565"/>
      <c r="F10" s="565"/>
      <c r="G10" s="565"/>
      <c r="H10" s="565"/>
      <c r="I10" s="565"/>
      <c r="J10" s="570"/>
    </row>
    <row r="11" spans="1:10" ht="18.75" thickTop="1">
      <c r="A11" s="571"/>
      <c r="B11" s="572"/>
      <c r="C11" s="572"/>
      <c r="D11" s="572"/>
      <c r="E11" s="572"/>
      <c r="F11" s="572"/>
      <c r="G11" s="572"/>
      <c r="H11" s="572"/>
      <c r="I11" s="572"/>
      <c r="J11" s="573"/>
    </row>
    <row r="12" spans="1:10">
      <c r="A12" s="562" t="s">
        <v>716</v>
      </c>
      <c r="B12" s="565"/>
      <c r="C12" s="565"/>
      <c r="D12" s="565"/>
      <c r="E12" s="562"/>
      <c r="F12" s="562"/>
      <c r="G12" s="562"/>
      <c r="H12" s="565"/>
      <c r="I12" s="565"/>
      <c r="J12" s="574"/>
    </row>
    <row r="13" spans="1:10">
      <c r="A13" s="564"/>
      <c r="J13" s="574"/>
    </row>
    <row r="14" spans="1:10">
      <c r="A14" s="564" t="s">
        <v>717</v>
      </c>
      <c r="B14" s="577"/>
      <c r="J14" s="575"/>
    </row>
    <row r="15" spans="1:10">
      <c r="A15" s="564"/>
      <c r="B15" s="633"/>
      <c r="J15" s="575"/>
    </row>
    <row r="16" spans="1:10">
      <c r="A16" s="564"/>
      <c r="B16" s="1348" t="s">
        <v>747</v>
      </c>
      <c r="D16" s="576" t="s">
        <v>718</v>
      </c>
      <c r="F16" s="577"/>
      <c r="J16" s="634">
        <v>2</v>
      </c>
    </row>
    <row r="17" spans="1:11">
      <c r="A17" s="564"/>
      <c r="B17" s="1348" t="s">
        <v>748</v>
      </c>
      <c r="D17" s="567" t="s">
        <v>1049</v>
      </c>
      <c r="E17" s="579"/>
      <c r="F17" s="580"/>
      <c r="G17" s="579"/>
      <c r="H17" s="579"/>
      <c r="I17" s="579"/>
      <c r="J17" s="634">
        <v>3</v>
      </c>
    </row>
    <row r="18" spans="1:11">
      <c r="A18" s="581"/>
      <c r="B18" s="1343" t="s">
        <v>1168</v>
      </c>
      <c r="D18" s="583" t="s">
        <v>868</v>
      </c>
      <c r="E18" s="576"/>
      <c r="F18" s="576"/>
      <c r="G18" s="576"/>
      <c r="H18" s="576"/>
      <c r="I18" s="576"/>
      <c r="J18" s="634">
        <v>4</v>
      </c>
    </row>
    <row r="19" spans="1:11">
      <c r="A19" s="564"/>
      <c r="B19" s="1343" t="s">
        <v>749</v>
      </c>
      <c r="D19" s="582" t="s">
        <v>719</v>
      </c>
      <c r="E19" s="582"/>
      <c r="F19" s="582"/>
      <c r="G19" s="582"/>
      <c r="H19" s="582"/>
      <c r="I19" s="582"/>
      <c r="J19" s="634">
        <v>5</v>
      </c>
    </row>
    <row r="20" spans="1:11">
      <c r="A20" s="564"/>
      <c r="B20" s="1343" t="s">
        <v>750</v>
      </c>
      <c r="D20" s="582" t="s">
        <v>720</v>
      </c>
      <c r="E20" s="582"/>
      <c r="F20" s="582"/>
      <c r="G20" s="582"/>
      <c r="H20" s="582"/>
      <c r="I20" s="582"/>
      <c r="J20" s="634">
        <v>6</v>
      </c>
    </row>
    <row r="21" spans="1:11">
      <c r="A21" s="564"/>
      <c r="B21" s="1343" t="s">
        <v>1015</v>
      </c>
      <c r="D21" s="583" t="s">
        <v>1050</v>
      </c>
      <c r="E21" s="582"/>
      <c r="F21" s="582"/>
      <c r="G21" s="582"/>
      <c r="H21" s="582"/>
      <c r="I21" s="582"/>
      <c r="J21" s="634">
        <v>7</v>
      </c>
    </row>
    <row r="22" spans="1:11">
      <c r="A22" s="564"/>
      <c r="B22" s="1343" t="s">
        <v>1016</v>
      </c>
      <c r="D22" s="583" t="s">
        <v>1051</v>
      </c>
      <c r="E22" s="582"/>
      <c r="F22" s="582"/>
      <c r="G22" s="582"/>
      <c r="H22" s="582"/>
      <c r="I22" s="582"/>
      <c r="J22" s="634">
        <v>8</v>
      </c>
    </row>
    <row r="23" spans="1:11">
      <c r="A23" s="564"/>
      <c r="B23" s="1348" t="s">
        <v>1017</v>
      </c>
      <c r="D23" s="583" t="s">
        <v>1058</v>
      </c>
      <c r="E23" s="582"/>
      <c r="F23" s="582"/>
      <c r="G23" s="582"/>
      <c r="H23" s="582"/>
      <c r="I23" s="582"/>
      <c r="J23" s="634">
        <v>9</v>
      </c>
    </row>
    <row r="24" spans="1:11">
      <c r="A24" s="564"/>
      <c r="B24" s="1343" t="s">
        <v>1018</v>
      </c>
      <c r="D24" s="583" t="s">
        <v>1052</v>
      </c>
      <c r="E24" s="582"/>
      <c r="F24" s="582"/>
      <c r="G24" s="582"/>
      <c r="H24" s="582"/>
      <c r="I24" s="582"/>
      <c r="J24" s="634">
        <v>10</v>
      </c>
    </row>
    <row r="25" spans="1:11">
      <c r="A25" s="564"/>
      <c r="B25" s="1343" t="s">
        <v>1019</v>
      </c>
      <c r="D25" s="583" t="s">
        <v>1053</v>
      </c>
      <c r="E25" s="582"/>
      <c r="F25" s="582"/>
      <c r="G25" s="582"/>
      <c r="H25" s="582"/>
      <c r="I25" s="582"/>
      <c r="J25" s="634">
        <v>11</v>
      </c>
    </row>
    <row r="26" spans="1:11">
      <c r="A26" s="564"/>
      <c r="B26" s="1343" t="s">
        <v>1020</v>
      </c>
      <c r="D26" s="583" t="s">
        <v>1054</v>
      </c>
      <c r="E26" s="582"/>
      <c r="F26" s="582"/>
      <c r="G26" s="582"/>
      <c r="H26" s="582"/>
      <c r="I26" s="582"/>
      <c r="J26" s="634">
        <v>12</v>
      </c>
    </row>
    <row r="27" spans="1:11">
      <c r="A27" s="564"/>
      <c r="B27" s="1343" t="s">
        <v>1021</v>
      </c>
      <c r="D27" s="583" t="s">
        <v>1055</v>
      </c>
      <c r="E27" s="582"/>
      <c r="F27" s="582"/>
      <c r="G27" s="582"/>
      <c r="H27" s="582"/>
      <c r="I27" s="582"/>
      <c r="J27" s="634">
        <v>13</v>
      </c>
    </row>
    <row r="28" spans="1:11">
      <c r="A28" s="564"/>
      <c r="B28" s="1343" t="s">
        <v>1022</v>
      </c>
      <c r="D28" s="583" t="s">
        <v>1056</v>
      </c>
      <c r="E28" s="582"/>
      <c r="F28" s="582"/>
      <c r="G28" s="582"/>
      <c r="H28" s="582"/>
      <c r="I28" s="582"/>
      <c r="J28" s="634">
        <v>14</v>
      </c>
    </row>
    <row r="29" spans="1:11">
      <c r="A29" s="564"/>
      <c r="B29" s="1343" t="s">
        <v>751</v>
      </c>
      <c r="D29" s="584" t="s">
        <v>721</v>
      </c>
      <c r="E29" s="582"/>
      <c r="F29" s="582"/>
      <c r="G29" s="582"/>
      <c r="H29" s="582"/>
      <c r="I29" s="582"/>
      <c r="J29" s="634">
        <v>15</v>
      </c>
    </row>
    <row r="30" spans="1:11">
      <c r="A30" s="564"/>
      <c r="B30" s="1348" t="s">
        <v>769</v>
      </c>
      <c r="D30" s="583" t="s">
        <v>1057</v>
      </c>
      <c r="E30" s="583"/>
      <c r="F30" s="583"/>
      <c r="G30" s="583"/>
      <c r="H30" s="583"/>
      <c r="I30" s="583"/>
      <c r="J30" s="634">
        <v>16</v>
      </c>
      <c r="K30" s="564"/>
    </row>
    <row r="31" spans="1:11">
      <c r="A31" s="564"/>
      <c r="B31" s="1343" t="s">
        <v>1023</v>
      </c>
      <c r="D31" s="583" t="s">
        <v>1049</v>
      </c>
      <c r="E31" s="579"/>
      <c r="F31" s="579"/>
      <c r="G31" s="579"/>
      <c r="H31" s="579"/>
      <c r="I31" s="579"/>
      <c r="J31" s="634">
        <v>18</v>
      </c>
      <c r="K31" s="564"/>
    </row>
    <row r="32" spans="1:11">
      <c r="A32" s="564"/>
      <c r="B32" s="1343"/>
      <c r="D32" s="585"/>
      <c r="E32" s="585"/>
      <c r="F32" s="585"/>
      <c r="G32" s="585"/>
      <c r="H32" s="585"/>
      <c r="I32" s="585"/>
      <c r="J32" s="634"/>
      <c r="K32" s="564"/>
    </row>
    <row r="33" spans="1:11">
      <c r="A33" s="564"/>
      <c r="B33" s="1344"/>
      <c r="D33" s="585"/>
      <c r="E33" s="585"/>
      <c r="F33" s="585"/>
      <c r="G33" s="585"/>
      <c r="H33" s="585"/>
      <c r="I33" s="585"/>
      <c r="J33" s="634"/>
    </row>
    <row r="34" spans="1:11">
      <c r="A34" s="564" t="s">
        <v>722</v>
      </c>
      <c r="B34" s="1345"/>
      <c r="C34" s="564"/>
      <c r="D34" s="564"/>
      <c r="E34" s="564"/>
      <c r="F34" s="564"/>
      <c r="G34" s="564"/>
      <c r="H34" s="564"/>
      <c r="I34" s="564"/>
      <c r="J34" s="635"/>
    </row>
    <row r="35" spans="1:11">
      <c r="A35" s="564"/>
      <c r="B35" s="1345"/>
      <c r="C35" s="564"/>
      <c r="D35" s="586"/>
      <c r="E35" s="586"/>
      <c r="F35" s="586"/>
      <c r="G35" s="586"/>
      <c r="H35" s="586"/>
      <c r="I35" s="586"/>
      <c r="J35" s="636"/>
    </row>
    <row r="36" spans="1:11">
      <c r="A36" s="564"/>
      <c r="B36" s="1348" t="s">
        <v>752</v>
      </c>
      <c r="D36" s="576" t="s">
        <v>772</v>
      </c>
      <c r="E36" s="576"/>
      <c r="F36" s="576"/>
      <c r="G36" s="576"/>
      <c r="H36" s="576"/>
      <c r="I36" s="576"/>
      <c r="J36" s="634">
        <v>20</v>
      </c>
    </row>
    <row r="37" spans="1:11">
      <c r="A37" s="564"/>
      <c r="B37" s="1348" t="s">
        <v>723</v>
      </c>
      <c r="D37" s="585" t="s">
        <v>768</v>
      </c>
      <c r="E37" s="585"/>
      <c r="F37" s="585"/>
      <c r="G37" s="585"/>
      <c r="H37" s="585"/>
      <c r="I37" s="585"/>
      <c r="J37" s="634">
        <v>22</v>
      </c>
    </row>
    <row r="38" spans="1:11">
      <c r="A38" s="564"/>
      <c r="B38" s="1348" t="s">
        <v>753</v>
      </c>
      <c r="D38" s="582" t="s">
        <v>1169</v>
      </c>
      <c r="E38" s="582"/>
      <c r="F38" s="582"/>
      <c r="G38" s="582"/>
      <c r="H38" s="582"/>
      <c r="I38" s="582"/>
      <c r="J38" s="634">
        <v>24</v>
      </c>
    </row>
    <row r="39" spans="1:11">
      <c r="A39" s="564"/>
      <c r="B39" s="1348" t="s">
        <v>754</v>
      </c>
      <c r="D39" s="582" t="s">
        <v>1170</v>
      </c>
      <c r="E39" s="582"/>
      <c r="F39" s="582"/>
      <c r="G39" s="582"/>
      <c r="H39" s="582"/>
      <c r="I39" s="582"/>
      <c r="J39" s="634">
        <v>26</v>
      </c>
    </row>
    <row r="40" spans="1:11">
      <c r="A40" s="564"/>
      <c r="B40" s="1343" t="s">
        <v>724</v>
      </c>
      <c r="D40" s="582" t="s">
        <v>913</v>
      </c>
      <c r="E40" s="582"/>
      <c r="F40" s="582"/>
      <c r="G40" s="582"/>
      <c r="H40" s="582"/>
      <c r="I40" s="582"/>
      <c r="J40" s="634">
        <v>28</v>
      </c>
    </row>
    <row r="41" spans="1:11">
      <c r="A41" s="564"/>
      <c r="B41" s="1348" t="s">
        <v>725</v>
      </c>
      <c r="D41" s="582" t="s">
        <v>876</v>
      </c>
      <c r="E41" s="582"/>
      <c r="F41" s="582"/>
      <c r="G41" s="582"/>
      <c r="H41" s="582"/>
      <c r="I41" s="582"/>
      <c r="J41" s="634">
        <v>29</v>
      </c>
    </row>
    <row r="42" spans="1:11">
      <c r="A42" s="564"/>
      <c r="B42" s="1348" t="s">
        <v>755</v>
      </c>
      <c r="D42" s="582" t="s">
        <v>1171</v>
      </c>
      <c r="E42" s="582"/>
      <c r="F42" s="582"/>
      <c r="G42" s="582"/>
      <c r="H42" s="582"/>
      <c r="I42" s="582"/>
      <c r="J42" s="634">
        <v>31</v>
      </c>
    </row>
    <row r="43" spans="1:11">
      <c r="A43" s="564"/>
      <c r="B43" s="1348" t="s">
        <v>756</v>
      </c>
      <c r="D43" s="582" t="s">
        <v>1172</v>
      </c>
      <c r="E43" s="582"/>
      <c r="F43" s="582"/>
      <c r="G43" s="582"/>
      <c r="H43" s="582"/>
      <c r="I43" s="582"/>
      <c r="J43" s="634">
        <v>33</v>
      </c>
    </row>
    <row r="44" spans="1:11">
      <c r="A44" s="564"/>
      <c r="B44" s="1343" t="s">
        <v>726</v>
      </c>
      <c r="D44" s="582" t="s">
        <v>773</v>
      </c>
      <c r="E44" s="582"/>
      <c r="F44" s="582"/>
      <c r="G44" s="582"/>
      <c r="H44" s="582"/>
      <c r="I44" s="582"/>
      <c r="J44" s="634">
        <v>34</v>
      </c>
    </row>
    <row r="45" spans="1:11">
      <c r="A45" s="564"/>
      <c r="B45" s="1348" t="s">
        <v>727</v>
      </c>
      <c r="D45" s="582" t="s">
        <v>770</v>
      </c>
      <c r="E45" s="582"/>
      <c r="F45" s="582"/>
      <c r="G45" s="582"/>
      <c r="H45" s="582"/>
      <c r="I45" s="582"/>
      <c r="J45" s="634">
        <v>35</v>
      </c>
    </row>
    <row r="46" spans="1:11">
      <c r="A46" s="564"/>
      <c r="B46" s="1343" t="s">
        <v>728</v>
      </c>
      <c r="D46" s="582" t="s">
        <v>1470</v>
      </c>
      <c r="E46" s="582"/>
      <c r="F46" s="582"/>
      <c r="G46" s="582"/>
      <c r="H46" s="582"/>
      <c r="I46" s="582"/>
      <c r="J46" s="634">
        <v>36</v>
      </c>
    </row>
    <row r="47" spans="1:11">
      <c r="A47" s="564"/>
      <c r="B47" s="1343" t="s">
        <v>729</v>
      </c>
      <c r="D47" s="583" t="s">
        <v>771</v>
      </c>
      <c r="E47" s="583"/>
      <c r="F47" s="583"/>
      <c r="G47" s="583"/>
      <c r="H47" s="583"/>
      <c r="I47" s="583"/>
      <c r="J47" s="634">
        <v>37</v>
      </c>
      <c r="K47" s="564"/>
    </row>
    <row r="48" spans="1:11">
      <c r="A48" s="564"/>
      <c r="B48" s="1344"/>
      <c r="D48" s="585"/>
      <c r="E48" s="585"/>
      <c r="F48" s="585"/>
      <c r="G48" s="585"/>
      <c r="H48" s="585"/>
      <c r="I48" s="585"/>
      <c r="J48" s="634"/>
    </row>
    <row r="49" spans="1:11">
      <c r="A49" s="564" t="s">
        <v>730</v>
      </c>
      <c r="B49" s="1344"/>
      <c r="D49" s="585"/>
      <c r="E49" s="585"/>
      <c r="F49" s="585"/>
      <c r="G49" s="585"/>
      <c r="H49" s="585"/>
      <c r="I49" s="585"/>
      <c r="J49" s="634"/>
    </row>
    <row r="50" spans="1:11">
      <c r="A50" s="564"/>
      <c r="B50" s="1345"/>
      <c r="C50" s="564"/>
      <c r="D50" s="586"/>
      <c r="E50" s="586"/>
      <c r="F50" s="586"/>
      <c r="G50" s="586"/>
      <c r="H50" s="586"/>
      <c r="I50" s="586"/>
      <c r="J50" s="635"/>
    </row>
    <row r="51" spans="1:11">
      <c r="A51" s="564"/>
      <c r="B51" s="1343" t="s">
        <v>731</v>
      </c>
      <c r="D51" s="585" t="s">
        <v>774</v>
      </c>
      <c r="E51" s="585"/>
      <c r="F51" s="585"/>
      <c r="G51" s="585"/>
      <c r="H51" s="585"/>
      <c r="I51" s="585"/>
      <c r="J51" s="634">
        <v>38</v>
      </c>
    </row>
    <row r="52" spans="1:11">
      <c r="A52" s="564"/>
      <c r="B52" s="1343" t="s">
        <v>732</v>
      </c>
      <c r="D52" s="582" t="s">
        <v>775</v>
      </c>
      <c r="E52" s="582"/>
      <c r="F52" s="582"/>
      <c r="G52" s="582"/>
      <c r="H52" s="582"/>
      <c r="I52" s="582"/>
      <c r="J52" s="634">
        <v>41</v>
      </c>
    </row>
    <row r="53" spans="1:11">
      <c r="A53" s="564"/>
      <c r="B53" s="1343" t="s">
        <v>733</v>
      </c>
      <c r="D53" s="582" t="s">
        <v>776</v>
      </c>
      <c r="E53" s="582"/>
      <c r="F53" s="582"/>
      <c r="G53" s="582"/>
      <c r="H53" s="582"/>
      <c r="I53" s="582"/>
      <c r="J53" s="634">
        <v>42</v>
      </c>
    </row>
    <row r="54" spans="1:11">
      <c r="A54" s="564"/>
      <c r="B54" s="1343" t="s">
        <v>734</v>
      </c>
      <c r="D54" s="582" t="s">
        <v>779</v>
      </c>
      <c r="E54" s="582"/>
      <c r="F54" s="582"/>
      <c r="G54" s="582"/>
      <c r="H54" s="582"/>
      <c r="I54" s="582"/>
      <c r="J54" s="634">
        <v>43</v>
      </c>
    </row>
    <row r="55" spans="1:11">
      <c r="A55" s="564"/>
      <c r="B55" s="1343" t="s">
        <v>735</v>
      </c>
      <c r="D55" s="582" t="s">
        <v>777</v>
      </c>
      <c r="E55" s="582"/>
      <c r="F55" s="582"/>
      <c r="G55" s="582"/>
      <c r="H55" s="582"/>
      <c r="I55" s="582"/>
      <c r="J55" s="634">
        <v>44</v>
      </c>
      <c r="K55" s="587"/>
    </row>
    <row r="56" spans="1:11">
      <c r="A56" s="564"/>
      <c r="B56" s="1348" t="s">
        <v>736</v>
      </c>
      <c r="D56" s="582" t="s">
        <v>778</v>
      </c>
      <c r="E56" s="582"/>
      <c r="F56" s="582"/>
      <c r="G56" s="582"/>
      <c r="H56" s="582"/>
      <c r="I56" s="582"/>
      <c r="J56" s="634">
        <v>45</v>
      </c>
      <c r="K56" s="574"/>
    </row>
    <row r="57" spans="1:11">
      <c r="A57" s="564"/>
      <c r="B57" s="1343" t="s">
        <v>737</v>
      </c>
      <c r="D57" s="583" t="s">
        <v>738</v>
      </c>
      <c r="E57" s="583"/>
      <c r="F57" s="583"/>
      <c r="G57" s="583"/>
      <c r="H57" s="583"/>
      <c r="I57" s="583"/>
      <c r="J57" s="634">
        <v>46</v>
      </c>
      <c r="K57" s="574"/>
    </row>
    <row r="58" spans="1:11">
      <c r="A58" s="564"/>
      <c r="B58" s="1346" t="s">
        <v>757</v>
      </c>
      <c r="D58" s="576" t="s">
        <v>739</v>
      </c>
      <c r="E58" s="576"/>
      <c r="F58" s="576"/>
      <c r="G58" s="576"/>
      <c r="H58" s="576"/>
      <c r="I58" s="576"/>
      <c r="J58" s="634">
        <v>47</v>
      </c>
      <c r="K58" s="574"/>
    </row>
    <row r="59" spans="1:11">
      <c r="A59" s="564"/>
      <c r="B59" s="1347" t="s">
        <v>758</v>
      </c>
      <c r="D59" s="579" t="s">
        <v>740</v>
      </c>
      <c r="E59" s="579"/>
      <c r="F59" s="579"/>
      <c r="G59" s="579"/>
      <c r="H59" s="579"/>
      <c r="I59" s="579"/>
      <c r="J59" s="634">
        <v>48</v>
      </c>
      <c r="K59" s="574"/>
    </row>
    <row r="60" spans="1:11">
      <c r="A60" s="564"/>
      <c r="B60" s="1347" t="s">
        <v>759</v>
      </c>
      <c r="D60" s="588" t="s">
        <v>741</v>
      </c>
      <c r="E60" s="579"/>
      <c r="F60" s="588"/>
      <c r="G60" s="579"/>
      <c r="H60" s="579"/>
      <c r="I60" s="579"/>
      <c r="J60" s="634">
        <v>49</v>
      </c>
      <c r="K60" s="574"/>
    </row>
    <row r="61" spans="1:11">
      <c r="A61" s="564"/>
      <c r="B61" s="1347" t="s">
        <v>760</v>
      </c>
      <c r="D61" s="579" t="s">
        <v>742</v>
      </c>
      <c r="E61" s="579"/>
      <c r="F61" s="579"/>
      <c r="G61" s="579"/>
      <c r="H61" s="579"/>
      <c r="I61" s="579"/>
      <c r="J61" s="634">
        <v>50</v>
      </c>
      <c r="K61" s="585"/>
    </row>
    <row r="62" spans="1:11">
      <c r="A62" s="564"/>
      <c r="B62" s="1587" t="s">
        <v>761</v>
      </c>
      <c r="D62" s="579" t="s">
        <v>1173</v>
      </c>
      <c r="E62" s="579"/>
      <c r="F62" s="579"/>
      <c r="G62" s="579"/>
      <c r="H62" s="580"/>
      <c r="I62" s="579"/>
      <c r="J62" s="634">
        <v>51</v>
      </c>
      <c r="K62" s="585"/>
    </row>
    <row r="63" spans="1:11">
      <c r="A63" s="564"/>
      <c r="B63" s="1587" t="s">
        <v>762</v>
      </c>
      <c r="D63" s="579" t="s">
        <v>743</v>
      </c>
      <c r="E63" s="579"/>
      <c r="F63" s="579"/>
      <c r="G63" s="579"/>
      <c r="H63" s="580"/>
      <c r="I63" s="579"/>
      <c r="J63" s="634">
        <v>52</v>
      </c>
      <c r="K63" s="585"/>
    </row>
    <row r="64" spans="1:11">
      <c r="A64" s="564"/>
      <c r="B64" s="1348" t="s">
        <v>763</v>
      </c>
      <c r="D64" s="579" t="s">
        <v>1120</v>
      </c>
      <c r="E64" s="579"/>
      <c r="F64" s="579"/>
      <c r="G64" s="579"/>
      <c r="H64" s="580"/>
      <c r="I64" s="579"/>
      <c r="J64" s="634">
        <v>56</v>
      </c>
      <c r="K64" s="585"/>
    </row>
    <row r="65" spans="1:11" ht="13.35" customHeight="1">
      <c r="A65" s="564"/>
      <c r="B65" s="1348" t="s">
        <v>1298</v>
      </c>
      <c r="D65" s="579" t="s">
        <v>1324</v>
      </c>
      <c r="E65" s="579"/>
      <c r="F65" s="579"/>
      <c r="G65" s="579"/>
      <c r="H65" s="580"/>
      <c r="I65" s="579"/>
      <c r="J65" s="634">
        <v>57</v>
      </c>
      <c r="K65" s="585"/>
    </row>
    <row r="66" spans="1:11" ht="13.35" customHeight="1">
      <c r="A66" s="564"/>
      <c r="B66" s="1348" t="s">
        <v>1299</v>
      </c>
      <c r="D66" s="579" t="s">
        <v>1325</v>
      </c>
      <c r="E66" s="579"/>
      <c r="F66" s="579"/>
      <c r="G66" s="579"/>
      <c r="H66" s="580"/>
      <c r="I66" s="579"/>
      <c r="J66" s="634">
        <v>58</v>
      </c>
      <c r="K66" s="585"/>
    </row>
    <row r="67" spans="1:11" ht="13.35" customHeight="1">
      <c r="A67" s="564"/>
      <c r="B67" s="589"/>
      <c r="D67" s="590"/>
      <c r="E67" s="590"/>
      <c r="F67" s="590"/>
      <c r="G67" s="590"/>
      <c r="H67" s="590"/>
      <c r="I67" s="590"/>
      <c r="J67" s="578"/>
      <c r="K67" s="585"/>
    </row>
    <row r="68" spans="1:11" ht="13.35" customHeight="1">
      <c r="A68" s="564"/>
      <c r="B68" s="589"/>
      <c r="D68" s="590"/>
      <c r="E68" s="590"/>
      <c r="F68" s="590"/>
      <c r="G68" s="590"/>
      <c r="H68" s="590"/>
      <c r="I68" s="590"/>
      <c r="J68" s="578"/>
      <c r="K68" s="585"/>
    </row>
    <row r="69" spans="1:11" ht="13.35" customHeight="1">
      <c r="A69" s="564"/>
      <c r="B69" s="589"/>
      <c r="D69" s="590"/>
      <c r="E69" s="590"/>
      <c r="F69" s="590"/>
      <c r="G69" s="590"/>
      <c r="H69" s="590"/>
      <c r="I69" s="590"/>
      <c r="J69" s="578"/>
      <c r="K69" s="585"/>
    </row>
    <row r="70" spans="1:11" ht="13.35" customHeight="1">
      <c r="A70" s="564"/>
      <c r="B70" s="589"/>
      <c r="D70" s="590"/>
      <c r="E70" s="590"/>
      <c r="F70" s="590"/>
      <c r="G70" s="590"/>
      <c r="H70" s="590"/>
      <c r="I70" s="590"/>
      <c r="J70" s="578"/>
      <c r="K70" s="585"/>
    </row>
    <row r="71" spans="1:11" ht="13.35" customHeight="1">
      <c r="A71" s="564"/>
      <c r="B71" s="589"/>
      <c r="D71" s="590"/>
      <c r="E71" s="590"/>
      <c r="F71" s="590"/>
      <c r="G71" s="590"/>
      <c r="H71" s="590"/>
      <c r="I71" s="590"/>
      <c r="J71" s="578"/>
      <c r="K71" s="585"/>
    </row>
    <row r="72" spans="1:11" ht="13.35" customHeight="1">
      <c r="A72" s="564"/>
      <c r="B72" s="589"/>
      <c r="D72" s="590"/>
      <c r="E72" s="590"/>
      <c r="F72" s="590"/>
      <c r="G72" s="590"/>
      <c r="H72" s="590"/>
      <c r="I72" s="590"/>
      <c r="J72" s="578"/>
      <c r="K72" s="585"/>
    </row>
    <row r="73" spans="1:11" ht="13.35" customHeight="1">
      <c r="A73" s="564"/>
      <c r="B73" s="589"/>
      <c r="D73" s="590"/>
      <c r="E73" s="590"/>
      <c r="F73" s="590"/>
      <c r="G73" s="590"/>
      <c r="H73" s="590"/>
      <c r="I73" s="590"/>
      <c r="J73" s="578"/>
      <c r="K73" s="585"/>
    </row>
    <row r="74" spans="1:11" ht="13.35" customHeight="1">
      <c r="A74" s="564"/>
      <c r="B74" s="589"/>
      <c r="D74" s="590"/>
      <c r="E74" s="590"/>
      <c r="F74" s="590"/>
      <c r="G74" s="590"/>
      <c r="H74" s="590"/>
      <c r="I74" s="590"/>
      <c r="J74" s="578"/>
      <c r="K74" s="585"/>
    </row>
    <row r="75" spans="1:11" ht="13.35" customHeight="1">
      <c r="A75" s="564"/>
      <c r="B75" s="589"/>
      <c r="D75" s="590"/>
      <c r="E75" s="590"/>
      <c r="F75" s="590"/>
      <c r="G75" s="590"/>
      <c r="H75" s="590"/>
      <c r="I75" s="590"/>
      <c r="J75" s="578"/>
      <c r="K75" s="585"/>
    </row>
    <row r="76" spans="1:11" ht="13.35" customHeight="1">
      <c r="A76" s="564"/>
      <c r="B76" s="589"/>
      <c r="D76" s="590"/>
      <c r="E76" s="590"/>
      <c r="F76" s="590"/>
      <c r="G76" s="590"/>
      <c r="H76" s="590"/>
      <c r="I76" s="590"/>
      <c r="J76" s="578"/>
      <c r="K76" s="585"/>
    </row>
    <row r="77" spans="1:11" ht="13.35" customHeight="1">
      <c r="A77" s="564"/>
      <c r="B77" s="589"/>
      <c r="D77" s="590"/>
      <c r="E77" s="590"/>
      <c r="F77" s="590"/>
      <c r="G77" s="590"/>
      <c r="H77" s="590"/>
      <c r="I77" s="590"/>
      <c r="J77" s="578"/>
      <c r="K77" s="585"/>
    </row>
    <row r="78" spans="1:11" ht="13.35" customHeight="1">
      <c r="A78" s="564"/>
      <c r="B78" s="589"/>
      <c r="D78" s="590"/>
      <c r="E78" s="590"/>
      <c r="F78" s="590"/>
      <c r="G78" s="590"/>
      <c r="H78" s="590"/>
      <c r="I78" s="590"/>
      <c r="J78" s="578"/>
      <c r="K78" s="585"/>
    </row>
    <row r="79" spans="1:11" ht="13.35" customHeight="1">
      <c r="A79" s="564"/>
      <c r="B79" s="589"/>
      <c r="D79" s="590"/>
      <c r="E79" s="590"/>
      <c r="F79" s="590"/>
      <c r="G79" s="590"/>
      <c r="H79" s="590"/>
      <c r="I79" s="590"/>
      <c r="J79" s="578"/>
      <c r="K79" s="585"/>
    </row>
    <row r="80" spans="1:11" ht="13.35" customHeight="1">
      <c r="A80" s="564"/>
      <c r="B80" s="589"/>
      <c r="D80" s="590"/>
      <c r="E80" s="590"/>
      <c r="F80" s="590"/>
      <c r="G80" s="590"/>
      <c r="H80" s="590"/>
      <c r="I80" s="590"/>
      <c r="J80" s="578"/>
      <c r="K80" s="585"/>
    </row>
    <row r="81" spans="1:11" ht="13.35" customHeight="1">
      <c r="A81" s="564"/>
      <c r="B81" s="589"/>
      <c r="D81" s="590"/>
      <c r="E81" s="590"/>
      <c r="F81" s="590"/>
      <c r="G81" s="590"/>
      <c r="H81" s="590"/>
      <c r="I81" s="590"/>
      <c r="J81" s="578"/>
      <c r="K81" s="585"/>
    </row>
    <row r="82" spans="1:11" ht="13.35" customHeight="1">
      <c r="A82" s="564"/>
      <c r="B82" s="589"/>
      <c r="D82" s="590"/>
      <c r="E82" s="590"/>
      <c r="F82" s="590"/>
      <c r="G82" s="590"/>
      <c r="H82" s="590"/>
      <c r="I82" s="590"/>
      <c r="J82" s="578"/>
      <c r="K82" s="585"/>
    </row>
    <row r="83" spans="1:11" ht="13.35" customHeight="1">
      <c r="A83" s="564"/>
      <c r="B83" s="589"/>
      <c r="D83" s="590"/>
      <c r="E83" s="590"/>
      <c r="F83" s="590"/>
      <c r="G83" s="590"/>
      <c r="H83" s="590"/>
      <c r="I83" s="590"/>
      <c r="J83" s="578"/>
      <c r="K83" s="585"/>
    </row>
    <row r="84" spans="1:11" ht="13.35" customHeight="1">
      <c r="A84" s="564"/>
      <c r="B84" s="589"/>
      <c r="D84" s="590"/>
      <c r="E84" s="590"/>
      <c r="F84" s="590"/>
      <c r="G84" s="590"/>
      <c r="H84" s="590"/>
      <c r="I84" s="590"/>
      <c r="J84" s="578"/>
      <c r="K84" s="585"/>
    </row>
    <row r="85" spans="1:11" ht="13.35" customHeight="1">
      <c r="A85" s="564"/>
      <c r="B85" s="589"/>
      <c r="D85" s="590"/>
      <c r="E85" s="590"/>
      <c r="F85" s="590"/>
      <c r="G85" s="590"/>
      <c r="H85" s="590"/>
      <c r="I85" s="590"/>
      <c r="J85" s="578"/>
      <c r="K85" s="585"/>
    </row>
    <row r="86" spans="1:11" ht="13.35" customHeight="1">
      <c r="A86" s="564"/>
      <c r="B86" s="589"/>
      <c r="D86" s="590"/>
      <c r="E86" s="590"/>
      <c r="F86" s="590"/>
      <c r="G86" s="590"/>
      <c r="H86" s="590"/>
      <c r="I86" s="590"/>
      <c r="J86" s="578"/>
      <c r="K86" s="585"/>
    </row>
    <row r="87" spans="1:11" ht="13.35" customHeight="1">
      <c r="A87" s="564"/>
      <c r="B87" s="589"/>
      <c r="D87" s="590"/>
      <c r="E87" s="590"/>
      <c r="F87" s="590"/>
      <c r="G87" s="590"/>
      <c r="H87" s="590"/>
      <c r="I87" s="590"/>
      <c r="J87" s="578"/>
      <c r="K87" s="585"/>
    </row>
    <row r="88" spans="1:11" ht="13.35" customHeight="1">
      <c r="A88" s="564"/>
      <c r="B88" s="589"/>
      <c r="D88" s="590"/>
      <c r="E88" s="590"/>
      <c r="F88" s="590"/>
      <c r="G88" s="590"/>
      <c r="H88" s="590"/>
      <c r="I88" s="590"/>
      <c r="J88" s="578"/>
      <c r="K88" s="585"/>
    </row>
    <row r="89" spans="1:11" ht="13.35" customHeight="1">
      <c r="A89" s="564"/>
      <c r="B89" s="589"/>
      <c r="D89" s="590"/>
      <c r="E89" s="590"/>
      <c r="F89" s="590"/>
      <c r="G89" s="590"/>
      <c r="H89" s="590"/>
      <c r="I89" s="590"/>
      <c r="J89" s="578"/>
      <c r="K89" s="585"/>
    </row>
    <row r="90" spans="1:11" ht="13.35" customHeight="1">
      <c r="A90" s="564"/>
      <c r="B90" s="589"/>
      <c r="D90" s="590"/>
      <c r="E90" s="590"/>
      <c r="F90" s="590"/>
      <c r="G90" s="590"/>
      <c r="H90" s="590"/>
      <c r="I90" s="590"/>
      <c r="J90" s="578"/>
      <c r="K90" s="585"/>
    </row>
    <row r="91" spans="1:11" ht="13.35" customHeight="1">
      <c r="A91" s="564"/>
      <c r="B91" s="589"/>
      <c r="D91" s="590"/>
      <c r="E91" s="590"/>
      <c r="F91" s="590"/>
      <c r="G91" s="590"/>
      <c r="H91" s="590"/>
      <c r="I91" s="590"/>
      <c r="J91" s="578"/>
      <c r="K91" s="585"/>
    </row>
    <row r="92" spans="1:11" ht="13.35" customHeight="1">
      <c r="A92" s="564"/>
      <c r="B92" s="589"/>
      <c r="D92" s="590"/>
      <c r="E92" s="590"/>
      <c r="F92" s="590"/>
      <c r="G92" s="590"/>
      <c r="H92" s="590"/>
      <c r="I92" s="590"/>
      <c r="J92" s="578"/>
    </row>
    <row r="93" spans="1:11" ht="13.35" customHeight="1">
      <c r="A93" s="564"/>
      <c r="B93" s="589"/>
      <c r="D93" s="590"/>
      <c r="E93" s="590"/>
      <c r="F93" s="590"/>
      <c r="G93" s="590"/>
      <c r="H93" s="590"/>
      <c r="I93" s="590"/>
      <c r="J93" s="578"/>
    </row>
    <row r="94" spans="1:11" ht="13.35" customHeight="1">
      <c r="A94" s="564"/>
      <c r="B94" s="589"/>
      <c r="D94" s="590"/>
      <c r="E94" s="590"/>
      <c r="F94" s="590"/>
      <c r="G94" s="590"/>
      <c r="H94" s="590"/>
      <c r="I94" s="590"/>
      <c r="J94" s="578"/>
    </row>
    <row r="95" spans="1:11" ht="13.35" customHeight="1">
      <c r="A95" s="564"/>
      <c r="B95" s="589"/>
      <c r="D95" s="590"/>
      <c r="E95" s="590"/>
      <c r="F95" s="590"/>
      <c r="G95" s="590"/>
      <c r="H95" s="590"/>
      <c r="I95" s="590"/>
      <c r="J95" s="578"/>
    </row>
    <row r="96" spans="1:11" ht="13.35" customHeight="1">
      <c r="A96" s="564"/>
      <c r="B96" s="589"/>
      <c r="D96" s="590"/>
      <c r="E96" s="590"/>
      <c r="F96" s="590"/>
      <c r="G96" s="590"/>
      <c r="H96" s="590"/>
      <c r="I96" s="590"/>
      <c r="J96" s="578"/>
    </row>
    <row r="97" spans="1:10" ht="13.35" customHeight="1">
      <c r="A97" s="564"/>
      <c r="B97" s="589"/>
      <c r="D97" s="590"/>
      <c r="E97" s="590"/>
      <c r="F97" s="590"/>
      <c r="G97" s="590"/>
      <c r="H97" s="590"/>
      <c r="I97" s="590"/>
      <c r="J97" s="578"/>
    </row>
    <row r="98" spans="1:10" ht="13.35" customHeight="1">
      <c r="A98" s="564"/>
      <c r="B98" s="589"/>
      <c r="D98" s="590"/>
      <c r="E98" s="590"/>
      <c r="F98" s="590"/>
      <c r="G98" s="590"/>
      <c r="H98" s="590"/>
      <c r="I98" s="590"/>
      <c r="J98" s="578"/>
    </row>
    <row r="99" spans="1:10" ht="13.35" customHeight="1">
      <c r="A99" s="564"/>
      <c r="B99" s="589"/>
      <c r="D99" s="590"/>
      <c r="E99" s="590"/>
      <c r="F99" s="590"/>
      <c r="G99" s="590"/>
      <c r="H99" s="590"/>
      <c r="I99" s="590"/>
      <c r="J99" s="578"/>
    </row>
    <row r="100" spans="1:10" ht="13.35" customHeight="1">
      <c r="A100" s="564"/>
      <c r="B100" s="589"/>
      <c r="D100" s="590"/>
      <c r="E100" s="590"/>
      <c r="F100" s="590"/>
      <c r="G100" s="590"/>
      <c r="H100" s="590"/>
      <c r="I100" s="590"/>
      <c r="J100" s="578"/>
    </row>
    <row r="101" spans="1:10">
      <c r="A101" s="585"/>
      <c r="B101" s="591"/>
      <c r="C101" s="585"/>
      <c r="D101" s="585"/>
      <c r="E101" s="585"/>
      <c r="F101" s="585"/>
      <c r="G101" s="585"/>
      <c r="H101" s="585"/>
      <c r="I101" s="585"/>
      <c r="J101" s="593"/>
    </row>
    <row r="102" spans="1:10">
      <c r="B102" s="589"/>
      <c r="J102" s="592"/>
    </row>
    <row r="103" spans="1:10">
      <c r="B103" s="589"/>
      <c r="J103" s="592"/>
    </row>
    <row r="104" spans="1:10">
      <c r="B104" s="589"/>
    </row>
    <row r="105" spans="1:10">
      <c r="B105" s="589"/>
    </row>
    <row r="106" spans="1:10">
      <c r="B106" s="589"/>
    </row>
    <row r="107" spans="1:10">
      <c r="B107" s="589"/>
    </row>
    <row r="108" spans="1:10">
      <c r="B108" s="589"/>
    </row>
    <row r="109" spans="1:10">
      <c r="B109" s="589"/>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49"/>
  <sheetViews>
    <sheetView showGridLines="0" zoomScale="90" zoomScaleNormal="70" workbookViewId="0"/>
  </sheetViews>
  <sheetFormatPr defaultColWidth="8.6640625" defaultRowHeight="15"/>
  <cols>
    <col min="1" max="1" width="50.109375" style="908" customWidth="1"/>
    <col min="2" max="2" width="3.6640625" style="603" customWidth="1"/>
    <col min="3" max="3" width="16.6640625" style="603" customWidth="1"/>
    <col min="4" max="4" width="1.5546875" style="603" customWidth="1"/>
    <col min="5" max="5" width="16.44140625" style="416" customWidth="1"/>
    <col min="6" max="6" width="3.109375" style="912" customWidth="1"/>
    <col min="7" max="7" width="14.109375" style="912" customWidth="1"/>
    <col min="8" max="8" width="2.109375" style="912" customWidth="1"/>
    <col min="9" max="9" width="14.109375" style="912" customWidth="1"/>
    <col min="10" max="10" width="1.109375" style="912" customWidth="1"/>
    <col min="11" max="11" width="14.109375" style="912" customWidth="1"/>
    <col min="12" max="12" width="1.109375" style="912" customWidth="1"/>
    <col min="13" max="13" width="16.109375" style="912" customWidth="1"/>
    <col min="14" max="14" width="1.5546875" style="603" customWidth="1"/>
    <col min="15" max="15" width="12.5546875" style="603" customWidth="1"/>
    <col min="16" max="16" width="11.44140625" style="603" customWidth="1"/>
    <col min="17" max="17" width="1.6640625" style="603" customWidth="1"/>
    <col min="18" max="18" width="11.6640625" style="603" customWidth="1"/>
    <col min="19" max="19" width="2.109375" style="603" customWidth="1"/>
    <col min="20" max="20" width="11.44140625" style="603" customWidth="1"/>
    <col min="21" max="21" width="0.5546875" style="603" customWidth="1"/>
    <col min="22" max="22" width="2.109375" style="603" customWidth="1"/>
    <col min="23" max="23" width="10.5546875" style="603" customWidth="1"/>
    <col min="24" max="24" width="11.109375" style="603" customWidth="1"/>
    <col min="25" max="25" width="2.109375" style="603" customWidth="1"/>
    <col min="26" max="26" width="11.109375" style="603" customWidth="1"/>
    <col min="27" max="27" width="2.109375" style="603" customWidth="1"/>
    <col min="28" max="28" width="12.44140625" style="603" customWidth="1"/>
    <col min="29" max="33" width="8.6640625" style="603"/>
    <col min="34" max="34" width="8.6640625" style="912"/>
    <col min="35" max="16384" width="8.6640625" style="908"/>
  </cols>
  <sheetData>
    <row r="1" spans="1:28">
      <c r="A1" s="625" t="s">
        <v>870</v>
      </c>
      <c r="B1" s="180"/>
      <c r="C1" s="180"/>
      <c r="D1" s="180"/>
      <c r="E1" s="410"/>
      <c r="F1" s="181"/>
      <c r="G1" s="181"/>
      <c r="H1" s="181"/>
      <c r="I1" s="181"/>
      <c r="J1" s="181"/>
      <c r="K1" s="181"/>
      <c r="L1" s="181"/>
      <c r="M1" s="181"/>
      <c r="N1" s="181"/>
      <c r="O1" s="180"/>
      <c r="P1" s="180"/>
      <c r="Q1" s="180"/>
      <c r="R1" s="180"/>
      <c r="S1" s="180"/>
      <c r="T1" s="180"/>
      <c r="U1" s="180"/>
      <c r="V1" s="180"/>
      <c r="W1" s="180"/>
      <c r="X1" s="180"/>
      <c r="Y1" s="180"/>
      <c r="Z1" s="180"/>
      <c r="AA1" s="180"/>
      <c r="AB1" s="180"/>
    </row>
    <row r="2" spans="1:28" ht="17.25" customHeight="1">
      <c r="A2" s="182"/>
      <c r="B2" s="180"/>
      <c r="C2" s="180"/>
      <c r="D2" s="180"/>
      <c r="E2" s="410"/>
      <c r="F2" s="181"/>
      <c r="G2" s="184"/>
      <c r="H2" s="184"/>
      <c r="I2" s="184"/>
      <c r="J2" s="184"/>
      <c r="K2" s="184"/>
      <c r="L2" s="181"/>
      <c r="M2" s="181"/>
      <c r="N2" s="181"/>
      <c r="O2" s="180"/>
      <c r="P2" s="180"/>
      <c r="Q2" s="180"/>
      <c r="R2" s="180"/>
      <c r="S2" s="180"/>
      <c r="T2" s="180"/>
      <c r="U2" s="180"/>
      <c r="V2" s="180"/>
      <c r="W2" s="180"/>
      <c r="X2" s="180"/>
      <c r="Y2" s="180"/>
      <c r="Z2" s="180"/>
      <c r="AA2" s="180"/>
      <c r="AB2" s="180"/>
    </row>
    <row r="3" spans="1:28" ht="18" customHeight="1">
      <c r="A3" s="185" t="s">
        <v>0</v>
      </c>
      <c r="B3" s="150"/>
      <c r="C3" s="150"/>
      <c r="D3" s="150"/>
      <c r="E3" s="413"/>
      <c r="F3" s="137"/>
      <c r="G3" s="137"/>
      <c r="H3" s="137"/>
      <c r="I3" s="137"/>
      <c r="J3" s="137"/>
      <c r="K3" s="137"/>
      <c r="L3" s="137"/>
      <c r="M3" s="799"/>
      <c r="N3" s="137"/>
      <c r="O3" s="799" t="s">
        <v>81</v>
      </c>
      <c r="P3" s="150"/>
      <c r="Q3" s="150"/>
      <c r="R3" s="150"/>
      <c r="S3" s="150"/>
      <c r="T3" s="150"/>
      <c r="U3" s="150"/>
      <c r="V3" s="150"/>
      <c r="W3" s="150"/>
      <c r="X3" s="150"/>
      <c r="Y3" s="150"/>
      <c r="Z3" s="150"/>
      <c r="AA3" s="150"/>
      <c r="AB3" s="186"/>
    </row>
    <row r="4" spans="1:28" ht="18" customHeight="1">
      <c r="A4" s="185" t="s">
        <v>80</v>
      </c>
      <c r="B4" s="150"/>
      <c r="C4" s="150"/>
      <c r="D4" s="150"/>
      <c r="E4" s="413"/>
      <c r="F4" s="137"/>
      <c r="G4" s="137"/>
      <c r="H4" s="137"/>
      <c r="I4" s="137"/>
      <c r="J4" s="137"/>
      <c r="K4" s="137"/>
      <c r="L4" s="137"/>
      <c r="M4" s="800"/>
      <c r="N4" s="137"/>
      <c r="O4" s="800"/>
      <c r="P4" s="150"/>
      <c r="Q4" s="150"/>
      <c r="R4" s="150"/>
      <c r="S4" s="150"/>
      <c r="T4" s="150"/>
      <c r="U4" s="150"/>
      <c r="V4" s="150"/>
      <c r="W4" s="150"/>
      <c r="X4" s="150"/>
      <c r="Y4" s="150"/>
      <c r="Z4" s="150"/>
      <c r="AA4" s="150"/>
      <c r="AB4" s="150"/>
    </row>
    <row r="5" spans="1:28" ht="18" customHeight="1">
      <c r="A5" s="3943" t="str">
        <f>'Exh D-Governmental  '!A5:E5</f>
        <v>FISCAL YEAR 2022-2023</v>
      </c>
      <c r="B5" s="3944"/>
      <c r="C5" s="3944"/>
      <c r="D5" s="3944"/>
      <c r="E5" s="3944"/>
      <c r="F5" s="137"/>
      <c r="G5" s="137"/>
      <c r="H5" s="137"/>
      <c r="I5" s="137"/>
      <c r="J5" s="137"/>
      <c r="K5" s="137"/>
      <c r="L5" s="137"/>
      <c r="M5" s="137"/>
      <c r="N5" s="137"/>
      <c r="O5" s="150"/>
      <c r="P5" s="150"/>
      <c r="Q5" s="150"/>
      <c r="R5" s="150"/>
      <c r="S5" s="150"/>
      <c r="T5" s="150"/>
      <c r="U5" s="150"/>
      <c r="V5" s="150"/>
      <c r="W5" s="150"/>
      <c r="X5" s="150"/>
      <c r="Y5" s="150"/>
      <c r="Z5" s="150"/>
      <c r="AA5" s="150"/>
      <c r="AB5" s="150"/>
    </row>
    <row r="6" spans="1:28" ht="18" customHeight="1">
      <c r="A6" s="1437" t="str">
        <f>+'Exh D-Governmental  '!A6</f>
        <v xml:space="preserve">FOR TWO MONTHS ENDED MAY 31, 2022    </v>
      </c>
      <c r="B6" s="150"/>
      <c r="C6" s="150"/>
      <c r="D6" s="150"/>
      <c r="E6" s="413"/>
      <c r="F6" s="137"/>
      <c r="G6" s="137"/>
      <c r="H6" s="137"/>
      <c r="I6" s="137"/>
      <c r="J6" s="137"/>
      <c r="K6" s="137"/>
      <c r="L6" s="137"/>
      <c r="M6" s="137"/>
      <c r="N6" s="137"/>
      <c r="O6" s="150"/>
      <c r="P6" s="150"/>
      <c r="Q6" s="150"/>
      <c r="R6" s="150"/>
      <c r="S6" s="150"/>
      <c r="T6" s="150"/>
      <c r="U6" s="150"/>
      <c r="V6" s="150"/>
      <c r="W6" s="150"/>
      <c r="X6" s="150"/>
      <c r="Y6" s="150"/>
      <c r="Z6" s="150"/>
      <c r="AA6" s="150"/>
      <c r="AB6" s="150"/>
    </row>
    <row r="7" spans="1:28" ht="18" customHeight="1">
      <c r="A7" s="185" t="s">
        <v>1251</v>
      </c>
      <c r="B7" s="150"/>
      <c r="C7" s="150"/>
      <c r="D7" s="150"/>
      <c r="E7" s="413"/>
      <c r="F7" s="137"/>
      <c r="G7" s="137"/>
      <c r="H7" s="137"/>
      <c r="I7" s="137"/>
      <c r="J7" s="137"/>
      <c r="K7" s="137"/>
      <c r="L7" s="137"/>
      <c r="M7" s="137"/>
      <c r="N7" s="137"/>
      <c r="O7" s="150"/>
      <c r="P7" s="150"/>
      <c r="Q7" s="150"/>
      <c r="R7" s="150"/>
      <c r="S7" s="150"/>
      <c r="T7" s="150"/>
      <c r="U7" s="150"/>
      <c r="V7" s="150"/>
      <c r="W7" s="150"/>
      <c r="X7" s="150"/>
      <c r="Y7" s="150"/>
      <c r="Z7" s="150"/>
      <c r="AA7" s="150"/>
      <c r="AB7" s="150"/>
    </row>
    <row r="8" spans="1:28" ht="15" customHeight="1">
      <c r="A8" s="187"/>
      <c r="B8" s="150"/>
      <c r="C8" s="150"/>
      <c r="D8" s="150"/>
      <c r="E8" s="413"/>
      <c r="F8" s="137"/>
      <c r="G8" s="137"/>
      <c r="H8" s="137"/>
      <c r="I8" s="137"/>
      <c r="J8" s="137"/>
      <c r="K8" s="137"/>
      <c r="L8" s="137"/>
      <c r="M8" s="137"/>
      <c r="N8" s="137"/>
      <c r="O8" s="150"/>
      <c r="P8" s="150"/>
      <c r="Q8" s="150"/>
      <c r="R8" s="150"/>
      <c r="S8" s="150"/>
      <c r="T8" s="150"/>
      <c r="U8" s="150"/>
      <c r="V8" s="150"/>
      <c r="W8" s="150"/>
      <c r="X8" s="150"/>
      <c r="Y8" s="150"/>
      <c r="Z8" s="150"/>
      <c r="AA8" s="150"/>
      <c r="AB8" s="150"/>
    </row>
    <row r="9" spans="1:28">
      <c r="A9" s="144"/>
      <c r="B9" s="150"/>
      <c r="C9" s="150"/>
      <c r="D9" s="150"/>
      <c r="E9" s="413"/>
      <c r="F9" s="137"/>
      <c r="G9" s="137"/>
      <c r="H9" s="137"/>
      <c r="I9" s="137"/>
      <c r="J9" s="137"/>
      <c r="K9" s="137"/>
      <c r="L9" s="137"/>
      <c r="M9" s="137"/>
      <c r="N9" s="137"/>
      <c r="O9" s="150"/>
      <c r="P9" s="150"/>
      <c r="Q9" s="150"/>
      <c r="R9" s="150"/>
      <c r="S9" s="150"/>
      <c r="T9" s="150"/>
      <c r="U9" s="150"/>
      <c r="V9" s="150"/>
      <c r="W9" s="150"/>
      <c r="X9" s="150"/>
      <c r="Y9" s="150"/>
      <c r="Z9" s="150"/>
      <c r="AA9" s="150"/>
      <c r="AB9" s="150"/>
    </row>
    <row r="10" spans="1:28">
      <c r="A10" s="144"/>
      <c r="B10" s="150"/>
      <c r="C10" s="150"/>
      <c r="D10" s="150"/>
      <c r="E10" s="412"/>
      <c r="F10" s="142"/>
      <c r="G10" s="142"/>
      <c r="H10" s="142"/>
      <c r="I10" s="142"/>
      <c r="J10" s="142"/>
      <c r="K10" s="142"/>
      <c r="L10" s="142"/>
      <c r="M10" s="142"/>
      <c r="N10" s="137"/>
      <c r="O10" s="150"/>
      <c r="P10" s="150"/>
      <c r="Q10" s="150"/>
      <c r="R10" s="150"/>
      <c r="S10" s="150"/>
      <c r="T10" s="150"/>
      <c r="U10" s="150"/>
      <c r="V10" s="150"/>
      <c r="W10" s="150"/>
      <c r="X10" s="150"/>
      <c r="Y10" s="150"/>
      <c r="Z10" s="150"/>
      <c r="AA10" s="150"/>
      <c r="AB10" s="150"/>
    </row>
    <row r="11" spans="1:28" ht="15.75">
      <c r="A11" s="669"/>
      <c r="C11" s="1153"/>
      <c r="D11" s="1153"/>
      <c r="E11" s="1175"/>
      <c r="F11" s="1155"/>
      <c r="G11" s="1387" t="s">
        <v>1028</v>
      </c>
      <c r="H11" s="1590"/>
      <c r="I11" s="1387"/>
      <c r="J11" s="1590"/>
      <c r="K11" s="1590"/>
      <c r="L11" s="1155"/>
      <c r="M11" s="1155"/>
      <c r="N11" s="1158"/>
      <c r="O11" s="1152"/>
      <c r="P11" s="188"/>
      <c r="Q11" s="188"/>
      <c r="R11" s="188"/>
      <c r="S11" s="188"/>
      <c r="T11" s="188"/>
      <c r="U11" s="188"/>
      <c r="V11" s="145"/>
      <c r="W11" s="188"/>
      <c r="X11" s="189"/>
      <c r="Y11" s="188"/>
      <c r="Z11" s="188"/>
      <c r="AA11" s="188"/>
      <c r="AB11" s="188"/>
    </row>
    <row r="12" spans="1:28" ht="15.75">
      <c r="A12" s="669"/>
      <c r="E12" s="417"/>
      <c r="F12" s="190"/>
      <c r="G12" s="191"/>
      <c r="H12" s="191"/>
      <c r="I12" s="191"/>
      <c r="J12" s="191"/>
      <c r="K12" s="191"/>
      <c r="L12" s="190"/>
      <c r="M12" s="190" t="s">
        <v>82</v>
      </c>
      <c r="N12" s="145"/>
      <c r="O12" s="190" t="s">
        <v>82</v>
      </c>
      <c r="P12" s="188"/>
      <c r="Q12" s="188"/>
      <c r="R12" s="188"/>
      <c r="S12" s="188"/>
      <c r="T12" s="188"/>
      <c r="U12" s="188"/>
      <c r="V12" s="145"/>
      <c r="W12" s="188"/>
      <c r="X12" s="189"/>
      <c r="Y12" s="188"/>
      <c r="Z12" s="188"/>
      <c r="AA12" s="188"/>
      <c r="AB12" s="188"/>
    </row>
    <row r="13" spans="1:28" ht="15.75">
      <c r="A13" s="669"/>
      <c r="E13" s="417"/>
      <c r="F13" s="190"/>
      <c r="G13" s="191"/>
      <c r="H13" s="191"/>
      <c r="I13" s="191"/>
      <c r="J13" s="191"/>
      <c r="K13" s="191"/>
      <c r="L13" s="190"/>
      <c r="M13" s="193" t="s">
        <v>784</v>
      </c>
      <c r="N13" s="145"/>
      <c r="O13" s="193" t="s">
        <v>784</v>
      </c>
      <c r="P13" s="188"/>
      <c r="Q13" s="188"/>
      <c r="R13" s="188"/>
      <c r="S13" s="188"/>
      <c r="T13" s="188"/>
      <c r="U13" s="188"/>
      <c r="V13" s="145"/>
      <c r="W13" s="188"/>
      <c r="X13" s="189"/>
      <c r="Y13" s="188"/>
      <c r="Z13" s="188"/>
      <c r="AA13" s="188"/>
      <c r="AB13" s="188"/>
    </row>
    <row r="14" spans="1:28" ht="15.75">
      <c r="A14" s="669"/>
      <c r="B14" s="145"/>
      <c r="C14" s="148" t="s">
        <v>977</v>
      </c>
      <c r="D14" s="145"/>
      <c r="E14" s="147" t="s">
        <v>978</v>
      </c>
      <c r="F14" s="192"/>
      <c r="G14" s="192"/>
      <c r="H14" s="192"/>
      <c r="I14" s="192"/>
      <c r="J14" s="192"/>
      <c r="K14" s="192"/>
      <c r="L14" s="192"/>
      <c r="M14" s="147" t="s">
        <v>83</v>
      </c>
      <c r="N14" s="145"/>
      <c r="O14" s="147" t="s">
        <v>83</v>
      </c>
      <c r="P14" s="145"/>
      <c r="Q14" s="145"/>
      <c r="R14" s="145"/>
      <c r="S14" s="145"/>
      <c r="T14" s="194"/>
      <c r="U14" s="195"/>
      <c r="V14" s="145"/>
      <c r="W14" s="145"/>
      <c r="X14" s="145"/>
      <c r="Y14" s="145"/>
      <c r="Z14" s="145"/>
      <c r="AA14" s="145"/>
      <c r="AB14" s="194"/>
    </row>
    <row r="15" spans="1:28" ht="15.75">
      <c r="A15" s="669"/>
      <c r="B15" s="196"/>
      <c r="C15" s="147" t="s">
        <v>1013</v>
      </c>
      <c r="D15" s="196"/>
      <c r="E15" s="147" t="s">
        <v>1013</v>
      </c>
      <c r="F15" s="146"/>
      <c r="G15" s="146"/>
      <c r="H15" s="146"/>
      <c r="I15" s="146"/>
      <c r="J15" s="146"/>
      <c r="K15" s="146"/>
      <c r="L15" s="146"/>
      <c r="M15" s="147" t="s">
        <v>977</v>
      </c>
      <c r="N15" s="145"/>
      <c r="O15" s="147" t="s">
        <v>978</v>
      </c>
      <c r="P15" s="195"/>
      <c r="Q15" s="145"/>
      <c r="R15" s="145"/>
      <c r="S15" s="145"/>
      <c r="T15" s="194"/>
      <c r="U15" s="195"/>
      <c r="V15" s="145"/>
      <c r="W15" s="194"/>
      <c r="X15" s="195"/>
      <c r="Y15" s="145"/>
      <c r="Z15" s="145"/>
      <c r="AA15" s="145"/>
      <c r="AB15" s="194"/>
    </row>
    <row r="16" spans="1:28" ht="15.75">
      <c r="A16" s="669"/>
      <c r="B16" s="195"/>
      <c r="C16" s="1157" t="s">
        <v>1014</v>
      </c>
      <c r="D16" s="195"/>
      <c r="E16" s="193" t="s">
        <v>1485</v>
      </c>
      <c r="F16" s="146"/>
      <c r="G16" s="148" t="s">
        <v>82</v>
      </c>
      <c r="H16" s="148"/>
      <c r="I16" s="1592" t="s">
        <v>1145</v>
      </c>
      <c r="J16" s="148"/>
      <c r="K16" s="1592" t="s">
        <v>712</v>
      </c>
      <c r="L16" s="146"/>
      <c r="M16" s="147" t="s">
        <v>84</v>
      </c>
      <c r="N16" s="145"/>
      <c r="O16" s="1157" t="s">
        <v>84</v>
      </c>
      <c r="P16" s="195"/>
      <c r="Q16" s="145"/>
      <c r="R16" s="194"/>
      <c r="S16" s="145"/>
      <c r="T16" s="194"/>
      <c r="U16" s="195"/>
      <c r="V16" s="145"/>
      <c r="W16" s="195"/>
      <c r="X16" s="195"/>
      <c r="Y16" s="145"/>
      <c r="Z16" s="194"/>
      <c r="AA16" s="145"/>
      <c r="AB16" s="194"/>
    </row>
    <row r="17" spans="1:28">
      <c r="A17" s="149"/>
      <c r="B17" s="150"/>
      <c r="C17" s="150"/>
      <c r="D17" s="150"/>
      <c r="E17" s="151"/>
      <c r="F17" s="137"/>
      <c r="G17" s="151"/>
      <c r="H17" s="150"/>
      <c r="I17" s="150"/>
      <c r="J17" s="150"/>
      <c r="K17" s="150"/>
      <c r="L17" s="137"/>
      <c r="M17" s="151"/>
      <c r="N17" s="150"/>
      <c r="O17" s="150"/>
      <c r="P17" s="150"/>
      <c r="Q17" s="150"/>
      <c r="R17" s="150"/>
      <c r="S17" s="150"/>
      <c r="T17" s="150"/>
      <c r="U17" s="150"/>
      <c r="V17" s="150"/>
      <c r="W17" s="150"/>
      <c r="X17" s="150"/>
      <c r="Y17" s="150"/>
      <c r="Z17" s="150"/>
      <c r="AA17" s="150"/>
      <c r="AB17" s="150"/>
    </row>
    <row r="18" spans="1:28" ht="15.75">
      <c r="A18" s="26" t="s">
        <v>13</v>
      </c>
      <c r="B18" s="901"/>
      <c r="C18" s="901"/>
      <c r="D18" s="901"/>
      <c r="E18" s="638"/>
      <c r="F18" s="638"/>
      <c r="G18" s="638"/>
      <c r="H18" s="638"/>
      <c r="I18" s="638"/>
      <c r="J18" s="638"/>
      <c r="K18" s="638"/>
      <c r="L18" s="638"/>
      <c r="M18" s="638"/>
      <c r="N18" s="901"/>
      <c r="O18" s="901"/>
      <c r="P18" s="901"/>
      <c r="Q18" s="901"/>
      <c r="R18" s="901"/>
      <c r="S18" s="901"/>
      <c r="T18" s="901"/>
      <c r="U18" s="901"/>
      <c r="V18" s="901"/>
      <c r="W18" s="901"/>
      <c r="X18" s="901"/>
      <c r="Y18" s="901"/>
      <c r="Z18" s="901"/>
      <c r="AA18" s="901"/>
      <c r="AB18" s="901"/>
    </row>
    <row r="19" spans="1:28">
      <c r="A19" s="798" t="s">
        <v>85</v>
      </c>
      <c r="B19" s="902"/>
      <c r="C19" s="902"/>
      <c r="D19" s="902"/>
      <c r="E19" s="638"/>
      <c r="F19" s="638"/>
      <c r="G19" s="638"/>
      <c r="H19" s="638"/>
      <c r="I19" s="638"/>
      <c r="J19" s="638"/>
      <c r="K19" s="638"/>
      <c r="L19" s="902"/>
      <c r="M19" s="638"/>
      <c r="N19" s="901"/>
      <c r="O19" s="1501"/>
      <c r="P19" s="901"/>
      <c r="Q19" s="901"/>
      <c r="R19" s="901"/>
      <c r="S19" s="901"/>
      <c r="T19" s="901"/>
      <c r="U19" s="901"/>
      <c r="V19" s="901"/>
      <c r="W19" s="901"/>
      <c r="X19" s="901"/>
      <c r="Y19" s="901"/>
      <c r="Z19" s="901"/>
      <c r="AA19" s="901"/>
      <c r="AB19" s="901"/>
    </row>
    <row r="20" spans="1:28">
      <c r="A20" s="798" t="s">
        <v>86</v>
      </c>
      <c r="B20" s="902"/>
      <c r="C20" s="989">
        <f>'Exh D Special Revenue State Fed'!C20+'Exh D Special Revenue State Fed'!N20</f>
        <v>0</v>
      </c>
      <c r="D20" s="1887"/>
      <c r="E20" s="989">
        <f>'Exh D Special Revenue State Fed'!E20+'Exh D Special Revenue State Fed'!P20</f>
        <v>0</v>
      </c>
      <c r="F20" s="641"/>
      <c r="G20" s="918">
        <f>+'Exh D Special Revenue State Fed'!G20</f>
        <v>0</v>
      </c>
      <c r="H20" s="918"/>
      <c r="I20" s="918">
        <v>0</v>
      </c>
      <c r="J20" s="918"/>
      <c r="K20" s="918">
        <f t="shared" ref="K20:K25" si="0">+G20+I20</f>
        <v>0</v>
      </c>
      <c r="L20" s="641"/>
      <c r="M20" s="639">
        <f>ROUND(SUM(K20)-SUM(C20),1)</f>
        <v>0</v>
      </c>
      <c r="N20" s="901"/>
      <c r="O20" s="639">
        <f>K20-E20</f>
        <v>0</v>
      </c>
      <c r="P20" s="901"/>
      <c r="Q20" s="901"/>
      <c r="R20" s="901"/>
      <c r="S20" s="901"/>
      <c r="T20" s="901"/>
      <c r="U20" s="901"/>
      <c r="V20" s="901"/>
      <c r="W20" s="901"/>
      <c r="X20" s="901"/>
      <c r="Y20" s="901"/>
      <c r="Z20" s="901"/>
      <c r="AA20" s="901"/>
      <c r="AB20" s="901"/>
    </row>
    <row r="21" spans="1:28">
      <c r="A21" s="798" t="s">
        <v>87</v>
      </c>
      <c r="B21" s="901"/>
      <c r="C21" s="664">
        <f>'Exh D Special Revenue State Fed'!C21+'Exh D Special Revenue State Fed'!N21</f>
        <v>348</v>
      </c>
      <c r="D21" s="1888"/>
      <c r="E21" s="664">
        <f>'Exh D Special Revenue State Fed'!E21+'Exh D Special Revenue State Fed'!P21</f>
        <v>0</v>
      </c>
      <c r="F21" s="624"/>
      <c r="G21" s="624">
        <f>+'Exh D Special Revenue State Fed'!G21</f>
        <v>349.6</v>
      </c>
      <c r="H21" s="1489"/>
      <c r="I21" s="1489">
        <v>0</v>
      </c>
      <c r="J21" s="1489"/>
      <c r="K21" s="1489">
        <f t="shared" si="0"/>
        <v>349.6</v>
      </c>
      <c r="L21" s="624"/>
      <c r="M21" s="1489">
        <f>ROUND(SUM(K21)-SUM(C21),1)</f>
        <v>1.6</v>
      </c>
      <c r="N21" s="920"/>
      <c r="O21" s="1489">
        <v>0</v>
      </c>
      <c r="P21" s="901"/>
      <c r="Q21" s="901"/>
      <c r="R21" s="901"/>
      <c r="S21" s="901"/>
      <c r="T21" s="901"/>
      <c r="U21" s="901"/>
      <c r="V21" s="901"/>
      <c r="W21" s="901"/>
      <c r="X21" s="901"/>
      <c r="Y21" s="901"/>
      <c r="Z21" s="901"/>
      <c r="AA21" s="901"/>
      <c r="AB21" s="901"/>
    </row>
    <row r="22" spans="1:28">
      <c r="A22" s="798" t="s">
        <v>88</v>
      </c>
      <c r="B22" s="902"/>
      <c r="C22" s="664">
        <f>'Exh D Special Revenue State Fed'!C22+'Exh D Special Revenue State Fed'!N22</f>
        <v>362</v>
      </c>
      <c r="D22" s="1887"/>
      <c r="E22" s="664">
        <f>'Exh D Special Revenue State Fed'!E22+'Exh D Special Revenue State Fed'!P22</f>
        <v>0</v>
      </c>
      <c r="F22" s="661"/>
      <c r="G22" s="624">
        <f>+'Exh D Special Revenue State Fed'!G22</f>
        <v>378.1</v>
      </c>
      <c r="H22" s="1489"/>
      <c r="I22" s="1489">
        <v>0</v>
      </c>
      <c r="J22" s="1489"/>
      <c r="K22" s="1489">
        <f t="shared" si="0"/>
        <v>378.1</v>
      </c>
      <c r="L22" s="661"/>
      <c r="M22" s="1489">
        <f t="shared" ref="M22:M25" si="1">ROUND(SUM(K22)-SUM(C22),1)</f>
        <v>16.100000000000001</v>
      </c>
      <c r="N22" s="921"/>
      <c r="O22" s="1489">
        <v>0</v>
      </c>
      <c r="P22" s="901"/>
      <c r="Q22" s="922"/>
      <c r="R22" s="901"/>
      <c r="S22" s="922"/>
      <c r="T22" s="901"/>
      <c r="U22" s="901"/>
      <c r="V22" s="922"/>
      <c r="W22" s="901"/>
      <c r="X22" s="901"/>
      <c r="Y22" s="922"/>
      <c r="Z22" s="197"/>
      <c r="AA22" s="922"/>
      <c r="AB22" s="901"/>
    </row>
    <row r="23" spans="1:28" ht="15" customHeight="1">
      <c r="A23" s="798" t="s">
        <v>19</v>
      </c>
      <c r="B23" s="901"/>
      <c r="C23" s="664">
        <f>'Exh D Special Revenue State Fed'!C23+'Exh D Special Revenue State Fed'!N23</f>
        <v>2897</v>
      </c>
      <c r="D23" s="1888"/>
      <c r="E23" s="664">
        <f>'Exh D Special Revenue State Fed'!E23+'Exh D Special Revenue State Fed'!P23</f>
        <v>0</v>
      </c>
      <c r="F23" s="624"/>
      <c r="G23" s="624">
        <f>+'Exh D Special Revenue State Fed'!G23+'Exh D Special Revenue State Fed'!R23</f>
        <v>2845.4</v>
      </c>
      <c r="H23" s="1489"/>
      <c r="I23" s="1489">
        <v>0</v>
      </c>
      <c r="J23" s="1489"/>
      <c r="K23" s="1489">
        <f t="shared" si="0"/>
        <v>2845.4</v>
      </c>
      <c r="L23" s="624"/>
      <c r="M23" s="1489">
        <f t="shared" si="1"/>
        <v>-51.6</v>
      </c>
      <c r="N23" s="920"/>
      <c r="O23" s="1489">
        <v>0</v>
      </c>
      <c r="P23" s="901"/>
      <c r="Q23" s="901"/>
      <c r="R23" s="901"/>
      <c r="S23" s="901"/>
      <c r="T23" s="901"/>
      <c r="U23" s="901"/>
      <c r="V23" s="901"/>
      <c r="W23" s="901"/>
      <c r="X23" s="901"/>
      <c r="Y23" s="901"/>
      <c r="Z23" s="901"/>
      <c r="AA23" s="901"/>
      <c r="AB23" s="901"/>
    </row>
    <row r="24" spans="1:28" ht="15" customHeight="1">
      <c r="A24" s="798" t="s">
        <v>20</v>
      </c>
      <c r="B24" s="901"/>
      <c r="C24" s="664">
        <f>'Exh D Special Revenue State Fed'!C24+'Exh D Special Revenue State Fed'!N24</f>
        <v>12237</v>
      </c>
      <c r="D24" s="1888"/>
      <c r="E24" s="664">
        <f>'Exh D Special Revenue State Fed'!E24+'Exh D Special Revenue State Fed'!P24</f>
        <v>0</v>
      </c>
      <c r="F24" s="624"/>
      <c r="G24" s="624">
        <f>+'Exh D Special Revenue State Fed'!G24+'Exh D Special Revenue State Fed'!R24</f>
        <v>13954.2</v>
      </c>
      <c r="H24" s="1489"/>
      <c r="I24" s="1489">
        <v>0</v>
      </c>
      <c r="J24" s="1489"/>
      <c r="K24" s="1489">
        <f t="shared" si="0"/>
        <v>13954.2</v>
      </c>
      <c r="L24" s="624"/>
      <c r="M24" s="1489">
        <f t="shared" si="1"/>
        <v>1717.2</v>
      </c>
      <c r="N24" s="920"/>
      <c r="O24" s="1489">
        <v>0</v>
      </c>
      <c r="P24" s="924"/>
      <c r="Q24" s="901"/>
      <c r="R24" s="924"/>
      <c r="S24" s="901"/>
      <c r="T24" s="924"/>
      <c r="U24" s="925"/>
      <c r="V24" s="901"/>
      <c r="W24" s="901"/>
      <c r="X24" s="901"/>
      <c r="Y24" s="901"/>
      <c r="Z24" s="901"/>
      <c r="AA24" s="901"/>
      <c r="AB24" s="901"/>
    </row>
    <row r="25" spans="1:28">
      <c r="A25" s="798" t="s">
        <v>1070</v>
      </c>
      <c r="B25" s="924"/>
      <c r="C25" s="1668">
        <f>'Exh D Special Revenue State Fed'!C25+'Exh D Special Revenue State Fed'!N25</f>
        <v>773</v>
      </c>
      <c r="D25" s="1889"/>
      <c r="E25" s="1668">
        <f>'Exh D Special Revenue State Fed'!E25+'Exh D Special Revenue State Fed'!P25</f>
        <v>0</v>
      </c>
      <c r="F25" s="624"/>
      <c r="G25" s="905">
        <f>+'Exh D Special Revenue State Fed'!G25</f>
        <v>957.6</v>
      </c>
      <c r="H25" s="921"/>
      <c r="I25" s="1447">
        <f>+'Exhibit G'!AB114</f>
        <v>-132.4</v>
      </c>
      <c r="J25" s="921"/>
      <c r="K25" s="906">
        <f t="shared" si="0"/>
        <v>825.2</v>
      </c>
      <c r="L25" s="624"/>
      <c r="M25" s="1489">
        <f t="shared" si="1"/>
        <v>52.2</v>
      </c>
      <c r="N25" s="920"/>
      <c r="O25" s="906">
        <v>0</v>
      </c>
      <c r="P25" s="924"/>
      <c r="Q25" s="901"/>
      <c r="R25" s="924"/>
      <c r="S25" s="901"/>
      <c r="T25" s="924"/>
      <c r="U25" s="925"/>
      <c r="V25" s="901"/>
      <c r="W25" s="901"/>
      <c r="X25" s="901"/>
      <c r="Y25" s="901"/>
      <c r="Z25" s="901"/>
      <c r="AA25" s="901"/>
      <c r="AB25" s="901"/>
    </row>
    <row r="26" spans="1:28" ht="18" customHeight="1">
      <c r="A26" s="1098" t="s">
        <v>106</v>
      </c>
      <c r="B26" s="145"/>
      <c r="C26" s="806">
        <f>ROUND(SUM(C20:C25),1)</f>
        <v>16617</v>
      </c>
      <c r="D26" s="145"/>
      <c r="E26" s="806">
        <f>ROUND(SUM(E20:E25),1)</f>
        <v>0</v>
      </c>
      <c r="F26" s="899"/>
      <c r="G26" s="806">
        <f>ROUND(SUM(G20:G25),1)</f>
        <v>18484.900000000001</v>
      </c>
      <c r="H26" s="1490"/>
      <c r="I26" s="806">
        <f>ROUND(SUM(I20:I25),1)</f>
        <v>-132.4</v>
      </c>
      <c r="J26" s="1490"/>
      <c r="K26" s="806">
        <f>ROUND(SUM(K20:K25),1)</f>
        <v>18352.5</v>
      </c>
      <c r="L26" s="899"/>
      <c r="M26" s="3903">
        <f>ROUND(SUM(M20:M25),1)</f>
        <v>1735.5</v>
      </c>
      <c r="N26" s="71"/>
      <c r="O26" s="69">
        <f>ROUND(SUM(O20:O25),1)</f>
        <v>0</v>
      </c>
      <c r="P26" s="145"/>
      <c r="Q26" s="145"/>
      <c r="R26" s="145"/>
      <c r="S26" s="145"/>
      <c r="T26" s="145"/>
      <c r="U26" s="145"/>
      <c r="V26" s="145"/>
      <c r="W26" s="145"/>
      <c r="X26" s="145"/>
      <c r="Y26" s="145"/>
      <c r="Z26" s="145"/>
      <c r="AA26" s="145"/>
      <c r="AB26" s="145"/>
    </row>
    <row r="27" spans="1:28">
      <c r="A27" s="669"/>
      <c r="B27" s="901"/>
      <c r="C27" s="920"/>
      <c r="D27" s="901"/>
      <c r="E27" s="920"/>
      <c r="F27" s="624"/>
      <c r="G27" s="667"/>
      <c r="H27" s="920"/>
      <c r="I27" s="920"/>
      <c r="J27" s="920"/>
      <c r="K27" s="920"/>
      <c r="L27" s="624"/>
      <c r="M27" s="667"/>
      <c r="N27" s="920"/>
      <c r="O27" s="667"/>
      <c r="P27" s="901"/>
      <c r="Q27" s="901"/>
      <c r="R27" s="901"/>
      <c r="S27" s="901"/>
      <c r="T27" s="901"/>
      <c r="U27" s="901"/>
      <c r="V27" s="901"/>
      <c r="W27" s="901"/>
      <c r="X27" s="901"/>
      <c r="Y27" s="901"/>
      <c r="Z27" s="901"/>
      <c r="AA27" s="901"/>
      <c r="AB27" s="901"/>
    </row>
    <row r="28" spans="1:28" ht="15.75">
      <c r="A28" s="26" t="s">
        <v>22</v>
      </c>
      <c r="B28" s="901"/>
      <c r="C28" s="920"/>
      <c r="D28" s="901"/>
      <c r="E28" s="920"/>
      <c r="F28" s="624"/>
      <c r="G28" s="624"/>
      <c r="H28" s="1489"/>
      <c r="I28" s="1489" t="s">
        <v>14</v>
      </c>
      <c r="J28" s="1489" t="s">
        <v>14</v>
      </c>
      <c r="K28" s="1489" t="s">
        <v>14</v>
      </c>
      <c r="L28" s="624"/>
      <c r="M28" s="624"/>
      <c r="N28" s="920"/>
      <c r="O28" s="1489"/>
      <c r="P28" s="901"/>
      <c r="Q28" s="901"/>
      <c r="R28" s="901"/>
      <c r="S28" s="901"/>
      <c r="T28" s="901"/>
      <c r="U28" s="901"/>
      <c r="V28" s="901"/>
      <c r="W28" s="901"/>
      <c r="X28" s="901"/>
      <c r="Y28" s="901"/>
      <c r="Z28" s="901"/>
      <c r="AA28" s="901"/>
      <c r="AB28" s="901"/>
    </row>
    <row r="29" spans="1:28">
      <c r="A29" s="798" t="s">
        <v>91</v>
      </c>
      <c r="B29" s="922"/>
      <c r="C29" s="664">
        <f>'Exh D Special Revenue State Fed'!C29+'Exh D Special Revenue State Fed'!N29</f>
        <v>14523</v>
      </c>
      <c r="D29" s="1890"/>
      <c r="E29" s="664">
        <f>'Exh D Special Revenue State Fed'!E29+'Exh D Special Revenue State Fed'!P29</f>
        <v>0</v>
      </c>
      <c r="F29" s="624"/>
      <c r="G29" s="661">
        <f>+'Exh D Special Revenue State Fed'!G29+'Exh D Special Revenue State Fed'!R29</f>
        <v>14173.2</v>
      </c>
      <c r="H29" s="661"/>
      <c r="I29" s="661">
        <v>0</v>
      </c>
      <c r="J29" s="661"/>
      <c r="K29" s="1489">
        <f t="shared" ref="K29:K34" si="2">+G29+I29</f>
        <v>14173.2</v>
      </c>
      <c r="L29" s="624"/>
      <c r="M29" s="1489">
        <f t="shared" ref="M29:M31" si="3">ROUND(SUM(K29)-SUM(C29),1)</f>
        <v>-349.8</v>
      </c>
      <c r="N29" s="920"/>
      <c r="O29" s="1489">
        <v>0</v>
      </c>
      <c r="P29" s="924"/>
      <c r="Q29" s="901"/>
      <c r="R29" s="924"/>
      <c r="S29" s="901"/>
      <c r="T29" s="924"/>
      <c r="U29" s="925"/>
      <c r="V29" s="901"/>
      <c r="W29" s="901"/>
      <c r="X29" s="901"/>
      <c r="Y29" s="901"/>
      <c r="Z29" s="901"/>
      <c r="AA29" s="901"/>
      <c r="AB29" s="901"/>
    </row>
    <row r="30" spans="1:28">
      <c r="A30" s="798" t="s">
        <v>92</v>
      </c>
      <c r="B30" s="922"/>
      <c r="C30" s="664">
        <f>'Exh D Special Revenue State Fed'!C30+'Exh D Special Revenue State Fed'!N30</f>
        <v>1626</v>
      </c>
      <c r="D30" s="1890"/>
      <c r="E30" s="664">
        <f>'Exh D Special Revenue State Fed'!E30+'Exh D Special Revenue State Fed'!P30</f>
        <v>0</v>
      </c>
      <c r="F30" s="624"/>
      <c r="G30" s="661">
        <f>+'Exh D Special Revenue State Fed'!G30+'Exh D Special Revenue State Fed'!R30</f>
        <v>1648</v>
      </c>
      <c r="H30" s="661"/>
      <c r="I30" s="661">
        <v>0</v>
      </c>
      <c r="J30" s="661"/>
      <c r="K30" s="1489">
        <f t="shared" si="2"/>
        <v>1648</v>
      </c>
      <c r="L30" s="624"/>
      <c r="M30" s="1489">
        <f t="shared" si="3"/>
        <v>22</v>
      </c>
      <c r="N30" s="920"/>
      <c r="O30" s="1489">
        <v>0</v>
      </c>
      <c r="P30" s="922"/>
      <c r="Q30" s="901"/>
      <c r="R30" s="922"/>
      <c r="S30" s="901"/>
      <c r="T30" s="924"/>
      <c r="U30" s="901"/>
      <c r="V30" s="901"/>
      <c r="W30" s="924"/>
      <c r="X30" s="924"/>
      <c r="Y30" s="901"/>
      <c r="Z30" s="924"/>
      <c r="AA30" s="901"/>
      <c r="AB30" s="924"/>
    </row>
    <row r="31" spans="1:28">
      <c r="A31" s="798" t="s">
        <v>68</v>
      </c>
      <c r="B31" s="922"/>
      <c r="C31" s="664">
        <f>'Exh D Special Revenue State Fed'!C31+'Exh D Special Revenue State Fed'!N31</f>
        <v>217</v>
      </c>
      <c r="D31" s="1890"/>
      <c r="E31" s="664">
        <f>'Exh D Special Revenue State Fed'!E31+'Exh D Special Revenue State Fed'!P31</f>
        <v>0</v>
      </c>
      <c r="F31" s="624"/>
      <c r="G31" s="661">
        <f>+'Exh D Special Revenue State Fed'!G31+'Exh D Special Revenue State Fed'!R31</f>
        <v>186.2</v>
      </c>
      <c r="H31" s="661"/>
      <c r="I31" s="661">
        <v>0</v>
      </c>
      <c r="J31" s="661"/>
      <c r="K31" s="1489">
        <f t="shared" si="2"/>
        <v>186.2</v>
      </c>
      <c r="L31" s="624"/>
      <c r="M31" s="1489">
        <f t="shared" si="3"/>
        <v>-30.8</v>
      </c>
      <c r="N31" s="920"/>
      <c r="O31" s="1489">
        <v>0</v>
      </c>
      <c r="P31" s="924"/>
      <c r="Q31" s="901"/>
      <c r="R31" s="924"/>
      <c r="S31" s="901"/>
      <c r="T31" s="924"/>
      <c r="U31" s="925"/>
      <c r="V31" s="901"/>
      <c r="W31" s="924"/>
      <c r="X31" s="924"/>
      <c r="Y31" s="901"/>
      <c r="Z31" s="924"/>
      <c r="AA31" s="901"/>
      <c r="AB31" s="924"/>
    </row>
    <row r="32" spans="1:28">
      <c r="A32" s="798" t="s">
        <v>93</v>
      </c>
      <c r="B32" s="922"/>
      <c r="C32" s="664">
        <f>'Exh D Special Revenue State Fed'!C32+'Exh D Special Revenue State Fed'!N32</f>
        <v>0</v>
      </c>
      <c r="D32" s="1890"/>
      <c r="E32" s="664">
        <f>'Exh D Special Revenue State Fed'!E32+'Exh D Special Revenue State Fed'!P32</f>
        <v>0</v>
      </c>
      <c r="F32" s="1489"/>
      <c r="G32" s="661">
        <f>+'Exh D Special Revenue State Fed'!G32+'Exh D Special Revenue State Fed'!R32</f>
        <v>0</v>
      </c>
      <c r="H32" s="661"/>
      <c r="I32" s="661">
        <v>0</v>
      </c>
      <c r="J32" s="661"/>
      <c r="K32" s="1489">
        <f t="shared" si="2"/>
        <v>0</v>
      </c>
      <c r="L32" s="1489"/>
      <c r="M32" s="1489">
        <f t="shared" ref="M32:M34" si="4">ROUND(SUM(K32)-SUM(C32),1)</f>
        <v>0</v>
      </c>
      <c r="N32" s="920"/>
      <c r="O32" s="1489">
        <f t="shared" ref="O32:O33" si="5">K32-E32</f>
        <v>0</v>
      </c>
      <c r="P32" s="924"/>
      <c r="Q32" s="901"/>
      <c r="R32" s="924"/>
      <c r="S32" s="901"/>
      <c r="T32" s="924"/>
      <c r="U32" s="925"/>
      <c r="V32" s="901"/>
      <c r="W32" s="924"/>
      <c r="X32" s="924"/>
      <c r="Y32" s="901"/>
      <c r="Z32" s="924"/>
      <c r="AA32" s="901"/>
      <c r="AB32" s="924"/>
    </row>
    <row r="33" spans="1:28">
      <c r="A33" s="798" t="s">
        <v>41</v>
      </c>
      <c r="B33" s="922"/>
      <c r="C33" s="664">
        <f>'Exh D Special Revenue State Fed'!C33+'Exh D Special Revenue State Fed'!N33</f>
        <v>0</v>
      </c>
      <c r="D33" s="1890"/>
      <c r="E33" s="664">
        <f>'Exh D Special Revenue State Fed'!E33+'Exh D Special Revenue State Fed'!P33</f>
        <v>0</v>
      </c>
      <c r="F33" s="624"/>
      <c r="G33" s="665">
        <f>+'Exh D Special Revenue State Fed'!G33+'Exh D Special Revenue State Fed'!R33</f>
        <v>0</v>
      </c>
      <c r="H33" s="665"/>
      <c r="I33" s="665">
        <v>0</v>
      </c>
      <c r="J33" s="665"/>
      <c r="K33" s="1489">
        <f t="shared" si="2"/>
        <v>0</v>
      </c>
      <c r="L33" s="624"/>
      <c r="M33" s="1489">
        <f t="shared" si="4"/>
        <v>0</v>
      </c>
      <c r="N33" s="920"/>
      <c r="O33" s="1489">
        <f t="shared" si="5"/>
        <v>0</v>
      </c>
      <c r="P33" s="924"/>
      <c r="Q33" s="901"/>
      <c r="R33" s="924"/>
      <c r="S33" s="901"/>
      <c r="T33" s="924"/>
      <c r="U33" s="925"/>
      <c r="V33" s="901"/>
      <c r="W33" s="901"/>
      <c r="X33" s="901"/>
      <c r="Y33" s="901"/>
      <c r="Z33" s="901"/>
      <c r="AA33" s="901"/>
      <c r="AB33" s="901"/>
    </row>
    <row r="34" spans="1:28">
      <c r="A34" s="798" t="s">
        <v>1071</v>
      </c>
      <c r="B34" s="922"/>
      <c r="C34" s="664">
        <f>'Exh D Special Revenue State Fed'!C34+'Exh D Special Revenue State Fed'!N34</f>
        <v>353</v>
      </c>
      <c r="D34" s="1890"/>
      <c r="E34" s="664">
        <f>'Exh D Special Revenue State Fed'!E34+'Exh D Special Revenue State Fed'!P34</f>
        <v>0</v>
      </c>
      <c r="F34" s="624"/>
      <c r="G34" s="661">
        <f>+'Exh D Special Revenue State Fed'!G34+'Exh D Special Revenue State Fed'!R34</f>
        <v>383.7</v>
      </c>
      <c r="H34" s="661"/>
      <c r="I34" s="663">
        <f>-'Exhibit G'!AB115</f>
        <v>-132.4</v>
      </c>
      <c r="J34" s="661"/>
      <c r="K34" s="1489">
        <f t="shared" si="2"/>
        <v>251.29999999999998</v>
      </c>
      <c r="L34" s="624"/>
      <c r="M34" s="1489">
        <f t="shared" si="4"/>
        <v>-101.7</v>
      </c>
      <c r="N34" s="920"/>
      <c r="O34" s="1489">
        <v>0</v>
      </c>
      <c r="P34" s="924"/>
      <c r="Q34" s="901"/>
      <c r="R34" s="924"/>
      <c r="S34" s="901"/>
      <c r="T34" s="924"/>
      <c r="U34" s="925"/>
      <c r="V34" s="901"/>
      <c r="W34" s="901"/>
      <c r="X34" s="901"/>
      <c r="Y34" s="901"/>
      <c r="Z34" s="901"/>
      <c r="AA34" s="901"/>
      <c r="AB34" s="901"/>
    </row>
    <row r="35" spans="1:28" ht="18" customHeight="1">
      <c r="A35" s="1499" t="s">
        <v>115</v>
      </c>
      <c r="B35" s="145"/>
      <c r="C35" s="1824">
        <f>ROUND(SUM(C29:C34),1)</f>
        <v>16719</v>
      </c>
      <c r="D35" s="145"/>
      <c r="E35" s="1824">
        <f>ROUND(SUM(E29:E34),1)</f>
        <v>0</v>
      </c>
      <c r="F35" s="899"/>
      <c r="G35" s="209">
        <f>ROUND(SUM(G29:G34),1)</f>
        <v>16391.099999999999</v>
      </c>
      <c r="H35" s="1490"/>
      <c r="I35" s="1500">
        <f>ROUND(SUM(I29:I34),1)</f>
        <v>-132.4</v>
      </c>
      <c r="J35" s="1490"/>
      <c r="K35" s="1500">
        <f>ROUND(SUM(K29:K34),1)</f>
        <v>16258.7</v>
      </c>
      <c r="L35" s="899"/>
      <c r="M35" s="209">
        <f>ROUND(SUM(M29:M34),1)</f>
        <v>-460.3</v>
      </c>
      <c r="N35" s="71"/>
      <c r="O35" s="209">
        <f>ROUND(SUM(O29:O34),1)</f>
        <v>0</v>
      </c>
      <c r="P35" s="145"/>
      <c r="Q35" s="145"/>
      <c r="R35" s="145"/>
      <c r="S35" s="145"/>
      <c r="T35" s="145"/>
      <c r="U35" s="145"/>
      <c r="V35" s="145"/>
      <c r="W35" s="145"/>
      <c r="X35" s="145"/>
      <c r="Y35" s="145"/>
      <c r="Z35" s="145"/>
      <c r="AA35" s="145"/>
      <c r="AB35" s="145"/>
    </row>
    <row r="36" spans="1:28">
      <c r="A36" s="669"/>
      <c r="B36" s="901"/>
      <c r="C36" s="920"/>
      <c r="D36" s="901"/>
      <c r="E36" s="920"/>
      <c r="F36" s="624"/>
      <c r="G36" s="667"/>
      <c r="H36" s="920"/>
      <c r="I36" s="920"/>
      <c r="J36" s="920"/>
      <c r="K36" s="920"/>
      <c r="L36" s="624"/>
      <c r="M36" s="667"/>
      <c r="N36" s="920"/>
      <c r="O36" s="667"/>
      <c r="P36" s="901"/>
      <c r="Q36" s="901"/>
      <c r="R36" s="901"/>
      <c r="S36" s="901"/>
      <c r="T36" s="901"/>
      <c r="U36" s="901"/>
      <c r="V36" s="901"/>
      <c r="W36" s="901"/>
      <c r="X36" s="901"/>
      <c r="Y36" s="901"/>
      <c r="Z36" s="901"/>
      <c r="AA36" s="901"/>
      <c r="AB36" s="901"/>
    </row>
    <row r="37" spans="1:28" ht="15.75">
      <c r="A37" s="26" t="s">
        <v>116</v>
      </c>
      <c r="B37" s="901"/>
      <c r="C37" s="920"/>
      <c r="D37" s="901"/>
      <c r="E37" s="920"/>
      <c r="F37" s="624"/>
      <c r="G37" s="624"/>
      <c r="H37" s="1489"/>
      <c r="I37" s="1489"/>
      <c r="J37" s="1489"/>
      <c r="K37" s="1489"/>
      <c r="L37" s="624"/>
      <c r="M37" s="624"/>
      <c r="N37" s="920"/>
      <c r="O37" s="1489"/>
      <c r="P37" s="901"/>
      <c r="Q37" s="901"/>
      <c r="R37" s="901"/>
      <c r="S37" s="901"/>
      <c r="T37" s="901"/>
      <c r="U37" s="901"/>
      <c r="V37" s="901"/>
      <c r="W37" s="901"/>
      <c r="X37" s="901"/>
      <c r="Y37" s="901"/>
      <c r="Z37" s="901"/>
      <c r="AA37" s="901"/>
      <c r="AB37" s="901"/>
    </row>
    <row r="38" spans="1:28" ht="15.75">
      <c r="A38" s="26" t="s">
        <v>117</v>
      </c>
      <c r="B38" s="901"/>
      <c r="C38" s="920"/>
      <c r="D38" s="901"/>
      <c r="E38" s="920"/>
      <c r="F38" s="624"/>
      <c r="G38" s="624"/>
      <c r="H38" s="1489"/>
      <c r="I38" s="1489"/>
      <c r="J38" s="1489"/>
      <c r="K38" s="1489"/>
      <c r="L38" s="624"/>
      <c r="M38" s="624"/>
      <c r="N38" s="920"/>
      <c r="O38" s="1489"/>
      <c r="P38" s="901"/>
      <c r="Q38" s="901"/>
      <c r="R38" s="901"/>
      <c r="S38" s="901"/>
      <c r="T38" s="901"/>
      <c r="U38" s="901"/>
      <c r="V38" s="901"/>
      <c r="W38" s="901"/>
      <c r="X38" s="901"/>
      <c r="Y38" s="901"/>
      <c r="Z38" s="901"/>
      <c r="AA38" s="901"/>
      <c r="AB38" s="901"/>
    </row>
    <row r="39" spans="1:28" ht="15.75">
      <c r="A39" s="1098" t="s">
        <v>100</v>
      </c>
      <c r="B39" s="169"/>
      <c r="C39" s="1490">
        <f>ROUND(SUM(C26)-SUM(C35),1)</f>
        <v>-102</v>
      </c>
      <c r="D39" s="169"/>
      <c r="E39" s="1490">
        <f>ROUND(SUM(E26)-SUM(E35),1)</f>
        <v>0</v>
      </c>
      <c r="F39" s="79"/>
      <c r="G39" s="71">
        <f>ROUND(SUM(G26)-SUM(G35),1)</f>
        <v>2093.8000000000002</v>
      </c>
      <c r="H39" s="1490"/>
      <c r="I39" s="1490">
        <v>0</v>
      </c>
      <c r="J39" s="1490"/>
      <c r="K39" s="1490">
        <f>+G39+I39</f>
        <v>2093.8000000000002</v>
      </c>
      <c r="L39" s="79"/>
      <c r="M39" s="71">
        <f>ROUND(SUM(M26)-SUM(M35),1)</f>
        <v>2195.8000000000002</v>
      </c>
      <c r="N39" s="385"/>
      <c r="O39" s="1490">
        <f>ROUND(SUM(O26)-SUM(O35),1)</f>
        <v>0</v>
      </c>
      <c r="P39" s="145"/>
      <c r="Q39" s="168"/>
      <c r="R39" s="145"/>
      <c r="S39" s="168"/>
      <c r="T39" s="145"/>
      <c r="U39" s="145"/>
      <c r="V39" s="168"/>
      <c r="W39" s="145"/>
      <c r="X39" s="145"/>
      <c r="Y39" s="168"/>
      <c r="Z39" s="145"/>
      <c r="AA39" s="168"/>
      <c r="AB39" s="145"/>
    </row>
    <row r="40" spans="1:28" ht="15" customHeight="1">
      <c r="C40" s="650"/>
      <c r="E40" s="650"/>
      <c r="F40" s="909"/>
      <c r="G40" s="650"/>
      <c r="H40" s="650"/>
      <c r="I40" s="650"/>
      <c r="J40" s="650"/>
      <c r="K40" s="650"/>
      <c r="L40" s="909"/>
      <c r="M40" s="650"/>
      <c r="N40" s="650"/>
      <c r="O40" s="650"/>
    </row>
    <row r="41" spans="1:28" ht="15.75">
      <c r="A41" s="1098" t="str">
        <f>+'Exh D-Governmental  '!A49</f>
        <v>Fund Balances (Deficits) at April 1</v>
      </c>
      <c r="C41" s="1891">
        <f>'Exh D Special Revenue State Fed'!C41+'Exh D Special Revenue State Fed'!N41</f>
        <v>21938</v>
      </c>
      <c r="D41" s="1892"/>
      <c r="E41" s="1891">
        <f>'Exh D Special Revenue State Fed'!E41+'Exh D Special Revenue State Fed'!P41</f>
        <v>0</v>
      </c>
      <c r="F41" s="909"/>
      <c r="G41" s="1490">
        <f>'Exh D Special Revenue State Fed'!G41+'Exh D Special Revenue State Fed'!R41</f>
        <v>21938.2</v>
      </c>
      <c r="H41" s="1490"/>
      <c r="I41" s="1490">
        <v>0</v>
      </c>
      <c r="J41" s="1490"/>
      <c r="K41" s="1490">
        <f>+G41+I41</f>
        <v>21938.2</v>
      </c>
      <c r="L41" s="909"/>
      <c r="M41" s="899">
        <f t="shared" ref="M41" si="6">ROUND(SUM(K41)-SUM(C41),1)</f>
        <v>0.2</v>
      </c>
      <c r="N41" s="650"/>
      <c r="O41" s="899">
        <v>0</v>
      </c>
    </row>
    <row r="42" spans="1:28" ht="18" customHeight="1" thickBot="1">
      <c r="A42" s="1322" t="str">
        <f>+'Exh D-Governmental  '!A50</f>
        <v>Fund Balances (Deficits) at May 31, 2022</v>
      </c>
      <c r="B42" s="169"/>
      <c r="C42" s="92">
        <f>ROUND(SUM(C39:C41),1)</f>
        <v>21836</v>
      </c>
      <c r="D42" s="169"/>
      <c r="E42" s="92">
        <f>ROUND(SUM(E39:E41),1)</f>
        <v>0</v>
      </c>
      <c r="F42" s="175"/>
      <c r="G42" s="92">
        <f>ROUND(SUM(G39:G41),1)</f>
        <v>24032</v>
      </c>
      <c r="H42" s="213"/>
      <c r="I42" s="92">
        <f>ROUND(SUM(I39:I41),1)</f>
        <v>0</v>
      </c>
      <c r="J42" s="213"/>
      <c r="K42" s="92">
        <f>ROUND(SUM(K39:K41),1)</f>
        <v>24032</v>
      </c>
      <c r="L42" s="175"/>
      <c r="M42" s="92">
        <f>ROUND(SUM(M39:M41),1)</f>
        <v>2196</v>
      </c>
      <c r="O42" s="92">
        <f>ROUND(SUM(O39:O41),1)</f>
        <v>0</v>
      </c>
    </row>
    <row r="43" spans="1:28" ht="15" customHeight="1" thickTop="1">
      <c r="A43" s="149"/>
      <c r="E43" s="668"/>
      <c r="F43" s="926"/>
      <c r="G43" s="926"/>
      <c r="H43" s="926"/>
      <c r="I43" s="926"/>
      <c r="J43" s="926"/>
      <c r="K43" s="926"/>
      <c r="L43" s="926"/>
      <c r="M43" s="926"/>
      <c r="O43" s="1502"/>
    </row>
    <row r="44" spans="1:28">
      <c r="A44" s="913" t="str">
        <f>'Exh D-Governmental  '!A52</f>
        <v>(*)    Source: 2022-23 Enacted Financial Plan dated May 20, 2022.</v>
      </c>
    </row>
    <row r="45" spans="1:28">
      <c r="A45" s="1460" t="s">
        <v>1490</v>
      </c>
    </row>
    <row r="46" spans="1:28">
      <c r="A46" s="927"/>
    </row>
    <row r="48" spans="1:28">
      <c r="A48" s="198"/>
    </row>
    <row r="49" spans="1:1">
      <c r="A49" s="198"/>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80" zoomScaleNormal="80" workbookViewId="0"/>
  </sheetViews>
  <sheetFormatPr defaultColWidth="8.6640625" defaultRowHeight="15"/>
  <cols>
    <col min="1" max="1" width="53.109375" style="908" customWidth="1"/>
    <col min="2" max="2" width="0.6640625" style="603" customWidth="1"/>
    <col min="3" max="3" width="15.6640625" style="416" customWidth="1"/>
    <col min="4" max="4" width="0.6640625" style="912" customWidth="1"/>
    <col min="5" max="5" width="15.6640625" style="416" customWidth="1"/>
    <col min="6" max="6" width="0.6640625" style="912" customWidth="1"/>
    <col min="7" max="7" width="15.6640625" style="912" customWidth="1"/>
    <col min="8" max="8" width="0.6640625" style="912" customWidth="1"/>
    <col min="9" max="9" width="15.6640625" style="912" customWidth="1"/>
    <col min="10" max="10" width="0.6640625" style="912" customWidth="1"/>
    <col min="11" max="11" width="15.6640625" style="912" customWidth="1"/>
    <col min="12" max="12" width="1.6640625" style="603" customWidth="1"/>
    <col min="13" max="13" width="0.6640625" style="603" customWidth="1"/>
    <col min="14" max="14" width="15.6640625" style="603" customWidth="1"/>
    <col min="15" max="15" width="1.109375" style="603" customWidth="1"/>
    <col min="16" max="16" width="15.6640625" style="603" customWidth="1"/>
    <col min="17" max="17" width="1.109375" style="603" customWidth="1"/>
    <col min="18" max="18" width="15.6640625" style="603" customWidth="1"/>
    <col min="19" max="19" width="0.5546875" style="603" customWidth="1"/>
    <col min="20" max="20" width="15.6640625" style="603" customWidth="1"/>
    <col min="21" max="21" width="1.109375" style="603" customWidth="1"/>
    <col min="22" max="22" width="15.6640625" style="416" customWidth="1"/>
    <col min="23" max="23" width="1" style="603" customWidth="1"/>
    <col min="24" max="24" width="3.6640625" style="416" customWidth="1"/>
    <col min="25" max="25" width="1" style="603" customWidth="1"/>
    <col min="26" max="26" width="15.6640625" style="603" customWidth="1"/>
    <col min="27" max="27" width="0.6640625" style="603" customWidth="1"/>
    <col min="28" max="28" width="15.6640625" style="603" customWidth="1"/>
    <col min="29" max="29" width="0.109375" style="603" customWidth="1"/>
    <col min="30" max="30" width="11.6640625" style="603" customWidth="1"/>
    <col min="31" max="31" width="11.44140625" style="603" customWidth="1"/>
    <col min="32" max="32" width="1.6640625" style="603" customWidth="1"/>
    <col min="33" max="33" width="11.6640625" style="603" customWidth="1"/>
    <col min="34" max="34" width="2.109375" style="603" customWidth="1"/>
    <col min="35" max="35" width="11.44140625" style="603" customWidth="1"/>
    <col min="36" max="36" width="0.5546875" style="603" customWidth="1"/>
    <col min="37" max="37" width="2.109375" style="603" customWidth="1"/>
    <col min="38" max="38" width="10.5546875" style="603" customWidth="1"/>
    <col min="39" max="39" width="11.109375" style="603" customWidth="1"/>
    <col min="40" max="40" width="2.109375" style="603" customWidth="1"/>
    <col min="41" max="41" width="11.109375" style="603" customWidth="1"/>
    <col min="42" max="42" width="2.109375" style="603" customWidth="1"/>
    <col min="43" max="43" width="12.44140625" style="603" customWidth="1"/>
    <col min="44" max="48" width="8.6640625" style="603"/>
    <col min="49" max="49" width="8.6640625" style="912"/>
    <col min="50" max="16384" width="8.6640625" style="908"/>
  </cols>
  <sheetData>
    <row r="1" spans="1:49">
      <c r="A1" s="914" t="s">
        <v>870</v>
      </c>
      <c r="B1" s="180"/>
      <c r="C1" s="410"/>
      <c r="D1" s="181"/>
      <c r="E1" s="410"/>
      <c r="F1" s="181"/>
      <c r="G1" s="181"/>
      <c r="H1" s="181"/>
      <c r="I1" s="181"/>
      <c r="J1" s="181"/>
      <c r="K1" s="181"/>
      <c r="L1" s="180"/>
      <c r="M1" s="180"/>
      <c r="N1" s="180"/>
      <c r="O1" s="180"/>
      <c r="P1" s="180"/>
      <c r="Q1" s="180"/>
      <c r="R1" s="180"/>
      <c r="S1" s="180"/>
      <c r="T1" s="180"/>
      <c r="U1" s="180"/>
      <c r="V1" s="1159"/>
      <c r="W1" s="180"/>
      <c r="X1" s="1159"/>
      <c r="Y1" s="180"/>
      <c r="Z1" s="180"/>
      <c r="AA1" s="180"/>
      <c r="AB1" s="180"/>
      <c r="AC1" s="181"/>
      <c r="AD1" s="180"/>
      <c r="AE1" s="180"/>
      <c r="AF1" s="180"/>
      <c r="AG1" s="180"/>
      <c r="AH1" s="180"/>
      <c r="AI1" s="180"/>
      <c r="AJ1" s="180"/>
      <c r="AK1" s="180"/>
      <c r="AL1" s="180"/>
      <c r="AM1" s="180"/>
      <c r="AN1" s="180"/>
      <c r="AO1" s="180"/>
      <c r="AP1" s="180"/>
      <c r="AQ1" s="180"/>
      <c r="AR1" s="908"/>
      <c r="AS1" s="908"/>
      <c r="AT1" s="908"/>
      <c r="AU1" s="908"/>
      <c r="AV1" s="908"/>
      <c r="AW1" s="908"/>
    </row>
    <row r="2" spans="1:49" ht="17.25" customHeight="1">
      <c r="A2" s="182"/>
      <c r="B2" s="183"/>
      <c r="C2" s="411"/>
      <c r="D2" s="181"/>
      <c r="E2" s="411"/>
      <c r="F2" s="181"/>
      <c r="G2" s="181"/>
      <c r="H2" s="181"/>
      <c r="I2" s="181"/>
      <c r="J2" s="181"/>
      <c r="K2" s="181"/>
      <c r="L2" s="180"/>
      <c r="M2" s="180"/>
      <c r="N2" s="180"/>
      <c r="O2" s="180"/>
      <c r="P2" s="180"/>
      <c r="Q2" s="180"/>
      <c r="R2" s="180"/>
      <c r="S2" s="180"/>
      <c r="T2" s="180"/>
      <c r="U2" s="180"/>
      <c r="V2" s="1159"/>
      <c r="W2" s="180"/>
      <c r="X2" s="1159"/>
      <c r="Y2" s="180"/>
      <c r="Z2" s="1160"/>
      <c r="AA2" s="180"/>
      <c r="AB2" s="180"/>
      <c r="AC2" s="181"/>
      <c r="AD2" s="180"/>
      <c r="AE2" s="180"/>
      <c r="AF2" s="180"/>
      <c r="AG2" s="180"/>
      <c r="AH2" s="180"/>
      <c r="AI2" s="180"/>
      <c r="AJ2" s="180"/>
      <c r="AK2" s="180"/>
      <c r="AL2" s="180"/>
      <c r="AM2" s="180"/>
      <c r="AN2" s="180"/>
      <c r="AO2" s="180"/>
      <c r="AP2" s="180"/>
      <c r="AQ2" s="180"/>
      <c r="AR2" s="908"/>
      <c r="AS2" s="908"/>
      <c r="AT2" s="908"/>
      <c r="AU2" s="908"/>
      <c r="AV2" s="908"/>
      <c r="AW2" s="908"/>
    </row>
    <row r="3" spans="1:49" ht="18.75" customHeight="1">
      <c r="A3" s="185" t="s">
        <v>0</v>
      </c>
      <c r="B3" s="142"/>
      <c r="C3" s="412"/>
      <c r="D3" s="137"/>
      <c r="E3" s="412"/>
      <c r="F3" s="137"/>
      <c r="G3" s="137"/>
      <c r="H3" s="137"/>
      <c r="I3" s="137"/>
      <c r="J3" s="137"/>
      <c r="K3" s="137"/>
      <c r="L3" s="150"/>
      <c r="M3" s="150"/>
      <c r="N3" s="150"/>
      <c r="O3" s="150"/>
      <c r="P3" s="150"/>
      <c r="Q3" s="150"/>
      <c r="R3" s="150"/>
      <c r="S3" s="150"/>
      <c r="T3" s="799"/>
      <c r="U3" s="150"/>
      <c r="V3" s="799" t="s">
        <v>81</v>
      </c>
      <c r="W3" s="150"/>
      <c r="X3" s="1161"/>
      <c r="Y3" s="150"/>
      <c r="Z3" s="150"/>
      <c r="AA3" s="150"/>
      <c r="AB3" s="1162"/>
      <c r="AC3" s="137"/>
      <c r="AD3" s="150"/>
      <c r="AE3" s="150"/>
      <c r="AF3" s="150"/>
      <c r="AG3" s="150"/>
      <c r="AH3" s="150"/>
      <c r="AI3" s="150"/>
      <c r="AJ3" s="150"/>
      <c r="AK3" s="150"/>
      <c r="AL3" s="150"/>
      <c r="AM3" s="150"/>
      <c r="AN3" s="150"/>
      <c r="AO3" s="150"/>
      <c r="AP3" s="150"/>
      <c r="AQ3" s="186"/>
      <c r="AR3" s="908"/>
      <c r="AS3" s="908"/>
      <c r="AT3" s="908"/>
      <c r="AU3" s="908"/>
      <c r="AV3" s="908"/>
      <c r="AW3" s="908"/>
    </row>
    <row r="4" spans="1:49" ht="18.75" customHeight="1">
      <c r="A4" s="185" t="s">
        <v>80</v>
      </c>
      <c r="B4" s="142"/>
      <c r="C4" s="412"/>
      <c r="D4" s="137"/>
      <c r="E4" s="412"/>
      <c r="F4" s="137"/>
      <c r="G4" s="137"/>
      <c r="H4" s="137"/>
      <c r="I4" s="137"/>
      <c r="J4" s="137"/>
      <c r="K4" s="137"/>
      <c r="L4" s="150"/>
      <c r="M4" s="150"/>
      <c r="N4" s="150"/>
      <c r="O4" s="150"/>
      <c r="P4" s="150"/>
      <c r="Q4" s="150"/>
      <c r="R4" s="150"/>
      <c r="S4" s="150"/>
      <c r="T4" s="800"/>
      <c r="U4" s="150"/>
      <c r="V4" s="800"/>
      <c r="W4" s="150"/>
      <c r="X4" s="1161"/>
      <c r="Y4" s="150"/>
      <c r="Z4" s="150"/>
      <c r="AA4" s="150"/>
      <c r="AB4" s="1163"/>
      <c r="AC4" s="137"/>
      <c r="AD4" s="150"/>
      <c r="AE4" s="150"/>
      <c r="AF4" s="150"/>
      <c r="AG4" s="150"/>
      <c r="AH4" s="150"/>
      <c r="AI4" s="150"/>
      <c r="AJ4" s="150"/>
      <c r="AK4" s="150"/>
      <c r="AL4" s="150"/>
      <c r="AM4" s="150"/>
      <c r="AN4" s="150"/>
      <c r="AO4" s="150"/>
      <c r="AP4" s="150"/>
      <c r="AQ4" s="150"/>
      <c r="AR4" s="908"/>
      <c r="AS4" s="908"/>
      <c r="AT4" s="908"/>
      <c r="AU4" s="908"/>
      <c r="AV4" s="908"/>
      <c r="AW4" s="908"/>
    </row>
    <row r="5" spans="1:49" ht="18.75" customHeight="1">
      <c r="A5" s="3943" t="str">
        <f>'Exh D-Governmental  '!A5:E5</f>
        <v>FISCAL YEAR 2022-2023</v>
      </c>
      <c r="B5" s="3944"/>
      <c r="C5" s="3944"/>
      <c r="D5" s="3944"/>
      <c r="E5" s="3944"/>
      <c r="F5" s="137"/>
      <c r="G5" s="793"/>
      <c r="H5" s="137"/>
      <c r="I5" s="137"/>
      <c r="J5" s="137"/>
      <c r="K5" s="137"/>
      <c r="L5" s="150"/>
      <c r="M5" s="150"/>
      <c r="N5" s="1998"/>
      <c r="O5" s="150"/>
      <c r="P5" s="150"/>
      <c r="Q5" s="150"/>
      <c r="R5" s="150"/>
      <c r="S5" s="150"/>
      <c r="T5" s="150"/>
      <c r="U5" s="150"/>
      <c r="V5" s="1161"/>
      <c r="W5" s="150"/>
      <c r="X5" s="1161"/>
      <c r="Y5" s="150"/>
      <c r="Z5" s="150"/>
      <c r="AA5" s="150"/>
      <c r="AB5" s="150"/>
      <c r="AC5" s="137"/>
      <c r="AD5" s="150"/>
      <c r="AE5" s="150"/>
      <c r="AF5" s="150"/>
      <c r="AG5" s="150"/>
      <c r="AH5" s="150"/>
      <c r="AI5" s="150"/>
      <c r="AJ5" s="150"/>
      <c r="AK5" s="150"/>
      <c r="AL5" s="150"/>
      <c r="AM5" s="150"/>
      <c r="AN5" s="150"/>
      <c r="AO5" s="150"/>
      <c r="AP5" s="150"/>
      <c r="AQ5" s="150"/>
      <c r="AR5" s="908"/>
      <c r="AS5" s="908"/>
      <c r="AT5" s="908"/>
      <c r="AU5" s="908"/>
      <c r="AV5" s="908"/>
      <c r="AW5" s="908"/>
    </row>
    <row r="6" spans="1:49" ht="18.75" customHeight="1">
      <c r="A6" s="1438" t="str">
        <f>'Exh D-Governmental  '!A6</f>
        <v xml:space="preserve">FOR TWO MONTHS ENDED MAY 31, 2022    </v>
      </c>
      <c r="B6" s="3920"/>
      <c r="C6" s="3921"/>
      <c r="D6" s="3922"/>
      <c r="E6" s="3921"/>
      <c r="F6" s="137"/>
      <c r="G6" s="137"/>
      <c r="H6" s="137"/>
      <c r="I6" s="137"/>
      <c r="J6" s="137"/>
      <c r="K6" s="137"/>
      <c r="L6" s="150"/>
      <c r="M6" s="150"/>
      <c r="N6" s="150"/>
      <c r="O6" s="150"/>
      <c r="P6" s="150"/>
      <c r="Q6" s="150"/>
      <c r="R6" s="150"/>
      <c r="S6" s="150"/>
      <c r="T6" s="150"/>
      <c r="U6" s="150"/>
      <c r="V6" s="1161"/>
      <c r="W6" s="150"/>
      <c r="X6" s="1161"/>
      <c r="Y6" s="150"/>
      <c r="Z6" s="150"/>
      <c r="AA6" s="150"/>
      <c r="AB6" s="150"/>
      <c r="AC6" s="137"/>
      <c r="AD6" s="150"/>
      <c r="AE6" s="150"/>
      <c r="AF6" s="150"/>
      <c r="AG6" s="150"/>
      <c r="AH6" s="150"/>
      <c r="AI6" s="150"/>
      <c r="AJ6" s="150"/>
      <c r="AK6" s="150"/>
      <c r="AL6" s="150"/>
      <c r="AM6" s="150"/>
      <c r="AN6" s="150"/>
      <c r="AO6" s="150"/>
      <c r="AP6" s="150"/>
      <c r="AQ6" s="150"/>
      <c r="AR6" s="908"/>
      <c r="AS6" s="908"/>
      <c r="AT6" s="908"/>
      <c r="AU6" s="908"/>
      <c r="AV6" s="908"/>
      <c r="AW6" s="908"/>
    </row>
    <row r="7" spans="1:49" ht="18.75" customHeight="1">
      <c r="A7" s="185" t="s">
        <v>1251</v>
      </c>
      <c r="B7" s="142"/>
      <c r="C7" s="412"/>
      <c r="D7" s="137"/>
      <c r="E7" s="412"/>
      <c r="F7" s="137"/>
      <c r="G7" s="137"/>
      <c r="H7" s="137"/>
      <c r="I7" s="137"/>
      <c r="J7" s="137"/>
      <c r="K7" s="137"/>
      <c r="L7" s="150"/>
      <c r="M7" s="150"/>
      <c r="N7" s="150"/>
      <c r="O7" s="150"/>
      <c r="P7" s="150"/>
      <c r="Q7" s="150"/>
      <c r="R7" s="150"/>
      <c r="S7" s="150"/>
      <c r="T7" s="150"/>
      <c r="U7" s="150"/>
      <c r="V7" s="1161"/>
      <c r="W7" s="150"/>
      <c r="X7" s="1161"/>
      <c r="Y7" s="150"/>
      <c r="Z7" s="150"/>
      <c r="AA7" s="150"/>
      <c r="AB7" s="150"/>
      <c r="AC7" s="137"/>
      <c r="AD7" s="150"/>
      <c r="AE7" s="150"/>
      <c r="AF7" s="150"/>
      <c r="AG7" s="150"/>
      <c r="AH7" s="150"/>
      <c r="AI7" s="150"/>
      <c r="AJ7" s="150"/>
      <c r="AK7" s="150"/>
      <c r="AL7" s="150"/>
      <c r="AM7" s="150"/>
      <c r="AN7" s="150"/>
      <c r="AO7" s="150"/>
      <c r="AP7" s="150"/>
      <c r="AQ7" s="150"/>
      <c r="AR7" s="908"/>
      <c r="AS7" s="908"/>
      <c r="AT7" s="908"/>
      <c r="AU7" s="908"/>
      <c r="AV7" s="908"/>
      <c r="AW7" s="908"/>
    </row>
    <row r="8" spans="1:49" ht="15" customHeight="1">
      <c r="A8" s="187"/>
      <c r="B8" s="141"/>
      <c r="C8" s="412"/>
      <c r="D8" s="137"/>
      <c r="E8" s="412"/>
      <c r="F8" s="137"/>
      <c r="G8" s="137"/>
      <c r="H8" s="137"/>
      <c r="I8" s="137"/>
      <c r="J8" s="137"/>
      <c r="K8" s="137"/>
      <c r="L8" s="150"/>
      <c r="M8" s="150"/>
      <c r="N8" s="150"/>
      <c r="O8" s="150"/>
      <c r="P8" s="150"/>
      <c r="Q8" s="150"/>
      <c r="R8" s="150"/>
      <c r="S8" s="150"/>
      <c r="T8" s="150"/>
      <c r="U8" s="150"/>
      <c r="V8" s="1161"/>
      <c r="W8" s="150"/>
      <c r="X8" s="1161"/>
      <c r="Y8" s="150"/>
      <c r="Z8" s="150"/>
      <c r="AA8" s="150"/>
      <c r="AB8" s="150"/>
      <c r="AC8" s="137"/>
      <c r="AD8" s="150"/>
      <c r="AE8" s="150"/>
      <c r="AF8" s="150"/>
      <c r="AG8" s="150"/>
      <c r="AH8" s="150"/>
      <c r="AI8" s="150"/>
      <c r="AJ8" s="150"/>
      <c r="AK8" s="150"/>
      <c r="AL8" s="150"/>
      <c r="AM8" s="150"/>
      <c r="AN8" s="150"/>
      <c r="AO8" s="150"/>
      <c r="AP8" s="150"/>
      <c r="AQ8" s="150"/>
      <c r="AR8" s="908"/>
      <c r="AS8" s="908"/>
      <c r="AT8" s="908"/>
      <c r="AU8" s="908"/>
      <c r="AV8" s="908"/>
      <c r="AW8" s="908"/>
    </row>
    <row r="9" spans="1:49">
      <c r="A9" s="144"/>
      <c r="B9" s="150"/>
      <c r="C9" s="413"/>
      <c r="D9" s="137"/>
      <c r="E9" s="413"/>
      <c r="F9" s="137"/>
      <c r="G9" s="137"/>
      <c r="H9" s="137"/>
      <c r="I9" s="137"/>
      <c r="J9" s="137"/>
      <c r="K9" s="137"/>
      <c r="L9" s="150"/>
      <c r="M9" s="150"/>
      <c r="N9" s="150"/>
      <c r="O9" s="150"/>
      <c r="P9" s="150"/>
      <c r="Q9" s="150"/>
      <c r="R9" s="150"/>
      <c r="S9" s="150"/>
      <c r="T9" s="150"/>
      <c r="U9" s="150"/>
      <c r="V9" s="1161"/>
      <c r="W9" s="150"/>
      <c r="X9" s="1161"/>
      <c r="Y9" s="150"/>
      <c r="Z9" s="150"/>
      <c r="AA9" s="150"/>
      <c r="AB9" s="150"/>
      <c r="AC9" s="137"/>
      <c r="AD9" s="150"/>
      <c r="AE9" s="150"/>
      <c r="AF9" s="150"/>
      <c r="AG9" s="150"/>
      <c r="AH9" s="150"/>
      <c r="AI9" s="150"/>
      <c r="AJ9" s="150"/>
      <c r="AK9" s="150"/>
      <c r="AL9" s="150"/>
      <c r="AM9" s="150"/>
      <c r="AN9" s="150"/>
      <c r="AO9" s="150"/>
      <c r="AP9" s="150"/>
      <c r="AQ9" s="150"/>
      <c r="AR9" s="908"/>
      <c r="AS9" s="908"/>
      <c r="AT9" s="908"/>
      <c r="AU9" s="908"/>
      <c r="AV9" s="908"/>
      <c r="AW9" s="908"/>
    </row>
    <row r="10" spans="1:49">
      <c r="A10" s="144"/>
      <c r="B10" s="150"/>
      <c r="C10" s="413"/>
      <c r="D10" s="137"/>
      <c r="E10" s="413"/>
      <c r="F10" s="137"/>
      <c r="G10" s="137"/>
      <c r="H10" s="137"/>
      <c r="I10" s="137"/>
      <c r="J10" s="137"/>
      <c r="K10" s="137"/>
      <c r="L10" s="150"/>
      <c r="M10" s="150"/>
      <c r="N10" s="150"/>
      <c r="O10" s="150"/>
      <c r="P10" s="150"/>
      <c r="Q10" s="150"/>
      <c r="R10" s="150"/>
      <c r="S10" s="150"/>
      <c r="T10" s="150"/>
      <c r="U10" s="150"/>
      <c r="V10" s="941"/>
      <c r="W10" s="141"/>
      <c r="X10" s="941"/>
      <c r="Y10" s="141"/>
      <c r="Z10" s="141"/>
      <c r="AA10" s="141"/>
      <c r="AB10" s="141"/>
      <c r="AC10" s="137"/>
      <c r="AD10" s="150"/>
      <c r="AE10" s="150"/>
      <c r="AF10" s="150"/>
      <c r="AG10" s="150"/>
      <c r="AH10" s="150"/>
      <c r="AI10" s="150"/>
      <c r="AJ10" s="150"/>
      <c r="AK10" s="150"/>
      <c r="AL10" s="150"/>
      <c r="AM10" s="150"/>
      <c r="AN10" s="150"/>
      <c r="AO10" s="150"/>
      <c r="AP10" s="150"/>
      <c r="AQ10" s="150"/>
      <c r="AR10" s="908"/>
      <c r="AS10" s="908"/>
      <c r="AT10" s="908"/>
      <c r="AU10" s="908"/>
      <c r="AV10" s="908"/>
      <c r="AW10" s="908"/>
    </row>
    <row r="11" spans="1:49" ht="15.75">
      <c r="A11" s="669"/>
      <c r="C11" s="3945" t="s">
        <v>1024</v>
      </c>
      <c r="D11" s="3945"/>
      <c r="E11" s="3945"/>
      <c r="F11" s="3945"/>
      <c r="G11" s="3945"/>
      <c r="H11" s="3945"/>
      <c r="I11" s="3945"/>
      <c r="J11" s="1155"/>
      <c r="K11" s="1155"/>
      <c r="L11" s="190"/>
      <c r="M11" s="188"/>
      <c r="N11" s="3945" t="s">
        <v>1025</v>
      </c>
      <c r="O11" s="3945"/>
      <c r="P11" s="3945"/>
      <c r="Q11" s="3945"/>
      <c r="R11" s="3945"/>
      <c r="S11" s="3945"/>
      <c r="T11" s="3945"/>
      <c r="U11" s="1164"/>
      <c r="V11" s="1386"/>
      <c r="W11" s="1405"/>
      <c r="X11" s="1405"/>
      <c r="Y11" s="1405"/>
      <c r="Z11" s="1405"/>
      <c r="AA11" s="1405"/>
      <c r="AB11" s="1405"/>
      <c r="AC11" s="145"/>
      <c r="AD11" s="188"/>
      <c r="AE11" s="188"/>
      <c r="AF11" s="188"/>
      <c r="AG11" s="188"/>
      <c r="AH11" s="188"/>
      <c r="AI11" s="188"/>
      <c r="AJ11" s="188"/>
      <c r="AK11" s="145"/>
      <c r="AL11" s="188"/>
      <c r="AM11" s="189"/>
      <c r="AN11" s="188"/>
      <c r="AO11" s="188"/>
      <c r="AP11" s="188"/>
      <c r="AQ11" s="188"/>
      <c r="AR11" s="908"/>
      <c r="AS11" s="908"/>
      <c r="AT11" s="908"/>
      <c r="AU11" s="908"/>
      <c r="AV11" s="908"/>
      <c r="AW11" s="908"/>
    </row>
    <row r="12" spans="1:49" ht="15.75">
      <c r="A12" s="669"/>
      <c r="C12" s="414"/>
      <c r="D12" s="190"/>
      <c r="E12" s="414"/>
      <c r="F12" s="190"/>
      <c r="G12" s="191"/>
      <c r="H12" s="190"/>
      <c r="I12" s="190" t="s">
        <v>82</v>
      </c>
      <c r="J12" s="190"/>
      <c r="K12" s="190" t="s">
        <v>82</v>
      </c>
      <c r="L12" s="190"/>
      <c r="M12" s="1179"/>
      <c r="N12" s="414"/>
      <c r="O12" s="190"/>
      <c r="P12" s="414"/>
      <c r="Q12" s="190"/>
      <c r="R12" s="191"/>
      <c r="S12" s="190"/>
      <c r="T12" s="190" t="s">
        <v>82</v>
      </c>
      <c r="U12" s="188"/>
      <c r="V12" s="190" t="s">
        <v>82</v>
      </c>
      <c r="W12" s="190"/>
      <c r="X12" s="417"/>
      <c r="Y12" s="190"/>
      <c r="Z12" s="191"/>
      <c r="AA12" s="190"/>
      <c r="AB12" s="190"/>
      <c r="AC12" s="145"/>
      <c r="AD12" s="188"/>
      <c r="AE12" s="188"/>
      <c r="AF12" s="188"/>
      <c r="AG12" s="188"/>
      <c r="AH12" s="188"/>
      <c r="AI12" s="188"/>
      <c r="AJ12" s="188"/>
      <c r="AK12" s="145"/>
      <c r="AL12" s="188"/>
      <c r="AM12" s="189"/>
      <c r="AN12" s="188"/>
      <c r="AO12" s="188"/>
      <c r="AP12" s="188"/>
      <c r="AQ12" s="188"/>
      <c r="AR12" s="908"/>
      <c r="AS12" s="908"/>
      <c r="AT12" s="908"/>
      <c r="AU12" s="908"/>
      <c r="AV12" s="908"/>
      <c r="AW12" s="908"/>
    </row>
    <row r="13" spans="1:49" ht="15.75">
      <c r="A13" s="669"/>
      <c r="B13" s="145"/>
      <c r="C13" s="415"/>
      <c r="D13" s="192"/>
      <c r="E13" s="415"/>
      <c r="F13" s="192"/>
      <c r="G13" s="192"/>
      <c r="H13" s="192"/>
      <c r="I13" s="193" t="s">
        <v>784</v>
      </c>
      <c r="J13" s="193"/>
      <c r="K13" s="193" t="s">
        <v>784</v>
      </c>
      <c r="L13" s="944"/>
      <c r="M13" s="1180"/>
      <c r="N13" s="415"/>
      <c r="O13" s="192"/>
      <c r="P13" s="415"/>
      <c r="Q13" s="192"/>
      <c r="R13" s="192"/>
      <c r="S13" s="192"/>
      <c r="T13" s="193" t="s">
        <v>784</v>
      </c>
      <c r="U13" s="195"/>
      <c r="V13" s="193" t="s">
        <v>784</v>
      </c>
      <c r="W13" s="943"/>
      <c r="X13" s="942"/>
      <c r="Y13" s="943"/>
      <c r="Z13" s="943"/>
      <c r="AA13" s="943"/>
      <c r="AB13" s="944"/>
      <c r="AC13" s="145"/>
      <c r="AD13" s="145"/>
      <c r="AE13" s="145"/>
      <c r="AF13" s="145"/>
      <c r="AG13" s="145"/>
      <c r="AH13" s="145"/>
      <c r="AI13" s="194"/>
      <c r="AJ13" s="195"/>
      <c r="AK13" s="145"/>
      <c r="AL13" s="145"/>
      <c r="AM13" s="145"/>
      <c r="AN13" s="145"/>
      <c r="AO13" s="145"/>
      <c r="AP13" s="145"/>
      <c r="AQ13" s="194"/>
      <c r="AR13" s="908"/>
      <c r="AS13" s="908"/>
      <c r="AT13" s="908"/>
      <c r="AU13" s="908"/>
      <c r="AV13" s="908"/>
      <c r="AW13" s="908"/>
    </row>
    <row r="14" spans="1:49" ht="15.75">
      <c r="A14" s="669"/>
      <c r="B14" s="196"/>
      <c r="C14" s="148" t="s">
        <v>977</v>
      </c>
      <c r="D14" s="908"/>
      <c r="E14" s="147" t="s">
        <v>978</v>
      </c>
      <c r="F14" s="146"/>
      <c r="G14" s="146"/>
      <c r="H14" s="146"/>
      <c r="I14" s="147" t="s">
        <v>83</v>
      </c>
      <c r="J14" s="147"/>
      <c r="K14" s="147" t="s">
        <v>83</v>
      </c>
      <c r="L14" s="195"/>
      <c r="M14" s="1180"/>
      <c r="N14" s="148" t="s">
        <v>977</v>
      </c>
      <c r="O14" s="908"/>
      <c r="P14" s="147" t="s">
        <v>978</v>
      </c>
      <c r="Q14" s="146"/>
      <c r="R14" s="146"/>
      <c r="S14" s="146"/>
      <c r="T14" s="147" t="s">
        <v>83</v>
      </c>
      <c r="U14" s="195"/>
      <c r="V14" s="147" t="s">
        <v>83</v>
      </c>
      <c r="W14" s="670"/>
      <c r="X14" s="195"/>
      <c r="Y14" s="145"/>
      <c r="Z14" s="145"/>
      <c r="AA14" s="145"/>
      <c r="AB14" s="195"/>
      <c r="AC14" s="145"/>
      <c r="AD14" s="194"/>
      <c r="AE14" s="195"/>
      <c r="AF14" s="145"/>
      <c r="AG14" s="145"/>
      <c r="AH14" s="145"/>
      <c r="AI14" s="194"/>
      <c r="AJ14" s="195"/>
      <c r="AK14" s="145"/>
      <c r="AL14" s="194"/>
      <c r="AM14" s="195"/>
      <c r="AN14" s="145"/>
      <c r="AO14" s="145"/>
      <c r="AP14" s="145"/>
      <c r="AQ14" s="194"/>
      <c r="AR14" s="908"/>
      <c r="AS14" s="908"/>
      <c r="AT14" s="908"/>
      <c r="AU14" s="908"/>
      <c r="AV14" s="908"/>
      <c r="AW14" s="908"/>
    </row>
    <row r="15" spans="1:49" ht="15.75">
      <c r="A15" s="669"/>
      <c r="B15" s="196"/>
      <c r="C15" s="147" t="s">
        <v>1013</v>
      </c>
      <c r="D15" s="146"/>
      <c r="E15" s="147" t="s">
        <v>1013</v>
      </c>
      <c r="F15" s="146"/>
      <c r="G15" s="146"/>
      <c r="H15" s="146"/>
      <c r="I15" s="147" t="s">
        <v>977</v>
      </c>
      <c r="J15" s="147"/>
      <c r="K15" s="147" t="s">
        <v>978</v>
      </c>
      <c r="L15" s="195"/>
      <c r="M15" s="1180"/>
      <c r="N15" s="147" t="s">
        <v>1013</v>
      </c>
      <c r="O15" s="146"/>
      <c r="P15" s="147" t="s">
        <v>1013</v>
      </c>
      <c r="Q15" s="146"/>
      <c r="R15" s="146"/>
      <c r="S15" s="146"/>
      <c r="T15" s="147" t="s">
        <v>977</v>
      </c>
      <c r="U15" s="195"/>
      <c r="V15" s="147" t="s">
        <v>978</v>
      </c>
      <c r="W15" s="145"/>
      <c r="X15" s="195"/>
      <c r="Y15" s="145"/>
      <c r="Z15" s="145"/>
      <c r="AA15" s="145"/>
      <c r="AB15" s="195"/>
      <c r="AC15" s="145"/>
      <c r="AD15" s="194"/>
      <c r="AE15" s="195"/>
      <c r="AF15" s="145"/>
      <c r="AG15" s="145"/>
      <c r="AH15" s="145"/>
      <c r="AI15" s="194"/>
      <c r="AJ15" s="195"/>
      <c r="AK15" s="145"/>
      <c r="AL15" s="194"/>
      <c r="AM15" s="195"/>
      <c r="AN15" s="145"/>
      <c r="AO15" s="145"/>
      <c r="AP15" s="145"/>
      <c r="AQ15" s="194"/>
      <c r="AR15" s="908"/>
      <c r="AS15" s="908"/>
      <c r="AT15" s="908"/>
      <c r="AU15" s="908"/>
      <c r="AV15" s="908"/>
      <c r="AW15" s="908"/>
    </row>
    <row r="16" spans="1:49" ht="15.75">
      <c r="A16" s="669"/>
      <c r="B16" s="195"/>
      <c r="C16" s="147" t="s">
        <v>1014</v>
      </c>
      <c r="D16" s="146"/>
      <c r="E16" s="147" t="s">
        <v>1485</v>
      </c>
      <c r="F16" s="146"/>
      <c r="G16" s="148" t="s">
        <v>82</v>
      </c>
      <c r="H16" s="146"/>
      <c r="I16" s="147" t="s">
        <v>84</v>
      </c>
      <c r="J16" s="195"/>
      <c r="K16" s="147" t="s">
        <v>84</v>
      </c>
      <c r="L16" s="195"/>
      <c r="M16" s="1187"/>
      <c r="N16" s="1188" t="s">
        <v>1014</v>
      </c>
      <c r="O16" s="146"/>
      <c r="P16" s="147" t="s">
        <v>1485</v>
      </c>
      <c r="Q16" s="146"/>
      <c r="R16" s="148" t="s">
        <v>82</v>
      </c>
      <c r="S16" s="146"/>
      <c r="T16" s="147" t="s">
        <v>84</v>
      </c>
      <c r="U16" s="195"/>
      <c r="V16" s="147" t="s">
        <v>84</v>
      </c>
      <c r="W16" s="145"/>
      <c r="X16" s="195"/>
      <c r="Y16" s="145"/>
      <c r="Z16" s="194"/>
      <c r="AA16" s="145"/>
      <c r="AB16" s="195"/>
      <c r="AC16" s="145"/>
      <c r="AD16" s="195"/>
      <c r="AE16" s="195"/>
      <c r="AF16" s="145"/>
      <c r="AG16" s="194"/>
      <c r="AH16" s="145"/>
      <c r="AI16" s="194"/>
      <c r="AJ16" s="195"/>
      <c r="AK16" s="145"/>
      <c r="AL16" s="195"/>
      <c r="AM16" s="195"/>
      <c r="AN16" s="145"/>
      <c r="AO16" s="194"/>
      <c r="AP16" s="145"/>
      <c r="AQ16" s="194"/>
      <c r="AR16" s="908"/>
      <c r="AS16" s="908"/>
      <c r="AT16" s="908"/>
      <c r="AU16" s="908"/>
      <c r="AV16" s="908"/>
      <c r="AW16" s="908"/>
    </row>
    <row r="17" spans="1:49">
      <c r="A17" s="149"/>
      <c r="B17" s="150"/>
      <c r="C17" s="151"/>
      <c r="D17" s="137"/>
      <c r="E17" s="151"/>
      <c r="F17" s="137"/>
      <c r="G17" s="151"/>
      <c r="H17" s="137"/>
      <c r="I17" s="151"/>
      <c r="J17" s="150"/>
      <c r="K17" s="151"/>
      <c r="L17" s="150"/>
      <c r="M17" s="1181"/>
      <c r="N17" s="150"/>
      <c r="O17" s="137"/>
      <c r="P17" s="151"/>
      <c r="Q17" s="137"/>
      <c r="R17" s="151"/>
      <c r="S17" s="137"/>
      <c r="T17" s="151"/>
      <c r="U17" s="150"/>
      <c r="V17" s="151"/>
      <c r="W17" s="150"/>
      <c r="X17" s="150"/>
      <c r="Y17" s="150"/>
      <c r="Z17" s="150"/>
      <c r="AA17" s="150"/>
      <c r="AB17" s="150"/>
      <c r="AC17" s="150"/>
      <c r="AD17" s="150"/>
      <c r="AE17" s="150"/>
      <c r="AF17" s="150"/>
      <c r="AG17" s="150"/>
      <c r="AH17" s="150"/>
      <c r="AI17" s="150"/>
      <c r="AJ17" s="150"/>
      <c r="AK17" s="150"/>
      <c r="AL17" s="150"/>
      <c r="AM17" s="150"/>
      <c r="AN17" s="150"/>
      <c r="AO17" s="150"/>
      <c r="AP17" s="150"/>
      <c r="AQ17" s="150"/>
      <c r="AR17" s="908"/>
      <c r="AS17" s="908"/>
      <c r="AT17" s="908"/>
      <c r="AU17" s="908"/>
      <c r="AV17" s="908"/>
      <c r="AW17" s="908"/>
    </row>
    <row r="18" spans="1:49" ht="15.75">
      <c r="A18" s="26" t="s">
        <v>13</v>
      </c>
      <c r="B18" s="901"/>
      <c r="C18" s="638"/>
      <c r="D18" s="638"/>
      <c r="E18" s="638"/>
      <c r="F18" s="638"/>
      <c r="G18" s="638"/>
      <c r="H18" s="638"/>
      <c r="I18" s="901"/>
      <c r="J18" s="638"/>
      <c r="K18" s="901"/>
      <c r="L18" s="901"/>
      <c r="M18" s="1182"/>
      <c r="N18" s="638"/>
      <c r="O18" s="638"/>
      <c r="P18" s="638"/>
      <c r="Q18" s="638"/>
      <c r="R18" s="638"/>
      <c r="S18" s="638"/>
      <c r="T18" s="638"/>
      <c r="U18" s="901"/>
      <c r="V18" s="901"/>
      <c r="W18" s="901"/>
      <c r="X18" s="901"/>
      <c r="Y18" s="901"/>
      <c r="Z18" s="901"/>
      <c r="AA18" s="901"/>
      <c r="AB18" s="901"/>
      <c r="AC18" s="901"/>
      <c r="AD18" s="901"/>
      <c r="AE18" s="901"/>
      <c r="AF18" s="901"/>
      <c r="AG18" s="901"/>
      <c r="AH18" s="901"/>
      <c r="AI18" s="901"/>
      <c r="AJ18" s="901"/>
      <c r="AK18" s="901"/>
      <c r="AL18" s="901"/>
      <c r="AM18" s="901"/>
      <c r="AN18" s="901"/>
      <c r="AO18" s="901"/>
      <c r="AP18" s="901"/>
      <c r="AQ18" s="901"/>
      <c r="AR18" s="908"/>
      <c r="AS18" s="908"/>
      <c r="AT18" s="908"/>
      <c r="AU18" s="908"/>
      <c r="AV18" s="908"/>
      <c r="AW18" s="908"/>
    </row>
    <row r="19" spans="1:49">
      <c r="A19" s="798" t="s">
        <v>85</v>
      </c>
      <c r="B19" s="902"/>
      <c r="C19" s="638"/>
      <c r="D19" s="902"/>
      <c r="E19" s="638"/>
      <c r="F19" s="902"/>
      <c r="G19" s="638"/>
      <c r="H19" s="902"/>
      <c r="I19" s="901"/>
      <c r="J19" s="638"/>
      <c r="K19" s="901"/>
      <c r="L19" s="901"/>
      <c r="M19" s="1182"/>
      <c r="N19" s="638"/>
      <c r="O19" s="902"/>
      <c r="P19" s="638"/>
      <c r="Q19" s="902"/>
      <c r="R19" s="638"/>
      <c r="S19" s="902"/>
      <c r="T19" s="638"/>
      <c r="U19" s="901"/>
      <c r="V19" s="901"/>
      <c r="W19" s="901"/>
      <c r="X19" s="901"/>
      <c r="Y19" s="901"/>
      <c r="Z19" s="901"/>
      <c r="AA19" s="922"/>
      <c r="AB19" s="901"/>
      <c r="AC19" s="901"/>
      <c r="AD19" s="901"/>
      <c r="AE19" s="901"/>
      <c r="AF19" s="901"/>
      <c r="AG19" s="901"/>
      <c r="AH19" s="901"/>
      <c r="AI19" s="901"/>
      <c r="AJ19" s="901"/>
      <c r="AK19" s="901"/>
      <c r="AL19" s="901"/>
      <c r="AM19" s="901"/>
      <c r="AN19" s="901"/>
      <c r="AO19" s="901"/>
      <c r="AP19" s="901"/>
      <c r="AQ19" s="901"/>
      <c r="AR19" s="908"/>
      <c r="AS19" s="908"/>
      <c r="AT19" s="908"/>
      <c r="AU19" s="908"/>
      <c r="AV19" s="908"/>
      <c r="AW19" s="908"/>
    </row>
    <row r="20" spans="1:49">
      <c r="A20" s="798" t="s">
        <v>86</v>
      </c>
      <c r="B20" s="902" t="s">
        <v>14</v>
      </c>
      <c r="C20" s="1998">
        <v>0</v>
      </c>
      <c r="D20" s="641"/>
      <c r="E20" s="1998">
        <v>0</v>
      </c>
      <c r="F20" s="641"/>
      <c r="G20" s="639">
        <f>'Exhibit G State'!AD17</f>
        <v>0</v>
      </c>
      <c r="H20" s="641"/>
      <c r="I20" s="948">
        <f>G20-C20</f>
        <v>0</v>
      </c>
      <c r="J20" s="639"/>
      <c r="K20" s="948">
        <f>G20-E20</f>
        <v>0</v>
      </c>
      <c r="L20" s="948"/>
      <c r="M20" s="1182"/>
      <c r="N20" s="1998">
        <v>0</v>
      </c>
      <c r="O20" s="870"/>
      <c r="P20" s="1998">
        <v>0</v>
      </c>
      <c r="Q20" s="641"/>
      <c r="R20" s="639">
        <v>0</v>
      </c>
      <c r="S20" s="641"/>
      <c r="T20" s="948">
        <f>R20-N20</f>
        <v>0</v>
      </c>
      <c r="U20" s="901"/>
      <c r="V20" s="948">
        <f>R20-P20</f>
        <v>0</v>
      </c>
      <c r="W20" s="946"/>
      <c r="X20" s="949"/>
      <c r="Y20" s="946"/>
      <c r="Z20" s="947"/>
      <c r="AA20" s="946"/>
      <c r="AB20" s="948"/>
      <c r="AC20" s="901"/>
      <c r="AD20" s="901"/>
      <c r="AE20" s="901"/>
      <c r="AF20" s="901"/>
      <c r="AG20" s="901"/>
      <c r="AH20" s="901"/>
      <c r="AI20" s="901"/>
      <c r="AJ20" s="901"/>
      <c r="AK20" s="901"/>
      <c r="AL20" s="901"/>
      <c r="AM20" s="901"/>
      <c r="AN20" s="901"/>
      <c r="AO20" s="901"/>
      <c r="AP20" s="901"/>
      <c r="AQ20" s="901"/>
      <c r="AR20" s="908"/>
      <c r="AS20" s="908"/>
      <c r="AT20" s="908"/>
      <c r="AU20" s="908"/>
      <c r="AV20" s="908"/>
      <c r="AW20" s="908"/>
    </row>
    <row r="21" spans="1:49">
      <c r="A21" s="798" t="s">
        <v>87</v>
      </c>
      <c r="B21" s="901" t="s">
        <v>14</v>
      </c>
      <c r="C21" s="1099">
        <v>348</v>
      </c>
      <c r="D21" s="1489"/>
      <c r="E21" s="1099">
        <v>0</v>
      </c>
      <c r="F21" s="624"/>
      <c r="G21" s="624">
        <f>'Exhibit G State'!AD28</f>
        <v>349.6</v>
      </c>
      <c r="H21" s="624"/>
      <c r="I21" s="920">
        <f>G21-C21</f>
        <v>1.6000000000000227</v>
      </c>
      <c r="J21" s="624"/>
      <c r="K21" s="920">
        <v>0</v>
      </c>
      <c r="L21" s="920"/>
      <c r="M21" s="1182"/>
      <c r="N21" s="1099">
        <v>0</v>
      </c>
      <c r="O21" s="872"/>
      <c r="P21" s="1099">
        <v>0</v>
      </c>
      <c r="Q21" s="624"/>
      <c r="R21" s="624">
        <v>0</v>
      </c>
      <c r="S21" s="624"/>
      <c r="T21" s="1489">
        <f t="shared" ref="T21:T25" si="0">ROUND(SUM(R21)-SUM(N21),1)</f>
        <v>0</v>
      </c>
      <c r="U21" s="901"/>
      <c r="V21" s="920">
        <f>R21-P21</f>
        <v>0</v>
      </c>
      <c r="W21" s="920"/>
      <c r="X21" s="949"/>
      <c r="Y21" s="920"/>
      <c r="Z21" s="920"/>
      <c r="AA21" s="920"/>
      <c r="AB21" s="920"/>
      <c r="AC21" s="920"/>
      <c r="AD21" s="920"/>
      <c r="AE21" s="901"/>
      <c r="AF21" s="901"/>
      <c r="AG21" s="901"/>
      <c r="AH21" s="901"/>
      <c r="AI21" s="901"/>
      <c r="AJ21" s="901"/>
      <c r="AK21" s="901"/>
      <c r="AL21" s="901"/>
      <c r="AM21" s="901"/>
      <c r="AN21" s="901"/>
      <c r="AO21" s="901"/>
      <c r="AP21" s="901"/>
      <c r="AQ21" s="901"/>
      <c r="AR21" s="908"/>
      <c r="AS21" s="908"/>
      <c r="AT21" s="908"/>
      <c r="AU21" s="908"/>
      <c r="AV21" s="908"/>
      <c r="AW21" s="908"/>
    </row>
    <row r="22" spans="1:49">
      <c r="A22" s="798" t="s">
        <v>88</v>
      </c>
      <c r="B22" s="902" t="s">
        <v>14</v>
      </c>
      <c r="C22" s="1099">
        <v>362</v>
      </c>
      <c r="D22" s="661"/>
      <c r="E22" s="1099">
        <v>0</v>
      </c>
      <c r="F22" s="661"/>
      <c r="G22" s="624">
        <f>'Exhibit G State'!AD35</f>
        <v>378.1</v>
      </c>
      <c r="H22" s="661"/>
      <c r="I22" s="920">
        <f t="shared" ref="I22:I25" si="1">G22-C22</f>
        <v>16.100000000000023</v>
      </c>
      <c r="J22" s="624"/>
      <c r="K22" s="920">
        <v>0</v>
      </c>
      <c r="L22" s="920"/>
      <c r="M22" s="1182"/>
      <c r="N22" s="1099">
        <v>0</v>
      </c>
      <c r="O22" s="663"/>
      <c r="P22" s="1099">
        <v>0</v>
      </c>
      <c r="Q22" s="661"/>
      <c r="R22" s="909">
        <v>0</v>
      </c>
      <c r="S22" s="661"/>
      <c r="T22" s="1489">
        <f t="shared" si="0"/>
        <v>0</v>
      </c>
      <c r="U22" s="901"/>
      <c r="V22" s="920">
        <f t="shared" ref="V22:V25" si="2">R22-P22</f>
        <v>0</v>
      </c>
      <c r="W22" s="921"/>
      <c r="X22" s="949"/>
      <c r="Y22" s="921"/>
      <c r="Z22" s="920"/>
      <c r="AA22" s="921"/>
      <c r="AB22" s="920"/>
      <c r="AC22" s="921"/>
      <c r="AD22" s="920"/>
      <c r="AE22" s="901"/>
      <c r="AF22" s="922"/>
      <c r="AG22" s="901"/>
      <c r="AH22" s="922"/>
      <c r="AI22" s="901"/>
      <c r="AJ22" s="901"/>
      <c r="AK22" s="922"/>
      <c r="AL22" s="901"/>
      <c r="AM22" s="901"/>
      <c r="AN22" s="922"/>
      <c r="AO22" s="197"/>
      <c r="AP22" s="922"/>
      <c r="AQ22" s="901"/>
      <c r="AR22" s="908"/>
      <c r="AS22" s="908"/>
      <c r="AT22" s="908"/>
      <c r="AU22" s="908"/>
      <c r="AV22" s="908"/>
      <c r="AW22" s="908"/>
    </row>
    <row r="23" spans="1:49" ht="15" customHeight="1">
      <c r="A23" s="798" t="s">
        <v>19</v>
      </c>
      <c r="B23" s="901" t="s">
        <v>14</v>
      </c>
      <c r="C23" s="1099">
        <v>2826</v>
      </c>
      <c r="D23" s="919"/>
      <c r="E23" s="1099">
        <v>0</v>
      </c>
      <c r="F23" s="919"/>
      <c r="G23" s="624">
        <f>'Exhibit G State'!AD81</f>
        <v>2772.8</v>
      </c>
      <c r="H23" s="624"/>
      <c r="I23" s="920">
        <f t="shared" si="1"/>
        <v>-53.199999999999818</v>
      </c>
      <c r="J23" s="624"/>
      <c r="K23" s="920">
        <v>0</v>
      </c>
      <c r="L23" s="920"/>
      <c r="M23" s="1182"/>
      <c r="N23" s="1099">
        <v>71</v>
      </c>
      <c r="O23" s="1917"/>
      <c r="P23" s="1099">
        <v>0</v>
      </c>
      <c r="Q23" s="919"/>
      <c r="R23" s="665">
        <f>'Exhibit G Federal'!AD52</f>
        <v>72.599999999999994</v>
      </c>
      <c r="S23" s="624"/>
      <c r="T23" s="1489">
        <f t="shared" si="0"/>
        <v>1.6</v>
      </c>
      <c r="U23" s="901"/>
      <c r="V23" s="920">
        <v>0</v>
      </c>
      <c r="W23" s="920"/>
      <c r="X23" s="949"/>
      <c r="Y23" s="920"/>
      <c r="Z23" s="920"/>
      <c r="AA23" s="920"/>
      <c r="AB23" s="920"/>
      <c r="AC23" s="920"/>
      <c r="AD23" s="920"/>
      <c r="AE23" s="901"/>
      <c r="AF23" s="901"/>
      <c r="AG23" s="901"/>
      <c r="AH23" s="901"/>
      <c r="AI23" s="901"/>
      <c r="AJ23" s="901"/>
      <c r="AK23" s="901"/>
      <c r="AL23" s="901"/>
      <c r="AM23" s="901"/>
      <c r="AN23" s="901"/>
      <c r="AO23" s="901"/>
      <c r="AP23" s="901"/>
      <c r="AQ23" s="901"/>
      <c r="AR23" s="908"/>
      <c r="AS23" s="908"/>
      <c r="AT23" s="908"/>
      <c r="AU23" s="908"/>
      <c r="AV23" s="908"/>
      <c r="AW23" s="908"/>
    </row>
    <row r="24" spans="1:49" ht="15" customHeight="1">
      <c r="A24" s="798" t="s">
        <v>20</v>
      </c>
      <c r="B24" s="901" t="s">
        <v>14</v>
      </c>
      <c r="C24" s="1099">
        <v>0</v>
      </c>
      <c r="D24" s="1489"/>
      <c r="E24" s="1099">
        <v>0</v>
      </c>
      <c r="F24" s="624"/>
      <c r="G24" s="665">
        <f>'Exhibit G State'!AD83</f>
        <v>0</v>
      </c>
      <c r="H24" s="624"/>
      <c r="I24" s="920">
        <f t="shared" si="1"/>
        <v>0</v>
      </c>
      <c r="J24" s="624"/>
      <c r="K24" s="920">
        <f t="shared" ref="K24" si="3">G24-E24</f>
        <v>0</v>
      </c>
      <c r="L24" s="920"/>
      <c r="M24" s="1182"/>
      <c r="N24" s="1099">
        <v>12237</v>
      </c>
      <c r="O24" s="872"/>
      <c r="P24" s="1099">
        <v>0</v>
      </c>
      <c r="Q24" s="624"/>
      <c r="R24" s="665">
        <f>'Exhibit G Federal'!AD54</f>
        <v>13954.2</v>
      </c>
      <c r="S24" s="624"/>
      <c r="T24" s="1489">
        <f t="shared" si="0"/>
        <v>1717.2</v>
      </c>
      <c r="U24" s="901"/>
      <c r="V24" s="920">
        <v>0</v>
      </c>
      <c r="W24" s="920"/>
      <c r="X24" s="949"/>
      <c r="Y24" s="920"/>
      <c r="Z24" s="920"/>
      <c r="AA24" s="920"/>
      <c r="AB24" s="920"/>
      <c r="AC24" s="920"/>
      <c r="AD24" s="923"/>
      <c r="AE24" s="924"/>
      <c r="AF24" s="901"/>
      <c r="AG24" s="924"/>
      <c r="AH24" s="901"/>
      <c r="AI24" s="924"/>
      <c r="AJ24" s="925"/>
      <c r="AK24" s="901"/>
      <c r="AL24" s="901"/>
      <c r="AM24" s="901"/>
      <c r="AN24" s="901"/>
      <c r="AO24" s="901"/>
      <c r="AP24" s="901"/>
      <c r="AQ24" s="901"/>
      <c r="AR24" s="908"/>
      <c r="AS24" s="908"/>
      <c r="AT24" s="908"/>
      <c r="AU24" s="908"/>
      <c r="AV24" s="908"/>
      <c r="AW24" s="908"/>
    </row>
    <row r="25" spans="1:49">
      <c r="A25" s="798" t="s">
        <v>46</v>
      </c>
      <c r="B25" s="925" t="s">
        <v>14</v>
      </c>
      <c r="C25" s="1099">
        <v>773</v>
      </c>
      <c r="D25" s="920"/>
      <c r="E25" s="1099">
        <v>0</v>
      </c>
      <c r="F25" s="920"/>
      <c r="G25" s="1009">
        <f>'Exhibit G State'!AD112</f>
        <v>957.6</v>
      </c>
      <c r="H25" s="624"/>
      <c r="I25" s="920">
        <f t="shared" si="1"/>
        <v>184.60000000000002</v>
      </c>
      <c r="J25" s="920"/>
      <c r="K25" s="920">
        <v>0</v>
      </c>
      <c r="L25" s="920"/>
      <c r="M25" s="1183"/>
      <c r="N25" s="1099">
        <v>0</v>
      </c>
      <c r="O25" s="872"/>
      <c r="P25" s="1099">
        <v>0</v>
      </c>
      <c r="Q25" s="920"/>
      <c r="R25" s="1009">
        <f>+'Exhibit G Federal'!AD85</f>
        <v>0</v>
      </c>
      <c r="S25" s="624"/>
      <c r="T25" s="1489">
        <f t="shared" si="0"/>
        <v>0</v>
      </c>
      <c r="U25" s="925"/>
      <c r="V25" s="920">
        <f t="shared" si="2"/>
        <v>0</v>
      </c>
      <c r="W25" s="920"/>
      <c r="X25" s="949"/>
      <c r="Y25" s="920"/>
      <c r="Z25" s="921"/>
      <c r="AA25" s="920"/>
      <c r="AB25" s="920"/>
      <c r="AC25" s="920"/>
      <c r="AD25" s="923"/>
      <c r="AE25" s="924"/>
      <c r="AF25" s="901"/>
      <c r="AG25" s="924"/>
      <c r="AH25" s="901"/>
      <c r="AI25" s="924"/>
      <c r="AJ25" s="925"/>
      <c r="AK25" s="901"/>
      <c r="AL25" s="901"/>
      <c r="AM25" s="901"/>
      <c r="AN25" s="901"/>
      <c r="AO25" s="901"/>
      <c r="AP25" s="901"/>
      <c r="AQ25" s="901"/>
      <c r="AR25" s="908"/>
      <c r="AS25" s="908"/>
      <c r="AT25" s="908"/>
      <c r="AU25" s="908"/>
      <c r="AV25" s="908"/>
      <c r="AW25" s="908"/>
    </row>
    <row r="26" spans="1:49" ht="18" customHeight="1">
      <c r="A26" s="167" t="s">
        <v>106</v>
      </c>
      <c r="B26" s="145" t="s">
        <v>14</v>
      </c>
      <c r="C26" s="209">
        <f>ROUND(SUM(C20:C25),1)</f>
        <v>4309</v>
      </c>
      <c r="D26" s="899"/>
      <c r="E26" s="209">
        <f>ROUND(SUM(E20:E25),1)</f>
        <v>0</v>
      </c>
      <c r="F26" s="899"/>
      <c r="G26" s="209">
        <f>ROUND(SUM(G20:G25),1)</f>
        <v>4458.1000000000004</v>
      </c>
      <c r="H26" s="899"/>
      <c r="I26" s="1500">
        <f>ROUND(SUM(I20:I25),1)</f>
        <v>149.1</v>
      </c>
      <c r="J26" s="71"/>
      <c r="K26" s="1500">
        <f>ROUND(SUM(K20:K25),1)</f>
        <v>0</v>
      </c>
      <c r="L26" s="71"/>
      <c r="M26" s="1182"/>
      <c r="N26" s="209">
        <f>ROUND(SUM(N20:N25),1)</f>
        <v>12308</v>
      </c>
      <c r="O26" s="899"/>
      <c r="P26" s="209">
        <f>ROUND(SUM(P20:P25),1)</f>
        <v>0</v>
      </c>
      <c r="Q26" s="899"/>
      <c r="R26" s="288">
        <f>ROUND(SUM(R20:R25),1)</f>
        <v>14026.8</v>
      </c>
      <c r="S26" s="899"/>
      <c r="T26" s="288">
        <f>ROUND(SUM(T20:T25),1)</f>
        <v>1718.8</v>
      </c>
      <c r="U26" s="145"/>
      <c r="V26" s="1500">
        <f>ROUND(SUM(V20:V25),1)</f>
        <v>0</v>
      </c>
      <c r="W26" s="71"/>
      <c r="X26" s="71"/>
      <c r="Y26" s="71"/>
      <c r="Z26" s="71"/>
      <c r="AA26" s="71"/>
      <c r="AB26" s="71"/>
      <c r="AC26" s="71"/>
      <c r="AD26" s="71"/>
      <c r="AE26" s="145"/>
      <c r="AF26" s="145"/>
      <c r="AG26" s="145"/>
      <c r="AH26" s="145"/>
      <c r="AI26" s="145"/>
      <c r="AJ26" s="145"/>
      <c r="AK26" s="145"/>
      <c r="AL26" s="145"/>
      <c r="AM26" s="145"/>
      <c r="AN26" s="145"/>
      <c r="AO26" s="145"/>
      <c r="AP26" s="145"/>
      <c r="AQ26" s="145"/>
      <c r="AR26" s="908"/>
      <c r="AS26" s="908"/>
      <c r="AT26" s="908"/>
      <c r="AU26" s="908"/>
      <c r="AV26" s="908"/>
      <c r="AW26" s="908"/>
    </row>
    <row r="27" spans="1:49">
      <c r="A27" s="669"/>
      <c r="B27" s="901"/>
      <c r="C27" s="667"/>
      <c r="D27" s="624"/>
      <c r="E27" s="667"/>
      <c r="F27" s="624"/>
      <c r="G27" s="667"/>
      <c r="H27" s="624"/>
      <c r="I27" s="920"/>
      <c r="J27" s="920"/>
      <c r="K27" s="920"/>
      <c r="L27" s="920"/>
      <c r="M27" s="1182"/>
      <c r="N27" s="667"/>
      <c r="O27" s="1489"/>
      <c r="P27" s="667"/>
      <c r="Q27" s="624"/>
      <c r="R27" s="667"/>
      <c r="S27" s="624"/>
      <c r="T27" s="920"/>
      <c r="U27" s="901"/>
      <c r="V27" s="920"/>
      <c r="W27" s="920"/>
      <c r="X27" s="920"/>
      <c r="Y27" s="920"/>
      <c r="Z27" s="920"/>
      <c r="AA27" s="920"/>
      <c r="AB27" s="920"/>
      <c r="AC27" s="920"/>
      <c r="AD27" s="920"/>
      <c r="AE27" s="901"/>
      <c r="AF27" s="901"/>
      <c r="AG27" s="901"/>
      <c r="AH27" s="901"/>
      <c r="AI27" s="901"/>
      <c r="AJ27" s="901"/>
      <c r="AK27" s="901"/>
      <c r="AL27" s="901"/>
      <c r="AM27" s="901"/>
      <c r="AN27" s="901"/>
      <c r="AO27" s="901"/>
      <c r="AP27" s="901"/>
      <c r="AQ27" s="901"/>
      <c r="AR27" s="908"/>
      <c r="AS27" s="908"/>
      <c r="AT27" s="908"/>
      <c r="AU27" s="908"/>
      <c r="AV27" s="908"/>
      <c r="AW27" s="908"/>
    </row>
    <row r="28" spans="1:49" ht="15.75">
      <c r="A28" s="26" t="s">
        <v>22</v>
      </c>
      <c r="B28" s="901"/>
      <c r="C28" s="624"/>
      <c r="D28" s="624"/>
      <c r="E28" s="1489"/>
      <c r="F28" s="624"/>
      <c r="G28" s="624"/>
      <c r="H28" s="624"/>
      <c r="I28" s="920"/>
      <c r="J28" s="920"/>
      <c r="K28" s="920"/>
      <c r="L28" s="920"/>
      <c r="M28" s="1182"/>
      <c r="N28" s="1489"/>
      <c r="O28" s="1489"/>
      <c r="P28" s="1489"/>
      <c r="Q28" s="624"/>
      <c r="R28" s="624"/>
      <c r="S28" s="624"/>
      <c r="T28" s="624"/>
      <c r="U28" s="901"/>
      <c r="V28" s="920"/>
      <c r="W28" s="920"/>
      <c r="X28" s="920"/>
      <c r="Y28" s="920"/>
      <c r="Z28" s="920"/>
      <c r="AA28" s="920"/>
      <c r="AB28" s="920"/>
      <c r="AC28" s="920"/>
      <c r="AD28" s="920"/>
      <c r="AE28" s="901"/>
      <c r="AF28" s="901"/>
      <c r="AG28" s="901"/>
      <c r="AH28" s="901"/>
      <c r="AI28" s="901"/>
      <c r="AJ28" s="901"/>
      <c r="AK28" s="901"/>
      <c r="AL28" s="901"/>
      <c r="AM28" s="901"/>
      <c r="AN28" s="901"/>
      <c r="AO28" s="901"/>
      <c r="AP28" s="901"/>
      <c r="AQ28" s="901"/>
      <c r="AR28" s="908"/>
      <c r="AS28" s="908"/>
      <c r="AT28" s="908"/>
      <c r="AU28" s="908"/>
      <c r="AV28" s="908"/>
      <c r="AW28" s="908"/>
    </row>
    <row r="29" spans="1:49">
      <c r="A29" s="798" t="s">
        <v>91</v>
      </c>
      <c r="B29" s="922" t="s">
        <v>14</v>
      </c>
      <c r="C29" s="1099">
        <v>1969</v>
      </c>
      <c r="D29" s="1489"/>
      <c r="E29" s="1099">
        <v>0</v>
      </c>
      <c r="F29" s="624"/>
      <c r="G29" s="661">
        <f>'Exhibit G State'!AD99</f>
        <v>1893.5</v>
      </c>
      <c r="H29" s="624"/>
      <c r="I29" s="1489">
        <f t="shared" ref="I29:I31" si="4">ROUND(SUM(G29)-SUM(C29),1)</f>
        <v>-75.5</v>
      </c>
      <c r="J29" s="920"/>
      <c r="K29" s="920">
        <v>0</v>
      </c>
      <c r="L29" s="920"/>
      <c r="M29" s="1182"/>
      <c r="N29" s="1099">
        <v>12554</v>
      </c>
      <c r="O29" s="1489"/>
      <c r="P29" s="1099">
        <v>0</v>
      </c>
      <c r="Q29" s="624"/>
      <c r="R29" s="661">
        <f>'Exhibit G Federal'!AD70</f>
        <v>12279.7</v>
      </c>
      <c r="S29" s="624"/>
      <c r="T29" s="1489">
        <f t="shared" ref="T29:T31" si="5">ROUND(SUM(R29)-SUM(N29),1)</f>
        <v>-274.3</v>
      </c>
      <c r="U29" s="901"/>
      <c r="V29" s="920">
        <v>0</v>
      </c>
      <c r="W29" s="920"/>
      <c r="X29" s="949"/>
      <c r="Y29" s="920"/>
      <c r="Z29" s="920"/>
      <c r="AA29" s="920"/>
      <c r="AB29" s="920"/>
      <c r="AC29" s="920"/>
      <c r="AD29" s="923"/>
      <c r="AE29" s="924"/>
      <c r="AF29" s="901"/>
      <c r="AG29" s="924"/>
      <c r="AH29" s="901"/>
      <c r="AI29" s="924"/>
      <c r="AJ29" s="925"/>
      <c r="AK29" s="901"/>
      <c r="AL29" s="901"/>
      <c r="AM29" s="901"/>
      <c r="AN29" s="901"/>
      <c r="AO29" s="901"/>
      <c r="AP29" s="901"/>
      <c r="AQ29" s="901"/>
      <c r="AR29" s="908"/>
      <c r="AS29" s="908"/>
      <c r="AT29" s="908"/>
      <c r="AU29" s="908"/>
      <c r="AV29" s="908"/>
      <c r="AW29" s="908"/>
    </row>
    <row r="30" spans="1:49">
      <c r="A30" s="798" t="s">
        <v>92</v>
      </c>
      <c r="B30" s="922" t="s">
        <v>14</v>
      </c>
      <c r="C30" s="1099">
        <v>1268</v>
      </c>
      <c r="D30" s="1489"/>
      <c r="E30" s="1099">
        <v>0</v>
      </c>
      <c r="F30" s="624"/>
      <c r="G30" s="661">
        <f>'Exhibit G State'!AD101+'Exhibit G State'!AD102</f>
        <v>1290.2</v>
      </c>
      <c r="H30" s="624"/>
      <c r="I30" s="1489">
        <f t="shared" si="4"/>
        <v>22.2</v>
      </c>
      <c r="J30" s="920"/>
      <c r="K30" s="920">
        <v>0</v>
      </c>
      <c r="L30" s="920"/>
      <c r="M30" s="1182"/>
      <c r="N30" s="1099">
        <v>358</v>
      </c>
      <c r="O30" s="1489"/>
      <c r="P30" s="1099">
        <v>0</v>
      </c>
      <c r="Q30" s="624"/>
      <c r="R30" s="661">
        <f>'Exhibit G Federal'!AD72+'Exhibit G Federal'!AD73</f>
        <v>357.79999999999995</v>
      </c>
      <c r="S30" s="624"/>
      <c r="T30" s="1489">
        <f t="shared" si="5"/>
        <v>-0.2</v>
      </c>
      <c r="U30" s="901"/>
      <c r="V30" s="920">
        <v>0</v>
      </c>
      <c r="W30" s="920"/>
      <c r="X30" s="949"/>
      <c r="Y30" s="920"/>
      <c r="Z30" s="920"/>
      <c r="AA30" s="920"/>
      <c r="AB30" s="920"/>
      <c r="AC30" s="920"/>
      <c r="AD30" s="921"/>
      <c r="AE30" s="922"/>
      <c r="AF30" s="901"/>
      <c r="AG30" s="922"/>
      <c r="AH30" s="901"/>
      <c r="AI30" s="924"/>
      <c r="AJ30" s="901"/>
      <c r="AK30" s="901"/>
      <c r="AL30" s="924"/>
      <c r="AM30" s="924"/>
      <c r="AN30" s="901"/>
      <c r="AO30" s="924"/>
      <c r="AP30" s="901"/>
      <c r="AQ30" s="924"/>
      <c r="AR30" s="908"/>
      <c r="AS30" s="908"/>
      <c r="AT30" s="908"/>
      <c r="AU30" s="908"/>
      <c r="AV30" s="908"/>
      <c r="AW30" s="908"/>
    </row>
    <row r="31" spans="1:49">
      <c r="A31" s="798" t="s">
        <v>68</v>
      </c>
      <c r="B31" s="922" t="s">
        <v>14</v>
      </c>
      <c r="C31" s="1099">
        <v>159</v>
      </c>
      <c r="D31" s="1489"/>
      <c r="E31" s="1099">
        <v>0</v>
      </c>
      <c r="F31" s="624"/>
      <c r="G31" s="661">
        <f>'Exhibit G State'!AD103</f>
        <v>128</v>
      </c>
      <c r="H31" s="624"/>
      <c r="I31" s="1489">
        <f t="shared" si="4"/>
        <v>-31</v>
      </c>
      <c r="J31" s="920"/>
      <c r="K31" s="920">
        <v>0</v>
      </c>
      <c r="L31" s="920"/>
      <c r="M31" s="1182"/>
      <c r="N31" s="1099">
        <v>58</v>
      </c>
      <c r="O31" s="1489"/>
      <c r="P31" s="1099">
        <v>0</v>
      </c>
      <c r="Q31" s="624"/>
      <c r="R31" s="661">
        <f>'Exhibit G Federal'!AD74</f>
        <v>58.2</v>
      </c>
      <c r="S31" s="624"/>
      <c r="T31" s="1489">
        <f t="shared" si="5"/>
        <v>0.2</v>
      </c>
      <c r="U31" s="901"/>
      <c r="V31" s="920">
        <v>0</v>
      </c>
      <c r="W31" s="920"/>
      <c r="X31" s="949"/>
      <c r="Y31" s="920"/>
      <c r="Z31" s="920"/>
      <c r="AA31" s="920"/>
      <c r="AB31" s="920"/>
      <c r="AC31" s="920"/>
      <c r="AD31" s="923"/>
      <c r="AE31" s="924"/>
      <c r="AF31" s="901"/>
      <c r="AG31" s="924"/>
      <c r="AH31" s="901"/>
      <c r="AI31" s="924"/>
      <c r="AJ31" s="925"/>
      <c r="AK31" s="901"/>
      <c r="AL31" s="924"/>
      <c r="AM31" s="924"/>
      <c r="AN31" s="901"/>
      <c r="AO31" s="924"/>
      <c r="AP31" s="901"/>
      <c r="AQ31" s="924"/>
      <c r="AR31" s="908"/>
      <c r="AS31" s="908"/>
      <c r="AT31" s="908"/>
      <c r="AU31" s="908"/>
      <c r="AV31" s="908"/>
      <c r="AW31" s="908"/>
    </row>
    <row r="32" spans="1:49">
      <c r="A32" s="798" t="s">
        <v>93</v>
      </c>
      <c r="B32" s="922"/>
      <c r="C32" s="1099">
        <v>0</v>
      </c>
      <c r="D32" s="1489"/>
      <c r="E32" s="1099">
        <v>0</v>
      </c>
      <c r="F32" s="1489"/>
      <c r="G32" s="661">
        <v>0</v>
      </c>
      <c r="H32" s="1489"/>
      <c r="I32" s="1489">
        <f t="shared" ref="I32:I34" si="6">ROUND(SUM(G32)-SUM(C32),1)</f>
        <v>0</v>
      </c>
      <c r="J32" s="920"/>
      <c r="K32" s="920">
        <f t="shared" ref="K32:K33" si="7">G32-E32</f>
        <v>0</v>
      </c>
      <c r="L32" s="920"/>
      <c r="M32" s="1182"/>
      <c r="N32" s="1099">
        <v>0</v>
      </c>
      <c r="O32" s="1489"/>
      <c r="P32" s="1099">
        <v>0</v>
      </c>
      <c r="Q32" s="1489"/>
      <c r="R32" s="661">
        <f>'Exhibit G Federal'!AD76</f>
        <v>0</v>
      </c>
      <c r="S32" s="1489"/>
      <c r="T32" s="1489">
        <f t="shared" ref="T32:T34" si="8">ROUND(SUM(R32)-SUM(N32),1)</f>
        <v>0</v>
      </c>
      <c r="U32" s="901"/>
      <c r="V32" s="920">
        <f t="shared" ref="V32:V33" si="9">R32-P32</f>
        <v>0</v>
      </c>
      <c r="W32" s="920"/>
      <c r="X32" s="949"/>
      <c r="Y32" s="920"/>
      <c r="Z32" s="920"/>
      <c r="AA32" s="920"/>
      <c r="AB32" s="920"/>
      <c r="AC32" s="920"/>
      <c r="AD32" s="923"/>
      <c r="AE32" s="924"/>
      <c r="AF32" s="901"/>
      <c r="AG32" s="924"/>
      <c r="AH32" s="901"/>
      <c r="AI32" s="924"/>
      <c r="AJ32" s="925"/>
      <c r="AK32" s="901"/>
      <c r="AL32" s="924"/>
      <c r="AM32" s="924"/>
      <c r="AN32" s="901"/>
      <c r="AO32" s="924"/>
      <c r="AP32" s="901"/>
      <c r="AQ32" s="924"/>
      <c r="AR32" s="908"/>
      <c r="AS32" s="908"/>
      <c r="AT32" s="908"/>
      <c r="AU32" s="908"/>
      <c r="AV32" s="908"/>
      <c r="AW32" s="908"/>
    </row>
    <row r="33" spans="1:49">
      <c r="A33" s="798" t="s">
        <v>41</v>
      </c>
      <c r="B33" s="925" t="s">
        <v>14</v>
      </c>
      <c r="C33" s="1099">
        <v>0</v>
      </c>
      <c r="D33" s="1489"/>
      <c r="E33" s="1099">
        <v>0</v>
      </c>
      <c r="F33" s="624"/>
      <c r="G33" s="640">
        <f>'Exhibit G State'!AD104</f>
        <v>0</v>
      </c>
      <c r="H33" s="624"/>
      <c r="I33" s="1489">
        <f t="shared" si="6"/>
        <v>0</v>
      </c>
      <c r="J33" s="920"/>
      <c r="K33" s="920">
        <f t="shared" si="7"/>
        <v>0</v>
      </c>
      <c r="L33" s="920"/>
      <c r="M33" s="1183"/>
      <c r="N33" s="1099">
        <v>0</v>
      </c>
      <c r="O33" s="1489"/>
      <c r="P33" s="1099">
        <v>0</v>
      </c>
      <c r="Q33" s="624"/>
      <c r="R33" s="661">
        <f>'Exhibit G Federal'!AD77</f>
        <v>0</v>
      </c>
      <c r="S33" s="624"/>
      <c r="T33" s="1489">
        <f t="shared" si="8"/>
        <v>0</v>
      </c>
      <c r="U33" s="925"/>
      <c r="V33" s="920">
        <f t="shared" si="9"/>
        <v>0</v>
      </c>
      <c r="W33" s="920"/>
      <c r="X33" s="949"/>
      <c r="Y33" s="920"/>
      <c r="Z33" s="920"/>
      <c r="AA33" s="920"/>
      <c r="AB33" s="920"/>
      <c r="AC33" s="920"/>
      <c r="AD33" s="923"/>
      <c r="AE33" s="924"/>
      <c r="AF33" s="901"/>
      <c r="AG33" s="924"/>
      <c r="AH33" s="901"/>
      <c r="AI33" s="924"/>
      <c r="AJ33" s="925"/>
      <c r="AK33" s="901"/>
      <c r="AL33" s="901"/>
      <c r="AM33" s="901"/>
      <c r="AN33" s="901"/>
      <c r="AO33" s="901"/>
      <c r="AP33" s="901"/>
      <c r="AQ33" s="901"/>
      <c r="AR33" s="908"/>
      <c r="AS33" s="908"/>
      <c r="AT33" s="908"/>
      <c r="AU33" s="908"/>
      <c r="AV33" s="908"/>
      <c r="AW33" s="908"/>
    </row>
    <row r="34" spans="1:49">
      <c r="A34" s="798" t="s">
        <v>96</v>
      </c>
      <c r="B34" s="925" t="s">
        <v>14</v>
      </c>
      <c r="C34" s="1099">
        <v>1</v>
      </c>
      <c r="D34" s="1489"/>
      <c r="E34" s="1099">
        <v>0</v>
      </c>
      <c r="F34" s="624"/>
      <c r="G34" s="665">
        <f>-'Exhibit G State'!AD113</f>
        <v>4.8000000000000007</v>
      </c>
      <c r="H34" s="624"/>
      <c r="I34" s="1489">
        <f t="shared" si="6"/>
        <v>3.8</v>
      </c>
      <c r="J34" s="920"/>
      <c r="K34" s="920">
        <v>0</v>
      </c>
      <c r="L34" s="920"/>
      <c r="M34" s="1183"/>
      <c r="N34" s="1099">
        <v>352</v>
      </c>
      <c r="O34" s="1489"/>
      <c r="P34" s="1099">
        <v>0</v>
      </c>
      <c r="Q34" s="624"/>
      <c r="R34" s="665">
        <f>-'Exhibit G Federal'!AD86</f>
        <v>378.9</v>
      </c>
      <c r="S34" s="624"/>
      <c r="T34" s="1489">
        <f t="shared" si="8"/>
        <v>26.9</v>
      </c>
      <c r="U34" s="925"/>
      <c r="V34" s="920">
        <v>0</v>
      </c>
      <c r="W34" s="920"/>
      <c r="X34" s="949"/>
      <c r="Y34" s="920"/>
      <c r="Z34" s="921"/>
      <c r="AA34" s="920"/>
      <c r="AB34" s="920"/>
      <c r="AC34" s="920"/>
      <c r="AD34" s="923"/>
      <c r="AE34" s="924"/>
      <c r="AF34" s="901"/>
      <c r="AG34" s="924"/>
      <c r="AH34" s="901"/>
      <c r="AI34" s="924"/>
      <c r="AJ34" s="925"/>
      <c r="AK34" s="901"/>
      <c r="AL34" s="901"/>
      <c r="AM34" s="901"/>
      <c r="AN34" s="901"/>
      <c r="AO34" s="901"/>
      <c r="AP34" s="901"/>
      <c r="AQ34" s="901"/>
      <c r="AR34" s="908"/>
      <c r="AS34" s="908"/>
      <c r="AT34" s="908"/>
      <c r="AU34" s="908"/>
      <c r="AV34" s="908"/>
      <c r="AW34" s="908"/>
    </row>
    <row r="35" spans="1:49" ht="18" customHeight="1">
      <c r="A35" s="167" t="s">
        <v>115</v>
      </c>
      <c r="B35" s="145" t="s">
        <v>14</v>
      </c>
      <c r="C35" s="288">
        <f>ROUND(SUM(C29:C34),1)</f>
        <v>3397</v>
      </c>
      <c r="D35" s="899"/>
      <c r="E35" s="288">
        <f>ROUND(SUM(E29:E34),1)</f>
        <v>0</v>
      </c>
      <c r="F35" s="899"/>
      <c r="G35" s="288">
        <f>ROUND(SUM(G29:G34),1)</f>
        <v>3316.5</v>
      </c>
      <c r="H35" s="899"/>
      <c r="I35" s="288">
        <f>ROUND(SUM(I29:I34),1)</f>
        <v>-80.5</v>
      </c>
      <c r="J35" s="71"/>
      <c r="K35" s="288">
        <f>ROUND(SUM(K29:K34),1)</f>
        <v>0</v>
      </c>
      <c r="L35" s="71"/>
      <c r="M35" s="1186"/>
      <c r="N35" s="288">
        <f>ROUND(SUM(N29:N34),1)</f>
        <v>13322</v>
      </c>
      <c r="O35" s="899"/>
      <c r="P35" s="288">
        <f>ROUND(SUM(P29:P34),1)</f>
        <v>0</v>
      </c>
      <c r="Q35" s="899"/>
      <c r="R35" s="288">
        <f>ROUND(SUM(R29:R34),1)</f>
        <v>13074.6</v>
      </c>
      <c r="S35" s="899"/>
      <c r="T35" s="288">
        <f>ROUND(SUM(T29:T34),1)</f>
        <v>-247.4</v>
      </c>
      <c r="U35" s="145"/>
      <c r="V35" s="288">
        <f>ROUND(SUM(V29:V34),1)</f>
        <v>0</v>
      </c>
      <c r="W35" s="71"/>
      <c r="X35" s="71"/>
      <c r="Y35" s="71"/>
      <c r="Z35" s="71"/>
      <c r="AA35" s="71"/>
      <c r="AB35" s="71"/>
      <c r="AC35" s="71"/>
      <c r="AD35" s="71"/>
      <c r="AE35" s="145"/>
      <c r="AF35" s="145"/>
      <c r="AG35" s="145"/>
      <c r="AH35" s="145"/>
      <c r="AI35" s="145"/>
      <c r="AJ35" s="145"/>
      <c r="AK35" s="145"/>
      <c r="AL35" s="145"/>
      <c r="AM35" s="145"/>
      <c r="AN35" s="145"/>
      <c r="AO35" s="145"/>
      <c r="AP35" s="145"/>
      <c r="AQ35" s="145"/>
      <c r="AR35" s="908"/>
      <c r="AS35" s="908"/>
      <c r="AT35" s="908"/>
      <c r="AU35" s="908"/>
      <c r="AV35" s="908"/>
      <c r="AW35" s="908"/>
    </row>
    <row r="36" spans="1:49">
      <c r="A36" s="669"/>
      <c r="B36" s="901"/>
      <c r="C36" s="667"/>
      <c r="D36" s="624"/>
      <c r="E36" s="667"/>
      <c r="F36" s="624"/>
      <c r="G36" s="667"/>
      <c r="H36" s="624"/>
      <c r="I36" s="920"/>
      <c r="J36" s="920"/>
      <c r="K36" s="920"/>
      <c r="L36" s="920"/>
      <c r="M36" s="1182"/>
      <c r="N36" s="667"/>
      <c r="O36" s="1489"/>
      <c r="P36" s="667"/>
      <c r="Q36" s="624"/>
      <c r="R36" s="667"/>
      <c r="S36" s="624"/>
      <c r="T36" s="920"/>
      <c r="U36" s="901"/>
      <c r="V36" s="920"/>
      <c r="W36" s="920"/>
      <c r="X36" s="920"/>
      <c r="Y36" s="920"/>
      <c r="Z36" s="920"/>
      <c r="AA36" s="920"/>
      <c r="AB36" s="920"/>
      <c r="AC36" s="920"/>
      <c r="AD36" s="920"/>
      <c r="AE36" s="901"/>
      <c r="AF36" s="901"/>
      <c r="AG36" s="901"/>
      <c r="AH36" s="901"/>
      <c r="AI36" s="901"/>
      <c r="AJ36" s="901"/>
      <c r="AK36" s="901"/>
      <c r="AL36" s="901"/>
      <c r="AM36" s="901"/>
      <c r="AN36" s="901"/>
      <c r="AO36" s="901"/>
      <c r="AP36" s="901"/>
      <c r="AQ36" s="901"/>
      <c r="AR36" s="908"/>
      <c r="AS36" s="908"/>
      <c r="AT36" s="908"/>
      <c r="AU36" s="908"/>
      <c r="AV36" s="908"/>
      <c r="AW36" s="908"/>
    </row>
    <row r="37" spans="1:49" ht="15.75">
      <c r="A37" s="26" t="s">
        <v>116</v>
      </c>
      <c r="B37" s="901"/>
      <c r="C37" s="624"/>
      <c r="D37" s="624"/>
      <c r="E37" s="1489"/>
      <c r="F37" s="624"/>
      <c r="G37" s="624"/>
      <c r="H37" s="624"/>
      <c r="I37" s="920"/>
      <c r="J37" s="920"/>
      <c r="K37" s="920"/>
      <c r="L37" s="920"/>
      <c r="M37" s="1182"/>
      <c r="N37" s="1489"/>
      <c r="O37" s="1489"/>
      <c r="P37" s="1489"/>
      <c r="Q37" s="624"/>
      <c r="R37" s="624"/>
      <c r="S37" s="624"/>
      <c r="T37" s="624"/>
      <c r="U37" s="901"/>
      <c r="V37" s="920"/>
      <c r="W37" s="920"/>
      <c r="X37" s="920"/>
      <c r="Y37" s="920"/>
      <c r="Z37" s="920"/>
      <c r="AA37" s="920"/>
      <c r="AB37" s="920"/>
      <c r="AC37" s="920"/>
      <c r="AD37" s="920"/>
      <c r="AE37" s="901"/>
      <c r="AF37" s="901"/>
      <c r="AG37" s="901"/>
      <c r="AH37" s="901"/>
      <c r="AI37" s="901"/>
      <c r="AJ37" s="901"/>
      <c r="AK37" s="901"/>
      <c r="AL37" s="901"/>
      <c r="AM37" s="901"/>
      <c r="AN37" s="901"/>
      <c r="AO37" s="901"/>
      <c r="AP37" s="901"/>
      <c r="AQ37" s="901"/>
      <c r="AR37" s="908"/>
      <c r="AS37" s="908"/>
      <c r="AT37" s="908"/>
      <c r="AU37" s="908"/>
      <c r="AV37" s="908"/>
      <c r="AW37" s="908"/>
    </row>
    <row r="38" spans="1:49" ht="15.75">
      <c r="A38" s="26" t="s">
        <v>117</v>
      </c>
      <c r="B38" s="901"/>
      <c r="C38" s="624"/>
      <c r="D38" s="624"/>
      <c r="E38" s="1489"/>
      <c r="F38" s="624"/>
      <c r="G38" s="624"/>
      <c r="H38" s="624"/>
      <c r="I38" s="920"/>
      <c r="J38" s="920"/>
      <c r="K38" s="920"/>
      <c r="L38" s="920"/>
      <c r="M38" s="1182"/>
      <c r="N38" s="1489"/>
      <c r="O38" s="1489"/>
      <c r="P38" s="1489"/>
      <c r="Q38" s="624"/>
      <c r="R38" s="624"/>
      <c r="S38" s="624"/>
      <c r="T38" s="624"/>
      <c r="U38" s="901"/>
      <c r="V38" s="920"/>
      <c r="W38" s="920"/>
      <c r="X38" s="920"/>
      <c r="Y38" s="920"/>
      <c r="Z38" s="920"/>
      <c r="AA38" s="920"/>
      <c r="AB38" s="920"/>
      <c r="AC38" s="920"/>
      <c r="AD38" s="920"/>
      <c r="AE38" s="901"/>
      <c r="AF38" s="901"/>
      <c r="AG38" s="901"/>
      <c r="AH38" s="901"/>
      <c r="AI38" s="901"/>
      <c r="AJ38" s="901"/>
      <c r="AK38" s="901"/>
      <c r="AL38" s="901"/>
      <c r="AM38" s="901"/>
      <c r="AN38" s="901"/>
      <c r="AO38" s="901"/>
      <c r="AP38" s="901"/>
      <c r="AQ38" s="901"/>
      <c r="AR38" s="908"/>
      <c r="AS38" s="908"/>
      <c r="AT38" s="908"/>
      <c r="AU38" s="908"/>
      <c r="AV38" s="908"/>
      <c r="AW38" s="908"/>
    </row>
    <row r="39" spans="1:49" ht="15.75">
      <c r="A39" s="167" t="s">
        <v>100</v>
      </c>
      <c r="B39" s="898" t="s">
        <v>14</v>
      </c>
      <c r="C39" s="71">
        <f>ROUND(SUM(C26)-SUM(C35),1)</f>
        <v>912</v>
      </c>
      <c r="D39" s="79"/>
      <c r="E39" s="1490">
        <f>ROUND(SUM(E26)-SUM(E35),1)</f>
        <v>0</v>
      </c>
      <c r="F39" s="79"/>
      <c r="G39" s="71">
        <f>ROUND(SUM(G26)-SUM(G35),1)</f>
        <v>1141.5999999999999</v>
      </c>
      <c r="H39" s="79"/>
      <c r="I39" s="71">
        <f>ROUND(SUM(I26)-SUM(I35),1)</f>
        <v>229.6</v>
      </c>
      <c r="J39" s="71"/>
      <c r="K39" s="1490">
        <v>0</v>
      </c>
      <c r="L39" s="71"/>
      <c r="M39" s="1184"/>
      <c r="N39" s="1490">
        <f>ROUND(SUM(N26)-SUM(N35),1)</f>
        <v>-1014</v>
      </c>
      <c r="O39" s="79"/>
      <c r="P39" s="1490">
        <f>ROUND(SUM(P26)-SUM(P35),1)</f>
        <v>0</v>
      </c>
      <c r="Q39" s="79"/>
      <c r="R39" s="71">
        <f>ROUND(SUM(R26)-SUM(R35),1)</f>
        <v>952.2</v>
      </c>
      <c r="S39" s="79"/>
      <c r="T39" s="71">
        <f>ROUND(SUM(T26)-SUM(T35),1)</f>
        <v>1966.2</v>
      </c>
      <c r="U39" s="145"/>
      <c r="V39" s="1490">
        <v>0</v>
      </c>
      <c r="W39" s="385"/>
      <c r="X39" s="71"/>
      <c r="Y39" s="385"/>
      <c r="Z39" s="71"/>
      <c r="AA39" s="385"/>
      <c r="AB39" s="71"/>
      <c r="AC39" s="385"/>
      <c r="AD39" s="71"/>
      <c r="AE39" s="145"/>
      <c r="AF39" s="168"/>
      <c r="AG39" s="145"/>
      <c r="AH39" s="168"/>
      <c r="AI39" s="145"/>
      <c r="AJ39" s="145"/>
      <c r="AK39" s="168"/>
      <c r="AL39" s="145"/>
      <c r="AM39" s="145"/>
      <c r="AN39" s="168"/>
      <c r="AO39" s="145"/>
      <c r="AP39" s="168"/>
      <c r="AQ39" s="145"/>
      <c r="AR39" s="908"/>
      <c r="AS39" s="908"/>
      <c r="AT39" s="908"/>
      <c r="AU39" s="908"/>
      <c r="AV39" s="908"/>
      <c r="AW39" s="908"/>
    </row>
    <row r="40" spans="1:49" ht="15" customHeight="1">
      <c r="C40" s="650"/>
      <c r="D40" s="909"/>
      <c r="E40" s="650"/>
      <c r="F40" s="909"/>
      <c r="G40" s="650"/>
      <c r="H40" s="909"/>
      <c r="I40" s="71"/>
      <c r="J40" s="71"/>
      <c r="K40" s="920"/>
      <c r="L40" s="71"/>
      <c r="M40" s="1184"/>
      <c r="N40" s="650"/>
      <c r="O40" s="909"/>
      <c r="P40" s="650"/>
      <c r="Q40" s="909"/>
      <c r="R40" s="650"/>
      <c r="S40" s="909"/>
      <c r="T40" s="71"/>
      <c r="U40" s="145"/>
      <c r="V40" s="920"/>
      <c r="W40" s="650"/>
      <c r="X40" s="650"/>
      <c r="Y40" s="650"/>
      <c r="Z40" s="650"/>
      <c r="AA40" s="650"/>
      <c r="AB40" s="650"/>
      <c r="AC40" s="650"/>
      <c r="AD40" s="650"/>
      <c r="AR40" s="908"/>
      <c r="AS40" s="908"/>
      <c r="AT40" s="908"/>
      <c r="AU40" s="908"/>
      <c r="AV40" s="908"/>
      <c r="AW40" s="908"/>
    </row>
    <row r="41" spans="1:49" ht="15.75">
      <c r="A41" s="167" t="str">
        <f>+'Exh D-Governmental  '!A49</f>
        <v>Fund Balances (Deficits) at April 1</v>
      </c>
      <c r="B41" s="603" t="s">
        <v>14</v>
      </c>
      <c r="C41" s="109">
        <v>7612</v>
      </c>
      <c r="D41" s="1604"/>
      <c r="E41" s="109">
        <v>0</v>
      </c>
      <c r="F41" s="909"/>
      <c r="G41" s="109">
        <f>'Exhibit G State'!D13</f>
        <v>7612.5</v>
      </c>
      <c r="H41" s="1604"/>
      <c r="I41" s="899">
        <f t="shared" ref="I41" si="10">ROUND(SUM(G41)-SUM(C41),1)</f>
        <v>0.5</v>
      </c>
      <c r="J41" s="76"/>
      <c r="K41" s="1490">
        <v>0</v>
      </c>
      <c r="L41" s="76"/>
      <c r="M41" s="1184"/>
      <c r="N41" s="109">
        <v>14326</v>
      </c>
      <c r="O41" s="1604"/>
      <c r="P41" s="109">
        <v>0</v>
      </c>
      <c r="Q41" s="909"/>
      <c r="R41" s="109">
        <f>'Exhibit G Federal'!D13</f>
        <v>14325.7</v>
      </c>
      <c r="S41" s="1604"/>
      <c r="T41" s="899">
        <f t="shared" ref="T41" si="11">ROUND(SUM(R41)-SUM(N41),1)</f>
        <v>-0.3</v>
      </c>
      <c r="U41" s="145"/>
      <c r="V41" s="1490">
        <v>0</v>
      </c>
      <c r="W41" s="650"/>
      <c r="X41" s="71"/>
      <c r="Y41" s="650"/>
      <c r="Z41" s="71"/>
      <c r="AA41" s="650"/>
      <c r="AB41" s="76"/>
      <c r="AC41" s="650"/>
      <c r="AD41" s="650"/>
      <c r="AR41" s="908"/>
      <c r="AS41" s="908"/>
      <c r="AT41" s="908"/>
      <c r="AU41" s="908"/>
      <c r="AV41" s="908"/>
      <c r="AW41" s="908"/>
    </row>
    <row r="42" spans="1:49" ht="18" customHeight="1" thickBot="1">
      <c r="A42" s="1322" t="str">
        <f>+'Exh D-Governmental  '!A50</f>
        <v>Fund Balances (Deficits) at May 31, 2022</v>
      </c>
      <c r="B42" s="174" t="s">
        <v>14</v>
      </c>
      <c r="C42" s="92">
        <f>ROUND(SUM(C39:C41),1)</f>
        <v>8524</v>
      </c>
      <c r="D42" s="175"/>
      <c r="E42" s="92">
        <f>ROUND(SUM(E39:E41),1)</f>
        <v>0</v>
      </c>
      <c r="F42" s="175"/>
      <c r="G42" s="92">
        <f>ROUND(SUM(G39:G41),1)</f>
        <v>8754.1</v>
      </c>
      <c r="H42" s="175"/>
      <c r="I42" s="92">
        <f>ROUND(SUM(I39:I41),1)</f>
        <v>230.1</v>
      </c>
      <c r="J42" s="213"/>
      <c r="K42" s="92">
        <f>ROUND(SUM(K39:K41),1)</f>
        <v>0</v>
      </c>
      <c r="L42" s="213"/>
      <c r="M42" s="1185"/>
      <c r="N42" s="92">
        <f>ROUND(SUM(N39:N41),1)</f>
        <v>13312</v>
      </c>
      <c r="O42" s="175"/>
      <c r="P42" s="92">
        <f>ROUND(SUM(P39:P41),1)</f>
        <v>0</v>
      </c>
      <c r="Q42" s="175"/>
      <c r="R42" s="92">
        <f>ROUND(SUM(R39:R41),1)</f>
        <v>15277.9</v>
      </c>
      <c r="S42" s="175"/>
      <c r="T42" s="92">
        <f>ROUND(SUM(T39:T41),1)</f>
        <v>1965.9</v>
      </c>
      <c r="U42" s="145"/>
      <c r="V42" s="92">
        <f>ROUND(SUM(V39:V41),1)</f>
        <v>0</v>
      </c>
      <c r="W42" s="952"/>
      <c r="X42" s="213"/>
      <c r="Y42" s="952"/>
      <c r="Z42" s="213"/>
      <c r="AA42" s="952"/>
      <c r="AB42" s="213"/>
      <c r="AR42" s="908"/>
      <c r="AS42" s="908"/>
      <c r="AT42" s="908"/>
      <c r="AU42" s="908"/>
      <c r="AV42" s="908"/>
      <c r="AW42" s="908"/>
    </row>
    <row r="43" spans="1:49" ht="15" customHeight="1" thickTop="1">
      <c r="A43" s="149"/>
      <c r="G43" s="603"/>
      <c r="J43" s="603"/>
      <c r="V43" s="603"/>
      <c r="W43" s="953"/>
      <c r="X43" s="668"/>
      <c r="Y43" s="953"/>
      <c r="Z43" s="953"/>
      <c r="AA43" s="953"/>
      <c r="AB43" s="953"/>
      <c r="AR43" s="908"/>
      <c r="AS43" s="908"/>
      <c r="AT43" s="908"/>
      <c r="AU43" s="908"/>
      <c r="AV43" s="908"/>
      <c r="AW43" s="908"/>
    </row>
    <row r="44" spans="1:49">
      <c r="A44" s="913" t="str">
        <f>'Exh D-Governmental  '!A52</f>
        <v>(*)    Source: 2022-23 Enacted Financial Plan dated May 20, 2022.</v>
      </c>
      <c r="AR44" s="908"/>
      <c r="AS44" s="908"/>
      <c r="AT44" s="908"/>
      <c r="AU44" s="908"/>
      <c r="AV44" s="908"/>
      <c r="AW44" s="908"/>
    </row>
    <row r="45" spans="1:49">
      <c r="A45" s="913" t="s">
        <v>14</v>
      </c>
      <c r="B45" s="908"/>
      <c r="C45" s="926"/>
      <c r="D45" s="908"/>
      <c r="E45" s="908"/>
      <c r="F45" s="908"/>
      <c r="G45" s="908"/>
      <c r="H45" s="908"/>
      <c r="I45" s="908"/>
      <c r="J45" s="908"/>
      <c r="K45" s="908"/>
      <c r="L45" s="670"/>
      <c r="M45" s="670"/>
      <c r="N45" s="908"/>
      <c r="O45" s="908"/>
      <c r="P45" s="908"/>
      <c r="Q45" s="908"/>
      <c r="R45" s="908"/>
      <c r="S45" s="908"/>
      <c r="T45" s="908"/>
      <c r="U45" s="908"/>
      <c r="V45" s="670"/>
      <c r="W45" s="670"/>
      <c r="X45" s="670"/>
      <c r="Y45" s="670"/>
      <c r="Z45" s="670"/>
      <c r="AA45" s="670"/>
      <c r="AB45" s="670"/>
      <c r="AC45" s="908"/>
      <c r="AD45" s="908"/>
      <c r="AE45" s="908"/>
      <c r="AF45" s="908"/>
      <c r="AG45" s="908"/>
      <c r="AH45" s="908"/>
      <c r="AI45" s="908"/>
      <c r="AJ45" s="908"/>
      <c r="AK45" s="908"/>
      <c r="AL45" s="908"/>
      <c r="AM45" s="908"/>
      <c r="AN45" s="908"/>
      <c r="AO45" s="908"/>
      <c r="AP45" s="908"/>
      <c r="AQ45" s="908"/>
      <c r="AR45" s="908"/>
      <c r="AS45" s="908"/>
      <c r="AT45" s="908"/>
      <c r="AU45" s="908"/>
      <c r="AV45" s="908"/>
      <c r="AW45" s="908"/>
    </row>
    <row r="46" spans="1:49">
      <c r="A46" s="884"/>
    </row>
    <row r="47" spans="1:49">
      <c r="A47" s="198"/>
      <c r="B47" s="908"/>
      <c r="C47" s="908"/>
      <c r="D47" s="908"/>
      <c r="E47" s="908"/>
      <c r="F47" s="908"/>
      <c r="G47" s="908"/>
      <c r="H47" s="908"/>
      <c r="I47" s="908"/>
      <c r="J47" s="908"/>
      <c r="K47" s="908"/>
      <c r="L47" s="670"/>
      <c r="M47" s="670"/>
      <c r="N47" s="908"/>
      <c r="O47" s="908"/>
      <c r="P47" s="908"/>
      <c r="Q47" s="908"/>
      <c r="R47" s="908"/>
      <c r="S47" s="908"/>
      <c r="T47" s="908"/>
      <c r="U47" s="908"/>
      <c r="V47" s="670"/>
      <c r="W47" s="670"/>
      <c r="X47" s="670"/>
      <c r="Y47" s="670"/>
      <c r="Z47" s="670"/>
      <c r="AA47" s="670"/>
      <c r="AB47" s="670"/>
      <c r="AC47" s="908"/>
      <c r="AD47" s="908"/>
      <c r="AE47" s="908"/>
      <c r="AF47" s="908"/>
      <c r="AG47" s="908"/>
      <c r="AH47" s="908"/>
      <c r="AI47" s="908"/>
      <c r="AJ47" s="908"/>
      <c r="AK47" s="908"/>
      <c r="AL47" s="908"/>
      <c r="AM47" s="908"/>
      <c r="AN47" s="908"/>
      <c r="AO47" s="908"/>
      <c r="AP47" s="908"/>
      <c r="AQ47" s="908"/>
      <c r="AR47" s="908"/>
      <c r="AS47" s="908"/>
      <c r="AT47" s="908"/>
      <c r="AU47" s="908"/>
      <c r="AV47" s="908"/>
      <c r="AW47" s="908"/>
    </row>
    <row r="48" spans="1:49">
      <c r="A48" s="198"/>
      <c r="B48" s="908"/>
      <c r="C48" s="926"/>
      <c r="D48" s="908"/>
      <c r="E48" s="926"/>
      <c r="F48" s="908"/>
      <c r="G48" s="908"/>
      <c r="H48" s="908"/>
      <c r="I48" s="908"/>
      <c r="J48" s="908"/>
      <c r="K48" s="908"/>
      <c r="L48" s="670"/>
      <c r="M48" s="670"/>
      <c r="N48" s="908"/>
      <c r="O48" s="908"/>
      <c r="P48" s="908"/>
      <c r="Q48" s="908"/>
      <c r="R48" s="908"/>
      <c r="S48" s="908"/>
      <c r="T48" s="908"/>
      <c r="U48" s="908"/>
      <c r="V48" s="670"/>
      <c r="W48" s="670"/>
      <c r="X48" s="670"/>
      <c r="Y48" s="670"/>
      <c r="Z48" s="670"/>
      <c r="AA48" s="670"/>
      <c r="AB48" s="670"/>
      <c r="AC48" s="908"/>
      <c r="AD48" s="908"/>
      <c r="AE48" s="908"/>
      <c r="AF48" s="908"/>
      <c r="AG48" s="908"/>
      <c r="AH48" s="908"/>
      <c r="AI48" s="908"/>
      <c r="AJ48" s="908"/>
      <c r="AK48" s="908"/>
      <c r="AL48" s="908"/>
      <c r="AM48" s="908"/>
      <c r="AN48" s="908"/>
      <c r="AO48" s="908"/>
      <c r="AP48" s="908"/>
      <c r="AQ48" s="908"/>
      <c r="AR48" s="908"/>
      <c r="AS48" s="908"/>
      <c r="AT48" s="908"/>
      <c r="AU48" s="908"/>
      <c r="AV48" s="908"/>
      <c r="AW48" s="908"/>
    </row>
    <row r="49" spans="3:5">
      <c r="C49" s="953"/>
      <c r="E49" s="953"/>
    </row>
    <row r="50" spans="3:5">
      <c r="C50" s="953"/>
      <c r="E50" s="953"/>
    </row>
    <row r="51" spans="3:5">
      <c r="C51" s="953"/>
      <c r="E51" s="953"/>
    </row>
    <row r="52" spans="3:5">
      <c r="C52" s="953"/>
      <c r="E52" s="953"/>
    </row>
    <row r="53" spans="3:5">
      <c r="C53" s="953"/>
      <c r="E53" s="953"/>
    </row>
    <row r="54" spans="3:5">
      <c r="C54" s="953"/>
      <c r="E54" s="953"/>
    </row>
    <row r="55" spans="3:5">
      <c r="C55" s="953"/>
      <c r="E55" s="953"/>
    </row>
    <row r="56" spans="3:5">
      <c r="C56" s="953"/>
      <c r="E56" s="953"/>
    </row>
    <row r="57" spans="3:5">
      <c r="C57" s="953"/>
      <c r="E57" s="953"/>
    </row>
    <row r="58" spans="3:5">
      <c r="C58" s="953"/>
      <c r="E58" s="953"/>
    </row>
    <row r="59" spans="3:5">
      <c r="C59" s="953"/>
      <c r="E59" s="953"/>
    </row>
    <row r="60" spans="3:5">
      <c r="C60" s="953"/>
      <c r="E60" s="953"/>
    </row>
    <row r="61" spans="3:5">
      <c r="C61" s="953"/>
      <c r="E61" s="953"/>
    </row>
    <row r="62" spans="3:5">
      <c r="C62" s="953"/>
      <c r="E62" s="953"/>
    </row>
    <row r="63" spans="3:5">
      <c r="C63" s="953"/>
      <c r="E63" s="953"/>
    </row>
    <row r="64" spans="3:5">
      <c r="C64" s="953"/>
      <c r="E64" s="953"/>
    </row>
    <row r="65" spans="3:5">
      <c r="C65" s="953"/>
      <c r="E65" s="953"/>
    </row>
    <row r="66" spans="3:5">
      <c r="C66" s="953"/>
      <c r="E66" s="953"/>
    </row>
    <row r="67" spans="3:5">
      <c r="C67" s="953"/>
      <c r="E67" s="953"/>
    </row>
    <row r="68" spans="3:5">
      <c r="C68" s="953"/>
      <c r="E68" s="953"/>
    </row>
    <row r="69" spans="3:5">
      <c r="C69" s="953"/>
      <c r="E69" s="953"/>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Normal="70" workbookViewId="0"/>
  </sheetViews>
  <sheetFormatPr defaultColWidth="8.6640625" defaultRowHeight="15"/>
  <cols>
    <col min="1" max="1" width="47.109375" style="908" customWidth="1"/>
    <col min="2" max="2" width="2" style="603" customWidth="1"/>
    <col min="3" max="3" width="15.109375" style="416" customWidth="1"/>
    <col min="4" max="4" width="1.6640625" style="912" customWidth="1"/>
    <col min="5" max="5" width="15.109375" style="416" customWidth="1"/>
    <col min="6" max="6" width="2.6640625" style="912" customWidth="1"/>
    <col min="7" max="7" width="15.109375" style="912" customWidth="1"/>
    <col min="8" max="8" width="2" style="912" customWidth="1"/>
    <col min="9" max="9" width="15.109375" style="912" customWidth="1"/>
    <col min="10" max="10" width="2.109375" style="603" customWidth="1"/>
    <col min="11" max="11" width="15.109375" style="603" customWidth="1"/>
    <col min="12" max="12" width="11.44140625" style="603" customWidth="1"/>
    <col min="13" max="13" width="1.6640625" style="603" customWidth="1"/>
    <col min="14" max="14" width="11.6640625" style="603" customWidth="1"/>
    <col min="15" max="15" width="2.109375" style="603" customWidth="1"/>
    <col min="16" max="16" width="11.44140625" style="603" customWidth="1"/>
    <col min="17" max="17" width="0.5546875" style="603" customWidth="1"/>
    <col min="18" max="18" width="2.109375" style="603" customWidth="1"/>
    <col min="19" max="19" width="10.5546875" style="603" customWidth="1"/>
    <col min="20" max="20" width="11.109375" style="603" customWidth="1"/>
    <col min="21" max="21" width="2.109375" style="603" customWidth="1"/>
    <col min="22" max="22" width="11.109375" style="603" customWidth="1"/>
    <col min="23" max="23" width="2.109375" style="603" customWidth="1"/>
    <col min="24" max="24" width="12.44140625" style="603" customWidth="1"/>
    <col min="25" max="29" width="8.6640625" style="603"/>
    <col min="30" max="30" width="8.6640625" style="912"/>
    <col min="31" max="16384" width="8.6640625" style="908"/>
  </cols>
  <sheetData>
    <row r="1" spans="1:24">
      <c r="A1" s="914" t="s">
        <v>870</v>
      </c>
      <c r="B1" s="180"/>
      <c r="C1" s="410"/>
      <c r="D1" s="181"/>
      <c r="E1" s="410"/>
      <c r="F1" s="181"/>
      <c r="G1" s="181"/>
      <c r="H1" s="181"/>
      <c r="I1" s="181"/>
      <c r="J1" s="181"/>
      <c r="K1" s="180"/>
      <c r="L1" s="180"/>
      <c r="M1" s="180"/>
      <c r="N1" s="180"/>
      <c r="O1" s="180"/>
      <c r="P1" s="180"/>
      <c r="Q1" s="180"/>
      <c r="R1" s="180"/>
      <c r="S1" s="180"/>
      <c r="T1" s="180"/>
      <c r="U1" s="180"/>
      <c r="V1" s="180"/>
      <c r="W1" s="180"/>
      <c r="X1" s="180"/>
    </row>
    <row r="2" spans="1:24" ht="17.100000000000001" customHeight="1">
      <c r="A2" s="182"/>
      <c r="B2" s="183"/>
      <c r="C2" s="410"/>
      <c r="D2" s="181"/>
      <c r="E2" s="410"/>
      <c r="F2" s="181"/>
      <c r="G2" s="184"/>
      <c r="H2" s="181"/>
      <c r="I2" s="181"/>
      <c r="J2" s="181"/>
      <c r="K2" s="180"/>
      <c r="L2" s="180"/>
      <c r="M2" s="180"/>
      <c r="N2" s="180"/>
      <c r="O2" s="180"/>
      <c r="P2" s="180"/>
      <c r="Q2" s="180"/>
      <c r="R2" s="180"/>
      <c r="S2" s="180"/>
      <c r="T2" s="180"/>
      <c r="U2" s="180"/>
      <c r="V2" s="180"/>
      <c r="W2" s="180"/>
      <c r="X2" s="180"/>
    </row>
    <row r="3" spans="1:24" ht="18.75" customHeight="1">
      <c r="A3" s="185" t="s">
        <v>0</v>
      </c>
      <c r="B3" s="142"/>
      <c r="C3" s="413"/>
      <c r="D3" s="137"/>
      <c r="E3" s="413"/>
      <c r="F3" s="137"/>
      <c r="G3" s="137"/>
      <c r="H3" s="137"/>
      <c r="I3" s="799"/>
      <c r="J3" s="137"/>
      <c r="K3" s="799" t="s">
        <v>81</v>
      </c>
      <c r="L3" s="150"/>
      <c r="M3" s="150"/>
      <c r="N3" s="150"/>
      <c r="O3" s="150"/>
      <c r="P3" s="150"/>
      <c r="Q3" s="150"/>
      <c r="R3" s="150"/>
      <c r="S3" s="150"/>
      <c r="T3" s="150"/>
      <c r="U3" s="150"/>
      <c r="V3" s="150"/>
      <c r="W3" s="150"/>
      <c r="X3" s="186"/>
    </row>
    <row r="4" spans="1:24" ht="18.75" customHeight="1">
      <c r="A4" s="185" t="s">
        <v>80</v>
      </c>
      <c r="B4" s="142"/>
      <c r="C4" s="413"/>
      <c r="D4" s="137"/>
      <c r="E4" s="413"/>
      <c r="F4" s="137"/>
      <c r="G4" s="137"/>
      <c r="H4" s="137"/>
      <c r="I4" s="800"/>
      <c r="J4" s="137"/>
      <c r="K4" s="800"/>
      <c r="L4" s="150"/>
      <c r="M4" s="150"/>
      <c r="N4" s="150"/>
      <c r="O4" s="150"/>
      <c r="P4" s="150"/>
      <c r="Q4" s="150"/>
      <c r="R4" s="150"/>
      <c r="S4" s="150"/>
      <c r="T4" s="150"/>
      <c r="U4" s="150"/>
      <c r="V4" s="150"/>
      <c r="W4" s="150"/>
      <c r="X4" s="150"/>
    </row>
    <row r="5" spans="1:24" ht="18.75" customHeight="1">
      <c r="A5" s="3943" t="str">
        <f>'Exh D-Governmental  '!A5:E5</f>
        <v>FISCAL YEAR 2022-2023</v>
      </c>
      <c r="B5" s="3944"/>
      <c r="C5" s="3944"/>
      <c r="D5" s="3944"/>
      <c r="E5" s="3944"/>
      <c r="F5" s="137"/>
      <c r="G5" s="137"/>
      <c r="H5" s="137"/>
      <c r="I5" s="137"/>
      <c r="J5" s="137"/>
      <c r="K5" s="150"/>
      <c r="L5" s="150"/>
      <c r="M5" s="150"/>
      <c r="N5" s="150"/>
      <c r="O5" s="150"/>
      <c r="P5" s="150"/>
      <c r="Q5" s="150"/>
      <c r="R5" s="150"/>
      <c r="S5" s="150"/>
      <c r="T5" s="150"/>
      <c r="U5" s="150"/>
      <c r="V5" s="150"/>
      <c r="W5" s="150"/>
      <c r="X5" s="150"/>
    </row>
    <row r="6" spans="1:24" ht="18.75" customHeight="1">
      <c r="A6" s="1437" t="str">
        <f>'Exh D-Governmental  '!A6</f>
        <v xml:space="preserve">FOR TWO MONTHS ENDED MAY 31, 2022    </v>
      </c>
      <c r="B6" s="141"/>
      <c r="C6" s="413"/>
      <c r="D6" s="137"/>
      <c r="E6" s="413"/>
      <c r="F6" s="137"/>
      <c r="G6" s="137"/>
      <c r="H6" s="137"/>
      <c r="I6" s="137"/>
      <c r="J6" s="137"/>
      <c r="K6" s="150"/>
      <c r="L6" s="150"/>
      <c r="M6" s="150"/>
      <c r="N6" s="150"/>
      <c r="O6" s="150"/>
      <c r="P6" s="150"/>
      <c r="Q6" s="150"/>
      <c r="R6" s="150"/>
      <c r="S6" s="150"/>
      <c r="T6" s="150"/>
      <c r="U6" s="150"/>
      <c r="V6" s="150"/>
      <c r="W6" s="150"/>
      <c r="X6" s="150"/>
    </row>
    <row r="7" spans="1:24" ht="18.75" customHeight="1">
      <c r="A7" s="185" t="s">
        <v>1251</v>
      </c>
      <c r="B7" s="142"/>
      <c r="C7" s="413"/>
      <c r="D7" s="137"/>
      <c r="E7" s="413"/>
      <c r="F7" s="137"/>
      <c r="G7" s="137"/>
      <c r="H7" s="137"/>
      <c r="I7" s="137"/>
      <c r="J7" s="137"/>
      <c r="K7" s="150"/>
      <c r="L7" s="150"/>
      <c r="M7" s="150"/>
      <c r="N7" s="150"/>
      <c r="O7" s="150"/>
      <c r="P7" s="150"/>
      <c r="Q7" s="150"/>
      <c r="R7" s="150"/>
      <c r="S7" s="150"/>
      <c r="T7" s="150"/>
      <c r="U7" s="150"/>
      <c r="V7" s="150"/>
      <c r="W7" s="150"/>
      <c r="X7" s="150"/>
    </row>
    <row r="8" spans="1:24" ht="15" customHeight="1">
      <c r="A8" s="187"/>
      <c r="B8" s="141"/>
      <c r="C8" s="413"/>
      <c r="D8" s="137"/>
      <c r="E8" s="413"/>
      <c r="F8" s="137"/>
      <c r="G8" s="137"/>
      <c r="H8" s="137"/>
      <c r="I8" s="137"/>
      <c r="J8" s="137"/>
      <c r="K8" s="150"/>
      <c r="L8" s="150"/>
      <c r="M8" s="150"/>
      <c r="N8" s="150"/>
      <c r="O8" s="150"/>
      <c r="P8" s="150"/>
      <c r="Q8" s="150"/>
      <c r="R8" s="150"/>
      <c r="S8" s="150"/>
      <c r="T8" s="150"/>
      <c r="U8" s="150"/>
      <c r="V8" s="150"/>
      <c r="W8" s="150"/>
      <c r="X8" s="150"/>
    </row>
    <row r="9" spans="1:24">
      <c r="A9" s="144"/>
      <c r="B9" s="150"/>
      <c r="C9" s="413"/>
      <c r="D9" s="137"/>
      <c r="E9" s="413"/>
      <c r="F9" s="137"/>
      <c r="G9" s="137"/>
      <c r="H9" s="137"/>
      <c r="I9" s="137"/>
      <c r="J9" s="137"/>
      <c r="K9" s="150"/>
      <c r="L9" s="150"/>
      <c r="M9" s="150"/>
      <c r="N9" s="150"/>
      <c r="O9" s="150"/>
      <c r="P9" s="150"/>
      <c r="Q9" s="150"/>
      <c r="R9" s="150"/>
      <c r="S9" s="150"/>
      <c r="T9" s="150"/>
      <c r="U9" s="150"/>
      <c r="V9" s="150"/>
      <c r="W9" s="150"/>
      <c r="X9" s="150"/>
    </row>
    <row r="10" spans="1:24">
      <c r="A10" s="144"/>
      <c r="B10" s="150"/>
      <c r="C10" s="412"/>
      <c r="D10" s="142"/>
      <c r="E10" s="412"/>
      <c r="F10" s="142"/>
      <c r="G10" s="142"/>
      <c r="H10" s="142"/>
      <c r="I10" s="142"/>
      <c r="J10" s="137"/>
      <c r="K10" s="150"/>
      <c r="L10" s="150"/>
      <c r="M10" s="150"/>
      <c r="N10" s="150"/>
      <c r="O10" s="150"/>
      <c r="P10" s="150"/>
      <c r="Q10" s="150"/>
      <c r="R10" s="150"/>
      <c r="S10" s="150"/>
      <c r="T10" s="150"/>
      <c r="U10" s="150"/>
      <c r="V10" s="150"/>
      <c r="W10" s="150"/>
      <c r="X10" s="150"/>
    </row>
    <row r="11" spans="1:24" ht="15.75">
      <c r="A11" s="669"/>
      <c r="C11" s="3945" t="s">
        <v>1029</v>
      </c>
      <c r="D11" s="3945"/>
      <c r="E11" s="3945"/>
      <c r="F11" s="3945"/>
      <c r="G11" s="3945"/>
      <c r="H11" s="3945"/>
      <c r="I11" s="3945"/>
      <c r="J11" s="1171"/>
      <c r="K11" s="1172"/>
      <c r="L11" s="188"/>
      <c r="M11" s="188"/>
      <c r="N11" s="188"/>
      <c r="O11" s="188"/>
      <c r="P11" s="188"/>
      <c r="Q11" s="188"/>
      <c r="R11" s="145"/>
      <c r="S11" s="188"/>
      <c r="T11" s="189"/>
      <c r="U11" s="188"/>
      <c r="V11" s="188"/>
      <c r="W11" s="188"/>
      <c r="X11" s="188"/>
    </row>
    <row r="12" spans="1:24" ht="15.75">
      <c r="A12" s="669"/>
      <c r="C12" s="417"/>
      <c r="D12" s="190"/>
      <c r="E12" s="417"/>
      <c r="F12" s="190"/>
      <c r="G12" s="191"/>
      <c r="H12" s="190"/>
      <c r="I12" s="190" t="s">
        <v>82</v>
      </c>
      <c r="J12" s="145"/>
      <c r="K12" s="190" t="s">
        <v>82</v>
      </c>
      <c r="L12" s="188"/>
      <c r="M12" s="188"/>
      <c r="N12" s="188"/>
      <c r="O12" s="188"/>
      <c r="P12" s="188"/>
      <c r="Q12" s="188"/>
      <c r="R12" s="145"/>
      <c r="S12" s="188"/>
      <c r="T12" s="189"/>
      <c r="U12" s="188"/>
      <c r="V12" s="188"/>
      <c r="W12" s="188"/>
      <c r="X12" s="188"/>
    </row>
    <row r="13" spans="1:24" ht="15.75">
      <c r="A13" s="669"/>
      <c r="B13" s="145"/>
      <c r="C13" s="415"/>
      <c r="D13" s="192"/>
      <c r="E13" s="415"/>
      <c r="F13" s="192"/>
      <c r="G13" s="192"/>
      <c r="H13" s="192"/>
      <c r="I13" s="193" t="s">
        <v>784</v>
      </c>
      <c r="J13" s="145"/>
      <c r="K13" s="193" t="s">
        <v>784</v>
      </c>
      <c r="L13" s="145"/>
      <c r="M13" s="145"/>
      <c r="N13" s="145"/>
      <c r="O13" s="145"/>
      <c r="P13" s="194"/>
      <c r="Q13" s="195"/>
      <c r="R13" s="145"/>
      <c r="S13" s="145"/>
      <c r="T13" s="145"/>
      <c r="U13" s="145"/>
      <c r="V13" s="145"/>
      <c r="W13" s="145"/>
      <c r="X13" s="194"/>
    </row>
    <row r="14" spans="1:24" ht="15.75">
      <c r="A14" s="669"/>
      <c r="B14" s="196"/>
      <c r="C14" s="148" t="s">
        <v>977</v>
      </c>
      <c r="D14" s="146"/>
      <c r="E14" s="147" t="s">
        <v>978</v>
      </c>
      <c r="F14" s="146"/>
      <c r="G14" s="146"/>
      <c r="H14" s="146"/>
      <c r="I14" s="147" t="s">
        <v>83</v>
      </c>
      <c r="J14" s="145"/>
      <c r="K14" s="147" t="s">
        <v>83</v>
      </c>
      <c r="L14" s="195"/>
      <c r="M14" s="145"/>
      <c r="N14" s="145"/>
      <c r="O14" s="145"/>
      <c r="P14" s="194"/>
      <c r="Q14" s="195"/>
      <c r="R14" s="145"/>
      <c r="S14" s="194"/>
      <c r="T14" s="195"/>
      <c r="U14" s="145"/>
      <c r="V14" s="145"/>
      <c r="W14" s="145"/>
      <c r="X14" s="194"/>
    </row>
    <row r="15" spans="1:24" ht="15.75">
      <c r="A15" s="669"/>
      <c r="B15" s="196"/>
      <c r="C15" s="147" t="s">
        <v>1013</v>
      </c>
      <c r="D15" s="146"/>
      <c r="E15" s="147" t="s">
        <v>1013</v>
      </c>
      <c r="F15" s="146"/>
      <c r="G15" s="146"/>
      <c r="H15" s="146"/>
      <c r="I15" s="147" t="s">
        <v>977</v>
      </c>
      <c r="J15" s="145"/>
      <c r="K15" s="147" t="s">
        <v>978</v>
      </c>
      <c r="L15" s="195"/>
      <c r="M15" s="145"/>
      <c r="N15" s="145"/>
      <c r="O15" s="145"/>
      <c r="P15" s="194"/>
      <c r="Q15" s="195"/>
      <c r="R15" s="145"/>
      <c r="S15" s="194"/>
      <c r="T15" s="195"/>
      <c r="U15" s="145"/>
      <c r="V15" s="145"/>
      <c r="W15" s="145"/>
      <c r="X15" s="194"/>
    </row>
    <row r="16" spans="1:24" ht="15.75">
      <c r="A16" s="669"/>
      <c r="B16" s="195"/>
      <c r="C16" s="147" t="s">
        <v>1014</v>
      </c>
      <c r="D16" s="146"/>
      <c r="E16" s="147" t="s">
        <v>1485</v>
      </c>
      <c r="F16" s="146"/>
      <c r="G16" s="148" t="s">
        <v>82</v>
      </c>
      <c r="H16" s="146"/>
      <c r="I16" s="147" t="s">
        <v>84</v>
      </c>
      <c r="J16" s="145"/>
      <c r="K16" s="147" t="s">
        <v>84</v>
      </c>
      <c r="L16" s="195"/>
      <c r="M16" s="145"/>
      <c r="N16" s="194"/>
      <c r="O16" s="145"/>
      <c r="P16" s="194"/>
      <c r="Q16" s="195"/>
      <c r="R16" s="145"/>
      <c r="S16" s="195"/>
      <c r="T16" s="195"/>
      <c r="U16" s="145"/>
      <c r="V16" s="194"/>
      <c r="W16" s="145"/>
      <c r="X16" s="194"/>
    </row>
    <row r="17" spans="1:24">
      <c r="A17" s="149"/>
      <c r="B17" s="150"/>
      <c r="C17" s="151"/>
      <c r="D17" s="137"/>
      <c r="E17" s="151"/>
      <c r="F17" s="137"/>
      <c r="G17" s="151"/>
      <c r="H17" s="137"/>
      <c r="I17" s="151"/>
      <c r="J17" s="150"/>
      <c r="K17" s="151"/>
      <c r="L17" s="150"/>
      <c r="M17" s="150"/>
      <c r="N17" s="150"/>
      <c r="O17" s="150"/>
      <c r="P17" s="150"/>
      <c r="Q17" s="150"/>
      <c r="R17" s="150"/>
      <c r="S17" s="150"/>
      <c r="T17" s="150"/>
      <c r="U17" s="150"/>
      <c r="V17" s="150"/>
      <c r="W17" s="150"/>
      <c r="X17" s="150"/>
    </row>
    <row r="18" spans="1:24" ht="15.75">
      <c r="A18" s="26" t="s">
        <v>13</v>
      </c>
      <c r="B18" s="901"/>
      <c r="C18" s="638"/>
      <c r="D18" s="638"/>
      <c r="E18" s="638"/>
      <c r="F18" s="638"/>
      <c r="G18" s="638"/>
      <c r="H18" s="638"/>
      <c r="I18" s="638"/>
      <c r="J18" s="901"/>
      <c r="K18" s="638"/>
      <c r="L18" s="901"/>
      <c r="M18" s="901"/>
      <c r="N18" s="901"/>
      <c r="O18" s="901"/>
      <c r="P18" s="901"/>
      <c r="Q18" s="901"/>
      <c r="R18" s="901"/>
      <c r="S18" s="901"/>
      <c r="T18" s="901"/>
      <c r="U18" s="901"/>
      <c r="V18" s="901"/>
      <c r="W18" s="901"/>
      <c r="X18" s="901"/>
    </row>
    <row r="19" spans="1:24">
      <c r="A19" s="798" t="s">
        <v>85</v>
      </c>
      <c r="B19" s="902"/>
      <c r="C19" s="638"/>
      <c r="D19" s="638"/>
      <c r="E19" s="638"/>
      <c r="F19" s="638"/>
      <c r="G19" s="638"/>
      <c r="H19" s="902"/>
      <c r="I19" s="638"/>
      <c r="J19" s="901"/>
      <c r="K19" s="638"/>
      <c r="L19" s="901"/>
      <c r="M19" s="901"/>
      <c r="N19" s="901"/>
      <c r="O19" s="901"/>
      <c r="P19" s="901"/>
      <c r="Q19" s="901"/>
      <c r="R19" s="901"/>
      <c r="S19" s="901"/>
      <c r="T19" s="901"/>
      <c r="U19" s="901"/>
      <c r="V19" s="901"/>
      <c r="W19" s="901"/>
      <c r="X19" s="901"/>
    </row>
    <row r="20" spans="1:24">
      <c r="A20" s="798" t="s">
        <v>86</v>
      </c>
      <c r="B20" s="902" t="s">
        <v>14</v>
      </c>
      <c r="C20" s="1998">
        <v>8270</v>
      </c>
      <c r="D20" s="641"/>
      <c r="E20" s="1998">
        <v>0</v>
      </c>
      <c r="F20" s="641"/>
      <c r="G20" s="989">
        <f>+'Exhibit H'!AA16</f>
        <v>8722.9</v>
      </c>
      <c r="H20" s="641"/>
      <c r="I20" s="639">
        <f t="shared" ref="I20:I26" si="0">ROUND(SUM(G20)-SUM(C20),1)</f>
        <v>452.9</v>
      </c>
      <c r="J20" s="901"/>
      <c r="K20" s="639">
        <v>0</v>
      </c>
      <c r="L20" s="948"/>
      <c r="M20" s="901"/>
      <c r="N20" s="901"/>
      <c r="O20" s="901"/>
      <c r="P20" s="901"/>
      <c r="Q20" s="901"/>
      <c r="R20" s="901"/>
      <c r="S20" s="901"/>
      <c r="T20" s="901"/>
      <c r="U20" s="901"/>
      <c r="V20" s="901"/>
      <c r="W20" s="901"/>
      <c r="X20" s="901"/>
    </row>
    <row r="21" spans="1:24">
      <c r="A21" s="798" t="s">
        <v>87</v>
      </c>
      <c r="B21" s="901" t="s">
        <v>14</v>
      </c>
      <c r="C21" s="1099">
        <v>1897</v>
      </c>
      <c r="D21" s="1489"/>
      <c r="E21" s="1099">
        <v>0</v>
      </c>
      <c r="F21" s="624"/>
      <c r="G21" s="872">
        <f>+'Exhibit H'!AA20</f>
        <v>1913.8</v>
      </c>
      <c r="H21" s="624"/>
      <c r="I21" s="1489">
        <f t="shared" si="0"/>
        <v>16.8</v>
      </c>
      <c r="J21" s="920"/>
      <c r="K21" s="1489">
        <v>0</v>
      </c>
      <c r="L21" s="948"/>
      <c r="M21" s="901"/>
      <c r="N21" s="901"/>
      <c r="O21" s="901"/>
      <c r="P21" s="901"/>
      <c r="Q21" s="901"/>
      <c r="R21" s="901"/>
      <c r="S21" s="901"/>
      <c r="T21" s="901"/>
      <c r="U21" s="901"/>
      <c r="V21" s="901"/>
      <c r="W21" s="901"/>
      <c r="X21" s="901"/>
    </row>
    <row r="22" spans="1:24">
      <c r="A22" s="798" t="s">
        <v>88</v>
      </c>
      <c r="B22" s="901"/>
      <c r="C22" s="1099">
        <v>118</v>
      </c>
      <c r="D22" s="1489"/>
      <c r="E22" s="1099">
        <v>0</v>
      </c>
      <c r="F22" s="1489"/>
      <c r="G22" s="872">
        <f>'Exhibit H'!AA23</f>
        <v>66.400000000000006</v>
      </c>
      <c r="H22" s="1489"/>
      <c r="I22" s="1489">
        <f t="shared" si="0"/>
        <v>-51.6</v>
      </c>
      <c r="J22" s="920"/>
      <c r="K22" s="1489">
        <v>0</v>
      </c>
      <c r="L22" s="948"/>
      <c r="M22" s="901"/>
      <c r="N22" s="901"/>
      <c r="O22" s="901"/>
      <c r="P22" s="901"/>
      <c r="Q22" s="901"/>
      <c r="R22" s="901"/>
      <c r="S22" s="901"/>
      <c r="T22" s="901"/>
      <c r="U22" s="901"/>
      <c r="V22" s="901"/>
      <c r="W22" s="901"/>
      <c r="X22" s="901"/>
    </row>
    <row r="23" spans="1:24">
      <c r="A23" s="798" t="s">
        <v>89</v>
      </c>
      <c r="B23" s="901" t="s">
        <v>14</v>
      </c>
      <c r="C23" s="1099">
        <v>281</v>
      </c>
      <c r="D23" s="1489"/>
      <c r="E23" s="1099">
        <v>0</v>
      </c>
      <c r="F23" s="624"/>
      <c r="G23" s="872">
        <f>+'Exhibit H'!AA27</f>
        <v>282.7</v>
      </c>
      <c r="H23" s="624"/>
      <c r="I23" s="1489">
        <f t="shared" si="0"/>
        <v>1.7</v>
      </c>
      <c r="J23" s="920"/>
      <c r="K23" s="1489">
        <v>0</v>
      </c>
      <c r="L23" s="948"/>
      <c r="M23" s="901"/>
      <c r="N23" s="901"/>
      <c r="O23" s="901"/>
      <c r="P23" s="901"/>
      <c r="Q23" s="901"/>
      <c r="R23" s="901"/>
      <c r="S23" s="901"/>
      <c r="T23" s="901"/>
      <c r="U23" s="901"/>
      <c r="V23" s="901"/>
      <c r="W23" s="901"/>
      <c r="X23" s="901"/>
    </row>
    <row r="24" spans="1:24" ht="15" customHeight="1">
      <c r="A24" s="798" t="s">
        <v>19</v>
      </c>
      <c r="B24" s="901" t="s">
        <v>14</v>
      </c>
      <c r="C24" s="1099">
        <v>85</v>
      </c>
      <c r="D24" s="1489"/>
      <c r="E24" s="1099">
        <v>0</v>
      </c>
      <c r="F24" s="624"/>
      <c r="G24" s="872">
        <f>+'Exhibit H'!AA50</f>
        <v>84.5</v>
      </c>
      <c r="H24" s="624"/>
      <c r="I24" s="1489">
        <f t="shared" si="0"/>
        <v>-0.5</v>
      </c>
      <c r="J24" s="920"/>
      <c r="K24" s="1489">
        <v>0</v>
      </c>
      <c r="L24" s="948"/>
      <c r="M24" s="901"/>
      <c r="N24" s="901"/>
      <c r="O24" s="901"/>
      <c r="P24" s="901"/>
      <c r="Q24" s="901"/>
      <c r="R24" s="901"/>
      <c r="S24" s="901"/>
      <c r="T24" s="901"/>
      <c r="U24" s="901"/>
      <c r="V24" s="901"/>
      <c r="W24" s="901"/>
      <c r="X24" s="901"/>
    </row>
    <row r="25" spans="1:24" ht="15" customHeight="1">
      <c r="A25" s="798" t="s">
        <v>20</v>
      </c>
      <c r="B25" s="901" t="s">
        <v>14</v>
      </c>
      <c r="C25" s="1099">
        <v>0</v>
      </c>
      <c r="D25" s="1489"/>
      <c r="E25" s="1099">
        <v>0</v>
      </c>
      <c r="F25" s="624"/>
      <c r="G25" s="872">
        <f>+'Exhibit H'!AA52</f>
        <v>0</v>
      </c>
      <c r="H25" s="624"/>
      <c r="I25" s="1489">
        <f t="shared" si="0"/>
        <v>0</v>
      </c>
      <c r="J25" s="920"/>
      <c r="K25" s="1489">
        <f t="shared" ref="K25" si="1">G25-E25</f>
        <v>0</v>
      </c>
      <c r="L25" s="948"/>
      <c r="M25" s="901"/>
      <c r="N25" s="924"/>
      <c r="O25" s="901"/>
      <c r="P25" s="924"/>
      <c r="Q25" s="925"/>
      <c r="R25" s="901"/>
      <c r="S25" s="901"/>
      <c r="T25" s="901"/>
      <c r="U25" s="901"/>
      <c r="V25" s="901"/>
      <c r="W25" s="901"/>
      <c r="X25" s="901"/>
    </row>
    <row r="26" spans="1:24">
      <c r="A26" s="798" t="s">
        <v>46</v>
      </c>
      <c r="B26" s="925" t="s">
        <v>14</v>
      </c>
      <c r="C26" s="1099">
        <v>457</v>
      </c>
      <c r="D26" s="1489"/>
      <c r="E26" s="1099">
        <v>0</v>
      </c>
      <c r="F26" s="624"/>
      <c r="G26" s="1447">
        <f>+'Exhibit H'!AA68</f>
        <v>373.59999999999997</v>
      </c>
      <c r="H26" s="624"/>
      <c r="I26" s="1489">
        <f t="shared" si="0"/>
        <v>-83.4</v>
      </c>
      <c r="J26" s="920"/>
      <c r="K26" s="1489">
        <v>0</v>
      </c>
      <c r="L26" s="948"/>
      <c r="M26" s="901"/>
      <c r="N26" s="924"/>
      <c r="O26" s="901"/>
      <c r="P26" s="924"/>
      <c r="Q26" s="925"/>
      <c r="R26" s="901"/>
      <c r="S26" s="901"/>
      <c r="T26" s="901"/>
      <c r="U26" s="901"/>
      <c r="V26" s="901"/>
      <c r="W26" s="901"/>
      <c r="X26" s="901"/>
    </row>
    <row r="27" spans="1:24" ht="18" customHeight="1">
      <c r="A27" s="940" t="s">
        <v>106</v>
      </c>
      <c r="B27" s="145" t="s">
        <v>14</v>
      </c>
      <c r="C27" s="209">
        <f>ROUND(SUM(C20:C26),1)</f>
        <v>11108</v>
      </c>
      <c r="D27" s="106"/>
      <c r="E27" s="209">
        <f>ROUND(SUM(E20:E26),1)</f>
        <v>0</v>
      </c>
      <c r="F27" s="899"/>
      <c r="G27" s="1448">
        <f>ROUND(SUM(G20:G26),1)</f>
        <v>11443.9</v>
      </c>
      <c r="H27" s="899"/>
      <c r="I27" s="209">
        <f>ROUND(SUM(I20:I26),1)</f>
        <v>335.9</v>
      </c>
      <c r="J27" s="71"/>
      <c r="K27" s="209">
        <f>ROUND(SUM(K20:K26),1)</f>
        <v>0</v>
      </c>
      <c r="L27" s="948"/>
      <c r="M27" s="145"/>
      <c r="N27" s="145"/>
      <c r="O27" s="145"/>
      <c r="P27" s="145"/>
      <c r="Q27" s="145"/>
      <c r="R27" s="145"/>
      <c r="S27" s="145"/>
      <c r="T27" s="145"/>
      <c r="U27" s="145"/>
      <c r="V27" s="145"/>
      <c r="W27" s="145"/>
      <c r="X27" s="145"/>
    </row>
    <row r="28" spans="1:24">
      <c r="A28" s="669"/>
      <c r="B28" s="901"/>
      <c r="C28" s="667"/>
      <c r="D28" s="872"/>
      <c r="E28" s="667"/>
      <c r="F28" s="624"/>
      <c r="G28" s="1019"/>
      <c r="H28" s="624"/>
      <c r="I28" s="667"/>
      <c r="J28" s="920"/>
      <c r="K28" s="667"/>
      <c r="L28" s="948"/>
      <c r="M28" s="901"/>
      <c r="N28" s="901"/>
      <c r="O28" s="901"/>
      <c r="P28" s="901"/>
      <c r="Q28" s="901"/>
      <c r="R28" s="901"/>
      <c r="S28" s="901"/>
      <c r="T28" s="901"/>
      <c r="U28" s="901"/>
      <c r="V28" s="901"/>
      <c r="W28" s="901"/>
      <c r="X28" s="901"/>
    </row>
    <row r="29" spans="1:24" ht="15.75">
      <c r="A29" s="26" t="s">
        <v>22</v>
      </c>
      <c r="B29" s="901"/>
      <c r="C29" s="624"/>
      <c r="D29" s="872"/>
      <c r="E29" s="1489"/>
      <c r="F29" s="624"/>
      <c r="G29" s="872"/>
      <c r="H29" s="624"/>
      <c r="I29" s="624"/>
      <c r="J29" s="920"/>
      <c r="K29" s="624"/>
      <c r="L29" s="948"/>
      <c r="M29" s="901"/>
      <c r="N29" s="901"/>
      <c r="O29" s="901"/>
      <c r="P29" s="901"/>
      <c r="Q29" s="901"/>
      <c r="R29" s="901"/>
      <c r="S29" s="901"/>
      <c r="T29" s="901"/>
      <c r="U29" s="901"/>
      <c r="V29" s="901"/>
      <c r="W29" s="901"/>
      <c r="X29" s="901"/>
    </row>
    <row r="30" spans="1:24">
      <c r="A30" s="798" t="s">
        <v>92</v>
      </c>
      <c r="B30" s="922" t="s">
        <v>14</v>
      </c>
      <c r="C30" s="1099">
        <v>2</v>
      </c>
      <c r="D30" s="1489"/>
      <c r="E30" s="1099">
        <v>0</v>
      </c>
      <c r="F30" s="624"/>
      <c r="G30" s="663">
        <f>+'Exhibit H'!AA58</f>
        <v>1.5</v>
      </c>
      <c r="H30" s="624"/>
      <c r="I30" s="1489">
        <f>ROUND(SUM(G30)-SUM(C30),1)</f>
        <v>-0.5</v>
      </c>
      <c r="J30" s="920"/>
      <c r="K30" s="1489">
        <v>0</v>
      </c>
      <c r="L30" s="948"/>
      <c r="M30" s="901"/>
      <c r="N30" s="922"/>
      <c r="O30" s="901"/>
      <c r="P30" s="924"/>
      <c r="Q30" s="901"/>
      <c r="R30" s="901"/>
      <c r="S30" s="924"/>
      <c r="T30" s="924"/>
      <c r="U30" s="901"/>
      <c r="V30" s="924"/>
      <c r="W30" s="901"/>
      <c r="X30" s="924"/>
    </row>
    <row r="31" spans="1:24" ht="14.25" customHeight="1">
      <c r="A31" s="798" t="s">
        <v>93</v>
      </c>
      <c r="B31" s="925" t="s">
        <v>14</v>
      </c>
      <c r="C31" s="1099">
        <v>145</v>
      </c>
      <c r="D31" s="1489"/>
      <c r="E31" s="1099">
        <v>0</v>
      </c>
      <c r="F31" s="624"/>
      <c r="G31" s="1099">
        <f>+'Exhibit H'!AA60</f>
        <v>145.30000000000001</v>
      </c>
      <c r="H31" s="624"/>
      <c r="I31" s="1489">
        <f t="shared" ref="I31:I32" si="2">ROUND(SUM(G31)-SUM(C31),1)</f>
        <v>0.3</v>
      </c>
      <c r="J31" s="920"/>
      <c r="K31" s="1489">
        <v>0</v>
      </c>
      <c r="L31" s="948"/>
      <c r="M31" s="901"/>
      <c r="N31" s="922"/>
      <c r="O31" s="901"/>
      <c r="P31" s="901"/>
      <c r="Q31" s="901"/>
      <c r="R31" s="901"/>
      <c r="S31" s="924"/>
      <c r="T31" s="924"/>
      <c r="U31" s="901"/>
      <c r="V31" s="924"/>
      <c r="W31" s="901"/>
      <c r="X31" s="924"/>
    </row>
    <row r="32" spans="1:24">
      <c r="A32" s="798" t="s">
        <v>96</v>
      </c>
      <c r="B32" s="925" t="s">
        <v>14</v>
      </c>
      <c r="C32" s="1099">
        <v>10552</v>
      </c>
      <c r="D32" s="1489"/>
      <c r="E32" s="1099">
        <v>0</v>
      </c>
      <c r="F32" s="624"/>
      <c r="G32" s="663">
        <f>-'Exhibit H'!AA69</f>
        <v>11078.9</v>
      </c>
      <c r="H32" s="624"/>
      <c r="I32" s="1489">
        <f t="shared" si="2"/>
        <v>526.9</v>
      </c>
      <c r="J32" s="920"/>
      <c r="K32" s="1489">
        <v>0</v>
      </c>
      <c r="L32" s="948"/>
      <c r="M32" s="901"/>
      <c r="N32" s="924"/>
      <c r="O32" s="901"/>
      <c r="P32" s="924"/>
      <c r="Q32" s="925"/>
      <c r="R32" s="901"/>
      <c r="S32" s="901"/>
      <c r="T32" s="901"/>
      <c r="U32" s="901"/>
      <c r="V32" s="901"/>
      <c r="W32" s="901"/>
      <c r="X32" s="901"/>
    </row>
    <row r="33" spans="1:24" ht="18" customHeight="1">
      <c r="A33" s="940" t="s">
        <v>115</v>
      </c>
      <c r="B33" s="145" t="s">
        <v>14</v>
      </c>
      <c r="C33" s="209">
        <f>ROUND(SUM(C30:C32),1)</f>
        <v>10699</v>
      </c>
      <c r="D33" s="106"/>
      <c r="E33" s="209">
        <f>ROUND(SUM(E30:E32),1)</f>
        <v>0</v>
      </c>
      <c r="F33" s="899"/>
      <c r="G33" s="1448">
        <f>ROUND(SUM(G30:G32),1)</f>
        <v>11225.7</v>
      </c>
      <c r="H33" s="899"/>
      <c r="I33" s="209">
        <f>ROUND(SUM(I30:I32),1)</f>
        <v>526.70000000000005</v>
      </c>
      <c r="J33" s="71"/>
      <c r="K33" s="209">
        <f>ROUND(SUM(K30:K32),1)</f>
        <v>0</v>
      </c>
      <c r="L33" s="948"/>
      <c r="M33" s="145"/>
      <c r="N33" s="145"/>
      <c r="O33" s="145"/>
      <c r="P33" s="145"/>
      <c r="Q33" s="145"/>
      <c r="R33" s="145"/>
      <c r="S33" s="145"/>
      <c r="T33" s="145"/>
      <c r="U33" s="145"/>
      <c r="V33" s="145"/>
      <c r="W33" s="145"/>
      <c r="X33" s="145"/>
    </row>
    <row r="34" spans="1:24">
      <c r="A34" s="669"/>
      <c r="B34" s="901"/>
      <c r="C34" s="667"/>
      <c r="D34" s="872"/>
      <c r="E34" s="667"/>
      <c r="F34" s="624"/>
      <c r="G34" s="1019"/>
      <c r="H34" s="624"/>
      <c r="I34" s="667"/>
      <c r="J34" s="920"/>
      <c r="K34" s="667"/>
      <c r="L34" s="948"/>
      <c r="M34" s="901"/>
      <c r="N34" s="901"/>
      <c r="O34" s="901"/>
      <c r="P34" s="901"/>
      <c r="Q34" s="901"/>
      <c r="R34" s="901"/>
      <c r="S34" s="901"/>
      <c r="T34" s="901"/>
      <c r="U34" s="901"/>
      <c r="V34" s="901"/>
      <c r="W34" s="901"/>
      <c r="X34" s="901"/>
    </row>
    <row r="35" spans="1:24" ht="15.75">
      <c r="A35" s="26" t="s">
        <v>116</v>
      </c>
      <c r="B35" s="901"/>
      <c r="C35" s="624"/>
      <c r="D35" s="872"/>
      <c r="E35" s="1489"/>
      <c r="F35" s="624"/>
      <c r="G35" s="872"/>
      <c r="H35" s="624"/>
      <c r="I35" s="624"/>
      <c r="J35" s="920"/>
      <c r="K35" s="624"/>
      <c r="L35" s="948"/>
      <c r="M35" s="901"/>
      <c r="N35" s="901"/>
      <c r="O35" s="901"/>
      <c r="P35" s="901"/>
      <c r="Q35" s="901"/>
      <c r="R35" s="901"/>
      <c r="S35" s="901"/>
      <c r="T35" s="901"/>
      <c r="U35" s="901"/>
      <c r="V35" s="901"/>
      <c r="W35" s="901"/>
      <c r="X35" s="901"/>
    </row>
    <row r="36" spans="1:24" ht="15.75">
      <c r="A36" s="26" t="s">
        <v>117</v>
      </c>
      <c r="B36" s="901"/>
      <c r="C36" s="624"/>
      <c r="D36" s="872"/>
      <c r="E36" s="1489"/>
      <c r="F36" s="624"/>
      <c r="G36" s="872"/>
      <c r="H36" s="624"/>
      <c r="I36" s="624"/>
      <c r="J36" s="920"/>
      <c r="K36" s="624"/>
      <c r="L36" s="948"/>
      <c r="M36" s="901"/>
      <c r="N36" s="901"/>
      <c r="O36" s="901"/>
      <c r="P36" s="901"/>
      <c r="Q36" s="901"/>
      <c r="R36" s="901"/>
      <c r="S36" s="901"/>
      <c r="T36" s="901"/>
      <c r="U36" s="901"/>
      <c r="V36" s="901"/>
      <c r="W36" s="901"/>
      <c r="X36" s="901"/>
    </row>
    <row r="37" spans="1:24" ht="15.75">
      <c r="A37" s="940" t="s">
        <v>100</v>
      </c>
      <c r="B37" s="939" t="s">
        <v>14</v>
      </c>
      <c r="C37" s="71">
        <f>C27-C33</f>
        <v>409</v>
      </c>
      <c r="D37" s="1082"/>
      <c r="E37" s="1490">
        <f>E27-E33</f>
        <v>0</v>
      </c>
      <c r="F37" s="79"/>
      <c r="G37" s="109">
        <f>ROUND(SUM(G27)-SUM(G33),1)</f>
        <v>218.2</v>
      </c>
      <c r="H37" s="79"/>
      <c r="I37" s="71">
        <f>ROUND(SUM(I27)-SUM(I33),1)</f>
        <v>-190.8</v>
      </c>
      <c r="J37" s="385"/>
      <c r="K37" s="71">
        <f>ROUND(SUM(K27)-SUM(K33),1)</f>
        <v>0</v>
      </c>
      <c r="L37" s="948"/>
      <c r="M37" s="168"/>
      <c r="N37" s="145"/>
      <c r="O37" s="168"/>
      <c r="P37" s="145"/>
      <c r="Q37" s="145"/>
      <c r="R37" s="168"/>
      <c r="S37" s="145"/>
      <c r="T37" s="145"/>
      <c r="U37" s="168"/>
      <c r="V37" s="145"/>
      <c r="W37" s="168"/>
      <c r="X37" s="145"/>
    </row>
    <row r="38" spans="1:24" ht="15" customHeight="1">
      <c r="C38" s="650"/>
      <c r="D38" s="1604"/>
      <c r="E38" s="650"/>
      <c r="F38" s="909"/>
      <c r="G38" s="1449"/>
      <c r="H38" s="909"/>
      <c r="I38" s="650"/>
      <c r="J38" s="650"/>
      <c r="K38" s="650"/>
      <c r="L38" s="948"/>
    </row>
    <row r="39" spans="1:24" ht="15.75">
      <c r="A39" s="955" t="str">
        <f>'Exh D-Governmental  '!A49</f>
        <v>Fund Balances (Deficits) at April 1</v>
      </c>
      <c r="B39" s="603" t="s">
        <v>14</v>
      </c>
      <c r="C39" s="109">
        <v>102</v>
      </c>
      <c r="D39" s="1604"/>
      <c r="E39" s="109">
        <v>0</v>
      </c>
      <c r="F39" s="909"/>
      <c r="G39" s="109">
        <f>'Exhibit H'!AA12</f>
        <v>102</v>
      </c>
      <c r="H39" s="909"/>
      <c r="I39" s="899">
        <f t="shared" ref="I39" si="3">ROUND(SUM(G39)-SUM(C39),1)</f>
        <v>0</v>
      </c>
      <c r="J39" s="650"/>
      <c r="K39" s="899">
        <v>0</v>
      </c>
      <c r="L39" s="948"/>
    </row>
    <row r="40" spans="1:24" ht="18" customHeight="1" thickBot="1">
      <c r="A40" s="1352" t="str">
        <f>+'Exh D-Governmental  '!A50</f>
        <v>Fund Balances (Deficits) at May 31, 2022</v>
      </c>
      <c r="B40" s="174" t="s">
        <v>14</v>
      </c>
      <c r="C40" s="92">
        <f>ROUND(SUM(C37:C39),1)</f>
        <v>511</v>
      </c>
      <c r="D40" s="175"/>
      <c r="E40" s="92">
        <f>ROUND(SUM(E37:E39),1)</f>
        <v>0</v>
      </c>
      <c r="F40" s="175"/>
      <c r="G40" s="1450">
        <f>ROUND(SUM(G37:G39),1)</f>
        <v>320.2</v>
      </c>
      <c r="H40" s="175"/>
      <c r="I40" s="92">
        <f>ROUND(SUM(I37:I39),1)</f>
        <v>-190.8</v>
      </c>
      <c r="K40" s="92">
        <f>ROUND(SUM(K37:K39),1)</f>
        <v>0</v>
      </c>
      <c r="L40" s="948"/>
    </row>
    <row r="41" spans="1:24" ht="15" customHeight="1" thickTop="1">
      <c r="A41" s="149"/>
      <c r="C41" s="668"/>
      <c r="D41" s="926"/>
      <c r="E41" s="668"/>
      <c r="F41" s="926"/>
      <c r="G41" s="926"/>
      <c r="H41" s="926"/>
      <c r="I41" s="926"/>
      <c r="K41" s="926"/>
    </row>
    <row r="42" spans="1:24">
      <c r="A42" s="913" t="str">
        <f>'Exh D-Governmental  '!A52</f>
        <v>(*)    Source: 2022-23 Enacted Financial Plan dated May 20, 2022.</v>
      </c>
    </row>
    <row r="43" spans="1:24">
      <c r="A43" s="3804" t="s">
        <v>14</v>
      </c>
    </row>
    <row r="44" spans="1:24">
      <c r="A44" s="927"/>
    </row>
    <row r="45" spans="1:24">
      <c r="A45" s="927"/>
    </row>
    <row r="47" spans="1:24">
      <c r="A47" s="198"/>
    </row>
    <row r="48" spans="1:24">
      <c r="A48" s="198"/>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zoomScaleNormal="70" workbookViewId="0"/>
  </sheetViews>
  <sheetFormatPr defaultColWidth="8.6640625" defaultRowHeight="15"/>
  <cols>
    <col min="1" max="1" width="54" style="908" customWidth="1"/>
    <col min="2" max="2" width="2.109375" style="912" customWidth="1"/>
    <col min="3" max="3" width="18.109375" style="416" bestFit="1" customWidth="1"/>
    <col min="4" max="4" width="0.6640625" style="912" customWidth="1"/>
    <col min="5" max="5" width="15.44140625" style="416" customWidth="1"/>
    <col min="6" max="6" width="0.6640625" style="912" customWidth="1"/>
    <col min="7" max="7" width="14" style="912" customWidth="1"/>
    <col min="8" max="8" width="1.44140625" style="912" customWidth="1"/>
    <col min="9" max="9" width="15" style="912" customWidth="1"/>
    <col min="10" max="10" width="1.5546875" style="912" customWidth="1"/>
    <col min="11" max="11" width="15" style="912" customWidth="1"/>
    <col min="12" max="12" width="1" style="912" customWidth="1"/>
    <col min="13" max="13" width="15.109375" style="928" customWidth="1"/>
    <col min="14" max="14" width="1" style="912" customWidth="1"/>
    <col min="15" max="15" width="14" style="912" customWidth="1"/>
    <col min="16" max="19" width="8.6640625" style="912"/>
    <col min="20" max="16384" width="8.6640625" style="908"/>
  </cols>
  <sheetData>
    <row r="1" spans="1:34">
      <c r="A1" s="625" t="s">
        <v>870</v>
      </c>
    </row>
    <row r="2" spans="1:34" ht="16.5">
      <c r="A2" s="179"/>
      <c r="B2" s="181"/>
      <c r="C2" s="410"/>
      <c r="D2" s="181"/>
      <c r="E2" s="410"/>
      <c r="F2" s="181"/>
      <c r="G2" s="181"/>
      <c r="H2" s="181"/>
      <c r="I2" s="181"/>
      <c r="J2" s="181"/>
      <c r="K2" s="181"/>
      <c r="L2" s="181"/>
      <c r="M2" s="1593"/>
    </row>
    <row r="3" spans="1:34" ht="19.5" customHeight="1">
      <c r="A3" s="185" t="s">
        <v>0</v>
      </c>
      <c r="B3" s="142"/>
      <c r="C3" s="412"/>
      <c r="D3" s="137"/>
      <c r="E3" s="413"/>
      <c r="F3" s="137"/>
      <c r="G3" s="137"/>
      <c r="H3" s="137"/>
      <c r="I3" s="137"/>
      <c r="J3" s="137"/>
      <c r="K3" s="137"/>
      <c r="L3" s="137"/>
      <c r="M3" s="799"/>
      <c r="O3" s="799" t="s">
        <v>81</v>
      </c>
    </row>
    <row r="4" spans="1:34" ht="19.5" customHeight="1">
      <c r="A4" s="185" t="s">
        <v>80</v>
      </c>
      <c r="B4" s="142"/>
      <c r="C4" s="412"/>
      <c r="D4" s="137"/>
      <c r="E4" s="413"/>
      <c r="F4" s="137"/>
      <c r="G4" s="137"/>
      <c r="H4" s="137"/>
      <c r="I4" s="137"/>
      <c r="J4" s="137"/>
      <c r="K4" s="137"/>
      <c r="L4" s="137"/>
      <c r="M4" s="800"/>
      <c r="O4" s="800"/>
    </row>
    <row r="5" spans="1:34" ht="19.5" customHeight="1">
      <c r="A5" s="3943" t="str">
        <f>'Exh D-Governmental  '!A5:E5</f>
        <v>FISCAL YEAR 2022-2023</v>
      </c>
      <c r="B5" s="3944"/>
      <c r="C5" s="3944"/>
      <c r="D5" s="3944"/>
      <c r="E5" s="3944"/>
      <c r="F5" s="137"/>
      <c r="G5" s="137"/>
      <c r="H5" s="137"/>
      <c r="I5" s="137"/>
      <c r="J5" s="137"/>
      <c r="K5" s="137"/>
      <c r="L5" s="137"/>
      <c r="M5" s="142"/>
    </row>
    <row r="6" spans="1:34" ht="19.5" customHeight="1">
      <c r="A6" s="1438" t="str">
        <f>+'Exh D-Governmental  '!A6</f>
        <v xml:space="preserve">FOR TWO MONTHS ENDED MAY 31, 2022    </v>
      </c>
      <c r="B6" s="141"/>
      <c r="C6" s="412"/>
      <c r="D6" s="137"/>
      <c r="E6" s="413"/>
      <c r="F6" s="137"/>
      <c r="G6" s="137"/>
      <c r="H6" s="137"/>
      <c r="I6" s="137"/>
      <c r="J6" s="137"/>
      <c r="K6" s="137"/>
      <c r="L6" s="137"/>
      <c r="M6" s="142"/>
      <c r="N6" s="137"/>
      <c r="O6" s="150"/>
      <c r="P6" s="150"/>
      <c r="Q6" s="150"/>
      <c r="R6" s="150"/>
      <c r="S6" s="150"/>
      <c r="T6" s="150"/>
      <c r="U6" s="150"/>
      <c r="V6" s="150"/>
      <c r="W6" s="150"/>
      <c r="X6" s="150"/>
      <c r="Y6" s="150"/>
      <c r="Z6" s="150"/>
      <c r="AA6" s="150"/>
      <c r="AB6" s="150"/>
      <c r="AC6" s="603"/>
      <c r="AD6" s="603"/>
      <c r="AE6" s="603"/>
      <c r="AF6" s="603"/>
      <c r="AG6" s="603"/>
      <c r="AH6" s="912"/>
    </row>
    <row r="7" spans="1:34" ht="19.5" customHeight="1">
      <c r="A7" s="185" t="s">
        <v>1251</v>
      </c>
      <c r="B7" s="142"/>
      <c r="C7" s="412"/>
      <c r="D7" s="137"/>
      <c r="E7" s="413"/>
      <c r="F7" s="137"/>
      <c r="G7" s="137"/>
      <c r="H7" s="137"/>
      <c r="I7" s="137"/>
      <c r="J7" s="137"/>
      <c r="K7" s="137"/>
      <c r="L7" s="137"/>
      <c r="M7" s="142"/>
    </row>
    <row r="8" spans="1:34" ht="18">
      <c r="A8" s="187"/>
      <c r="B8" s="142"/>
      <c r="C8" s="941"/>
      <c r="D8" s="150"/>
      <c r="E8" s="413"/>
      <c r="F8" s="137"/>
      <c r="G8" s="137"/>
      <c r="H8" s="137"/>
      <c r="I8" s="137"/>
      <c r="J8" s="137"/>
      <c r="K8" s="137"/>
      <c r="L8" s="137"/>
      <c r="M8" s="142"/>
    </row>
    <row r="9" spans="1:34">
      <c r="A9" s="144"/>
      <c r="B9" s="137"/>
      <c r="C9" s="1161"/>
      <c r="D9" s="150"/>
      <c r="E9" s="413"/>
      <c r="F9" s="137"/>
      <c r="G9" s="137"/>
      <c r="H9" s="137"/>
      <c r="I9" s="137"/>
      <c r="J9" s="137"/>
      <c r="K9" s="137"/>
      <c r="L9" s="137"/>
      <c r="M9" s="142"/>
    </row>
    <row r="10" spans="1:34">
      <c r="A10" s="144"/>
      <c r="B10" s="137"/>
      <c r="C10" s="941"/>
      <c r="D10" s="141"/>
      <c r="E10" s="412"/>
      <c r="F10" s="142"/>
      <c r="G10" s="142"/>
      <c r="H10" s="142"/>
      <c r="I10" s="142"/>
      <c r="J10" s="142"/>
      <c r="K10" s="142"/>
      <c r="L10" s="142"/>
      <c r="M10" s="142"/>
      <c r="N10" s="928"/>
    </row>
    <row r="11" spans="1:34" ht="15.75">
      <c r="A11" s="669"/>
      <c r="B11" s="145"/>
      <c r="C11" s="1156"/>
      <c r="D11" s="1167"/>
      <c r="E11" s="1156"/>
      <c r="F11" s="1165"/>
      <c r="G11" s="1175"/>
      <c r="H11" s="1165"/>
      <c r="I11" s="1387" t="s">
        <v>1030</v>
      </c>
      <c r="J11" s="1591"/>
      <c r="K11" s="1591"/>
      <c r="L11" s="1591"/>
      <c r="M11" s="1165"/>
      <c r="N11" s="1168"/>
      <c r="O11" s="1153"/>
    </row>
    <row r="12" spans="1:34" ht="15.75">
      <c r="A12" s="669"/>
      <c r="B12" s="145"/>
      <c r="C12" s="146"/>
      <c r="D12" s="146"/>
      <c r="E12" s="146"/>
      <c r="F12" s="146"/>
      <c r="G12" s="146"/>
      <c r="H12" s="146"/>
      <c r="I12" s="146"/>
      <c r="J12" s="146"/>
      <c r="K12" s="146"/>
      <c r="L12" s="146"/>
      <c r="M12" s="193" t="s">
        <v>82</v>
      </c>
      <c r="N12" s="147"/>
      <c r="O12" s="147" t="s">
        <v>82</v>
      </c>
    </row>
    <row r="13" spans="1:34" ht="15.75">
      <c r="A13" s="669"/>
      <c r="B13" s="145"/>
      <c r="C13" s="146"/>
      <c r="D13" s="146"/>
      <c r="E13" s="146"/>
      <c r="F13" s="146"/>
      <c r="G13" s="146"/>
      <c r="H13" s="146"/>
      <c r="I13" s="146"/>
      <c r="J13" s="146"/>
      <c r="K13" s="146"/>
      <c r="L13" s="146"/>
      <c r="M13" s="193" t="s">
        <v>784</v>
      </c>
      <c r="N13" s="147"/>
      <c r="O13" s="147" t="s">
        <v>784</v>
      </c>
    </row>
    <row r="14" spans="1:34" ht="15.75">
      <c r="A14" s="669"/>
      <c r="B14" s="145"/>
      <c r="C14" s="148" t="s">
        <v>977</v>
      </c>
      <c r="D14" s="146"/>
      <c r="E14" s="147" t="s">
        <v>978</v>
      </c>
      <c r="F14" s="146"/>
      <c r="G14" s="146"/>
      <c r="H14" s="146"/>
      <c r="I14" s="146"/>
      <c r="J14" s="146"/>
      <c r="K14" s="146"/>
      <c r="L14" s="146"/>
      <c r="M14" s="193" t="s">
        <v>83</v>
      </c>
      <c r="N14" s="147"/>
      <c r="O14" s="147" t="s">
        <v>83</v>
      </c>
    </row>
    <row r="15" spans="1:34" ht="15.75" customHeight="1">
      <c r="A15" s="669"/>
      <c r="B15" s="145"/>
      <c r="C15" s="147" t="s">
        <v>1013</v>
      </c>
      <c r="D15" s="146"/>
      <c r="E15" s="147" t="s">
        <v>1013</v>
      </c>
      <c r="F15" s="146"/>
      <c r="G15" s="146"/>
      <c r="H15" s="146"/>
      <c r="I15" s="146"/>
      <c r="J15" s="146"/>
      <c r="K15" s="146"/>
      <c r="L15" s="146"/>
      <c r="M15" s="193" t="s">
        <v>977</v>
      </c>
      <c r="N15" s="147"/>
      <c r="O15" s="147" t="s">
        <v>978</v>
      </c>
    </row>
    <row r="16" spans="1:34" ht="15.75">
      <c r="A16" s="669"/>
      <c r="B16" s="145"/>
      <c r="C16" s="147" t="s">
        <v>1014</v>
      </c>
      <c r="D16" s="146"/>
      <c r="E16" s="147" t="s">
        <v>1485</v>
      </c>
      <c r="F16" s="146"/>
      <c r="G16" s="148" t="s">
        <v>82</v>
      </c>
      <c r="H16" s="146"/>
      <c r="I16" s="1188" t="s">
        <v>1145</v>
      </c>
      <c r="J16" s="146"/>
      <c r="K16" s="1188" t="s">
        <v>712</v>
      </c>
      <c r="L16" s="146"/>
      <c r="M16" s="193" t="s">
        <v>84</v>
      </c>
      <c r="N16" s="147"/>
      <c r="O16" s="147" t="s">
        <v>84</v>
      </c>
    </row>
    <row r="17" spans="1:34">
      <c r="A17" s="149"/>
      <c r="B17" s="150"/>
      <c r="C17" s="151"/>
      <c r="D17" s="150"/>
      <c r="E17" s="151"/>
      <c r="F17" s="137"/>
      <c r="G17" s="151"/>
      <c r="H17" s="137"/>
      <c r="I17" s="137"/>
      <c r="J17" s="137"/>
      <c r="K17" s="137"/>
      <c r="L17" s="137"/>
      <c r="M17" s="1594"/>
      <c r="O17" s="151"/>
    </row>
    <row r="18" spans="1:34" ht="15.75">
      <c r="A18" s="26" t="s">
        <v>13</v>
      </c>
      <c r="B18" s="901"/>
      <c r="C18" s="638"/>
      <c r="D18" s="901"/>
      <c r="E18" s="638"/>
      <c r="F18" s="638"/>
      <c r="G18" s="638" t="s">
        <v>14</v>
      </c>
      <c r="H18" s="638"/>
      <c r="I18" s="638"/>
      <c r="J18" s="638"/>
      <c r="K18" s="638"/>
      <c r="L18" s="638"/>
      <c r="M18" s="1595"/>
      <c r="O18" s="638"/>
    </row>
    <row r="19" spans="1:34">
      <c r="A19" s="798" t="s">
        <v>85</v>
      </c>
      <c r="B19" s="902" t="s">
        <v>14</v>
      </c>
      <c r="C19" s="639"/>
      <c r="D19" s="948"/>
      <c r="E19" s="639"/>
      <c r="F19" s="639"/>
      <c r="G19" s="930"/>
      <c r="H19" s="641"/>
      <c r="I19" s="641"/>
      <c r="J19" s="641"/>
      <c r="K19" s="641"/>
      <c r="L19" s="641"/>
      <c r="M19" s="871"/>
      <c r="N19" s="901"/>
      <c r="O19" s="639"/>
      <c r="P19" s="901"/>
      <c r="Q19" s="901"/>
      <c r="R19" s="901"/>
      <c r="S19" s="901"/>
      <c r="T19" s="901"/>
      <c r="U19" s="901"/>
      <c r="V19" s="901"/>
      <c r="W19" s="901"/>
      <c r="X19" s="901"/>
      <c r="Y19" s="901"/>
      <c r="Z19" s="901"/>
      <c r="AA19" s="901"/>
      <c r="AB19" s="901"/>
      <c r="AC19" s="603"/>
      <c r="AD19" s="603"/>
      <c r="AE19" s="603"/>
      <c r="AF19" s="603"/>
      <c r="AG19" s="603"/>
      <c r="AH19" s="912"/>
    </row>
    <row r="20" spans="1:34">
      <c r="A20" s="798" t="s">
        <v>87</v>
      </c>
      <c r="B20" s="901" t="s">
        <v>14</v>
      </c>
      <c r="C20" s="918">
        <f>'Exh D Captl Projects State Fed'!C20+'Exh D Captl Projects State Fed'!M20</f>
        <v>92</v>
      </c>
      <c r="D20" s="920"/>
      <c r="E20" s="918">
        <f>'Exh D Captl Projects State Fed'!E20+'Exh D Captl Projects State Fed'!O20</f>
        <v>0</v>
      </c>
      <c r="F20" s="640"/>
      <c r="G20" s="918">
        <f>+'Exh D Captl Projects State Fed'!G20</f>
        <v>82.9</v>
      </c>
      <c r="H20" s="640"/>
      <c r="I20" s="918">
        <v>0</v>
      </c>
      <c r="J20" s="640"/>
      <c r="K20" s="1599">
        <f>+G20+I20</f>
        <v>82.9</v>
      </c>
      <c r="L20" s="640"/>
      <c r="M20" s="871">
        <f t="shared" ref="M20:M26" si="0">ROUND(SUM(K20)-SUM(C20),1)</f>
        <v>-9.1</v>
      </c>
      <c r="N20" s="901"/>
      <c r="O20" s="871">
        <v>0</v>
      </c>
      <c r="P20" s="901"/>
      <c r="Q20" s="901"/>
      <c r="R20" s="901"/>
      <c r="S20" s="901"/>
      <c r="T20" s="901"/>
      <c r="U20" s="901"/>
      <c r="V20" s="901"/>
      <c r="W20" s="901"/>
      <c r="X20" s="901"/>
      <c r="Y20" s="901"/>
      <c r="Z20" s="901"/>
      <c r="AA20" s="901"/>
      <c r="AB20" s="901"/>
      <c r="AC20" s="603"/>
      <c r="AD20" s="603"/>
      <c r="AE20" s="603"/>
      <c r="AF20" s="603"/>
      <c r="AG20" s="603"/>
      <c r="AH20" s="912"/>
    </row>
    <row r="21" spans="1:34">
      <c r="A21" s="798" t="s">
        <v>88</v>
      </c>
      <c r="B21" s="902" t="s">
        <v>14</v>
      </c>
      <c r="C21" s="665">
        <f>'Exh D Captl Projects State Fed'!C21+'Exh D Captl Projects State Fed'!M21</f>
        <v>99</v>
      </c>
      <c r="D21" s="920"/>
      <c r="E21" s="665">
        <f>'Exh D Captl Projects State Fed'!E21+'Exh D Captl Projects State Fed'!O21</f>
        <v>0</v>
      </c>
      <c r="F21" s="640"/>
      <c r="G21" s="665">
        <f>+'Exh D Captl Projects State Fed'!G21</f>
        <v>99.3</v>
      </c>
      <c r="H21" s="640"/>
      <c r="I21" s="640">
        <v>0</v>
      </c>
      <c r="J21" s="640"/>
      <c r="K21" s="2995">
        <f t="shared" ref="K21:K26" si="1">+G21+I21</f>
        <v>99.3</v>
      </c>
      <c r="L21" s="640"/>
      <c r="M21" s="872">
        <f t="shared" si="0"/>
        <v>0.3</v>
      </c>
      <c r="N21" s="922"/>
      <c r="O21" s="872">
        <v>0</v>
      </c>
      <c r="P21" s="901"/>
      <c r="Q21" s="922"/>
      <c r="R21" s="901"/>
      <c r="S21" s="922"/>
      <c r="T21" s="901"/>
      <c r="U21" s="901"/>
      <c r="V21" s="922"/>
      <c r="W21" s="901"/>
      <c r="X21" s="901"/>
      <c r="Y21" s="922"/>
      <c r="Z21" s="197"/>
      <c r="AA21" s="922"/>
      <c r="AB21" s="901"/>
      <c r="AC21" s="603"/>
      <c r="AD21" s="603"/>
      <c r="AE21" s="603"/>
      <c r="AF21" s="603"/>
      <c r="AG21" s="603"/>
      <c r="AH21" s="912"/>
    </row>
    <row r="22" spans="1:34">
      <c r="A22" s="798" t="s">
        <v>89</v>
      </c>
      <c r="B22" s="901" t="s">
        <v>14</v>
      </c>
      <c r="C22" s="665">
        <f>'Exh D Captl Projects State Fed'!C22+'Exh D Captl Projects State Fed'!M22</f>
        <v>0</v>
      </c>
      <c r="D22" s="920"/>
      <c r="E22" s="665">
        <f>'Exh D Captl Projects State Fed'!E22+'Exh D Captl Projects State Fed'!O22</f>
        <v>0</v>
      </c>
      <c r="F22" s="640"/>
      <c r="G22" s="665">
        <f>+'Exh D Captl Projects State Fed'!G22</f>
        <v>0</v>
      </c>
      <c r="H22" s="640"/>
      <c r="I22" s="640">
        <v>0</v>
      </c>
      <c r="J22" s="640"/>
      <c r="K22" s="1600">
        <f>+G22+I22</f>
        <v>0</v>
      </c>
      <c r="L22" s="640"/>
      <c r="M22" s="872">
        <f t="shared" si="0"/>
        <v>0</v>
      </c>
      <c r="N22" s="901"/>
      <c r="O22" s="872">
        <f t="shared" ref="O22:O25" si="2">K22-E22</f>
        <v>0</v>
      </c>
      <c r="P22" s="901"/>
      <c r="Q22" s="901"/>
      <c r="R22" s="901"/>
      <c r="S22" s="901"/>
      <c r="T22" s="901"/>
      <c r="U22" s="901"/>
      <c r="V22" s="901"/>
      <c r="W22" s="901"/>
      <c r="X22" s="901"/>
      <c r="Y22" s="901"/>
      <c r="Z22" s="901"/>
      <c r="AA22" s="901"/>
      <c r="AB22" s="901"/>
      <c r="AC22" s="603"/>
      <c r="AD22" s="603"/>
      <c r="AE22" s="603"/>
      <c r="AF22" s="603"/>
      <c r="AG22" s="603"/>
      <c r="AH22" s="912"/>
    </row>
    <row r="23" spans="1:34">
      <c r="A23" s="798" t="s">
        <v>19</v>
      </c>
      <c r="B23" s="901" t="s">
        <v>14</v>
      </c>
      <c r="C23" s="665">
        <f>'Exh D Captl Projects State Fed'!C23+'Exh D Captl Projects State Fed'!M23</f>
        <v>2088</v>
      </c>
      <c r="D23" s="920"/>
      <c r="E23" s="665">
        <f>'Exh D Captl Projects State Fed'!E23+'Exh D Captl Projects State Fed'!O23</f>
        <v>0</v>
      </c>
      <c r="F23" s="624"/>
      <c r="G23" s="624">
        <f>+'Exh D Captl Projects State Fed'!G23+'Exh D Captl Projects State Fed'!Q23</f>
        <v>2040.3</v>
      </c>
      <c r="H23" s="624"/>
      <c r="I23" s="1489">
        <v>0</v>
      </c>
      <c r="J23" s="1489"/>
      <c r="K23" s="1600">
        <f t="shared" si="1"/>
        <v>2040.3</v>
      </c>
      <c r="L23" s="1489"/>
      <c r="M23" s="872">
        <f t="shared" si="0"/>
        <v>-47.7</v>
      </c>
      <c r="O23" s="872">
        <v>0</v>
      </c>
    </row>
    <row r="24" spans="1:34">
      <c r="A24" s="798" t="s">
        <v>20</v>
      </c>
      <c r="B24" s="901" t="s">
        <v>14</v>
      </c>
      <c r="C24" s="665">
        <f>'Exh D Captl Projects State Fed'!C24+'Exh D Captl Projects State Fed'!M24</f>
        <v>306</v>
      </c>
      <c r="D24" s="920"/>
      <c r="E24" s="665">
        <f>'Exh D Captl Projects State Fed'!E24+'Exh D Captl Projects State Fed'!O24</f>
        <v>0</v>
      </c>
      <c r="F24" s="624"/>
      <c r="G24" s="624">
        <f>+'Exh D Captl Projects State Fed'!G24+'Exh D Captl Projects State Fed'!Q24</f>
        <v>300.60000000000002</v>
      </c>
      <c r="H24" s="624"/>
      <c r="I24" s="1489">
        <v>0</v>
      </c>
      <c r="J24" s="1489"/>
      <c r="K24" s="1600">
        <f t="shared" si="1"/>
        <v>300.60000000000002</v>
      </c>
      <c r="L24" s="1489"/>
      <c r="M24" s="872">
        <f t="shared" si="0"/>
        <v>-5.4</v>
      </c>
      <c r="O24" s="872">
        <v>0</v>
      </c>
    </row>
    <row r="25" spans="1:34">
      <c r="A25" s="798" t="s">
        <v>95</v>
      </c>
      <c r="B25" s="901" t="s">
        <v>14</v>
      </c>
      <c r="C25" s="665">
        <f>'Exh D Captl Projects State Fed'!C25+'Exh D Captl Projects State Fed'!M25</f>
        <v>0</v>
      </c>
      <c r="D25" s="1166"/>
      <c r="E25" s="665">
        <f>'Exh D Captl Projects State Fed'!E25+'Exh D Captl Projects State Fed'!O25</f>
        <v>0</v>
      </c>
      <c r="F25" s="624"/>
      <c r="G25" s="640">
        <f>+'Exh D Captl Projects State Fed'!G25+'Exh D Captl Projects State Fed'!Q25</f>
        <v>0</v>
      </c>
      <c r="H25" s="624"/>
      <c r="I25" s="1489">
        <v>0</v>
      </c>
      <c r="J25" s="1489"/>
      <c r="K25" s="640">
        <f t="shared" si="1"/>
        <v>0</v>
      </c>
      <c r="L25" s="1489"/>
      <c r="M25" s="872">
        <f t="shared" si="0"/>
        <v>0</v>
      </c>
      <c r="O25" s="872">
        <f t="shared" si="2"/>
        <v>0</v>
      </c>
    </row>
    <row r="26" spans="1:34">
      <c r="A26" s="798" t="s">
        <v>46</v>
      </c>
      <c r="B26" s="901" t="s">
        <v>14</v>
      </c>
      <c r="C26" s="665">
        <f>'Exh D Captl Projects State Fed'!C26+'Exh D Captl Projects State Fed'!M26</f>
        <v>-310</v>
      </c>
      <c r="D26" s="920"/>
      <c r="E26" s="665">
        <f>'Exh D Captl Projects State Fed'!E26+'Exh D Captl Projects State Fed'!O26</f>
        <v>0</v>
      </c>
      <c r="F26" s="624"/>
      <c r="G26" s="661">
        <f>+'Exh D Captl Projects State Fed'!G26+'Exh D Captl Projects State Fed'!Q26</f>
        <v>-783.2</v>
      </c>
      <c r="H26" s="624"/>
      <c r="I26" s="872">
        <f>'Exhibit I'!AC93</f>
        <v>0</v>
      </c>
      <c r="J26" s="1489"/>
      <c r="K26" s="1600">
        <f t="shared" si="1"/>
        <v>-783.2</v>
      </c>
      <c r="L26" s="1489"/>
      <c r="M26" s="872">
        <f t="shared" si="0"/>
        <v>-473.2</v>
      </c>
      <c r="O26" s="872">
        <v>0</v>
      </c>
    </row>
    <row r="27" spans="1:34" ht="18" customHeight="1">
      <c r="A27" s="1098" t="s">
        <v>106</v>
      </c>
      <c r="B27" s="145" t="s">
        <v>14</v>
      </c>
      <c r="C27" s="1825">
        <f>ROUND(SUM(C20:C26),1)</f>
        <v>2275</v>
      </c>
      <c r="D27" s="1490"/>
      <c r="E27" s="1825">
        <f>ROUND(SUM(E20:E26),1)</f>
        <v>0</v>
      </c>
      <c r="F27" s="899"/>
      <c r="G27" s="209">
        <f>ROUND(SUM(G20:G26),1)</f>
        <v>1739.9</v>
      </c>
      <c r="H27" s="899"/>
      <c r="I27" s="1500">
        <f>ROUND(SUM(I20:I26),1)</f>
        <v>0</v>
      </c>
      <c r="J27" s="899"/>
      <c r="K27" s="1500">
        <f>ROUND(SUM(K20:K26),1)</f>
        <v>1739.9</v>
      </c>
      <c r="L27" s="899"/>
      <c r="M27" s="1448">
        <f>ROUND(SUM(M20:M26),1)</f>
        <v>-535.1</v>
      </c>
      <c r="O27" s="209">
        <f>ROUND(SUM(O20:O26),1)</f>
        <v>0</v>
      </c>
    </row>
    <row r="28" spans="1:34">
      <c r="A28" s="669"/>
      <c r="B28" s="901" t="s">
        <v>14</v>
      </c>
      <c r="C28" s="1823"/>
      <c r="D28" s="920"/>
      <c r="E28" s="1823"/>
      <c r="F28" s="624"/>
      <c r="G28" s="667"/>
      <c r="H28" s="624"/>
      <c r="I28" s="1489"/>
      <c r="J28" s="1489"/>
      <c r="K28" s="1489"/>
      <c r="L28" s="1489"/>
      <c r="M28" s="1019" t="s">
        <v>14</v>
      </c>
      <c r="O28" s="667" t="s">
        <v>14</v>
      </c>
    </row>
    <row r="29" spans="1:34" ht="15.75">
      <c r="A29" s="26" t="s">
        <v>22</v>
      </c>
      <c r="B29" s="901" t="s">
        <v>14</v>
      </c>
      <c r="C29" s="1489"/>
      <c r="D29" s="920"/>
      <c r="E29" s="1489"/>
      <c r="F29" s="624"/>
      <c r="G29" s="624"/>
      <c r="H29" s="624"/>
      <c r="I29" s="1489"/>
      <c r="J29" s="1489"/>
      <c r="K29" s="1489"/>
      <c r="L29" s="1489"/>
      <c r="M29" s="872"/>
      <c r="O29" s="624"/>
    </row>
    <row r="30" spans="1:34">
      <c r="A30" s="798" t="s">
        <v>91</v>
      </c>
      <c r="B30" s="901" t="s">
        <v>14</v>
      </c>
      <c r="C30" s="665">
        <f>'Exh D Captl Projects State Fed'!C30+'Exh D Captl Projects State Fed'!M30</f>
        <v>628</v>
      </c>
      <c r="D30" s="920"/>
      <c r="E30" s="665">
        <f>'Exh D Captl Projects State Fed'!E30+'Exh D Captl Projects State Fed'!O30</f>
        <v>0</v>
      </c>
      <c r="F30" s="624"/>
      <c r="G30" s="624">
        <f>+'Exh D Captl Projects State Fed'!G30+'Exh D Captl Projects State Fed'!Q30</f>
        <v>470.8</v>
      </c>
      <c r="H30" s="624"/>
      <c r="I30" s="1489">
        <v>0</v>
      </c>
      <c r="J30" s="1489"/>
      <c r="K30" s="1600">
        <f>+G30+I30</f>
        <v>470.8</v>
      </c>
      <c r="L30" s="1489"/>
      <c r="M30" s="872">
        <f t="shared" ref="M30:M32" si="3">ROUND(SUM(K30)-SUM(C30),1)</f>
        <v>-157.19999999999999</v>
      </c>
      <c r="O30" s="872">
        <v>0</v>
      </c>
    </row>
    <row r="31" spans="1:34">
      <c r="A31" s="798" t="s">
        <v>41</v>
      </c>
      <c r="B31" s="901" t="s">
        <v>14</v>
      </c>
      <c r="C31" s="665">
        <f>'Exh D Captl Projects State Fed'!C31+'Exh D Captl Projects State Fed'!M31</f>
        <v>1416</v>
      </c>
      <c r="D31" s="1166"/>
      <c r="E31" s="665">
        <f>'Exh D Captl Projects State Fed'!E31+'Exh D Captl Projects State Fed'!O31</f>
        <v>0</v>
      </c>
      <c r="F31" s="624"/>
      <c r="G31" s="624">
        <f>+'Exh D Captl Projects State Fed'!G31+'Exh D Captl Projects State Fed'!Q31</f>
        <v>1026.4000000000001</v>
      </c>
      <c r="H31" s="624"/>
      <c r="I31" s="1489">
        <v>0</v>
      </c>
      <c r="J31" s="1489"/>
      <c r="K31" s="1600">
        <f>+G31+I31</f>
        <v>1026.4000000000001</v>
      </c>
      <c r="L31" s="1489"/>
      <c r="M31" s="872">
        <f t="shared" si="3"/>
        <v>-389.6</v>
      </c>
      <c r="O31" s="872">
        <v>0</v>
      </c>
    </row>
    <row r="32" spans="1:34">
      <c r="A32" s="798" t="s">
        <v>96</v>
      </c>
      <c r="B32" s="901" t="s">
        <v>14</v>
      </c>
      <c r="C32" s="665">
        <f>'Exh D Captl Projects State Fed'!C32+'Exh D Captl Projects State Fed'!M32</f>
        <v>19</v>
      </c>
      <c r="D32" s="920"/>
      <c r="E32" s="665">
        <f>'Exh D Captl Projects State Fed'!E32+'Exh D Captl Projects State Fed'!O32</f>
        <v>0</v>
      </c>
      <c r="F32" s="624"/>
      <c r="G32" s="624">
        <f>+'Exh D Captl Projects State Fed'!G32+'Exh D Captl Projects State Fed'!Q32</f>
        <v>18.600000000000001</v>
      </c>
      <c r="H32" s="624"/>
      <c r="I32" s="872">
        <f>-'Exhibit I'!AC94</f>
        <v>0</v>
      </c>
      <c r="J32" s="1489"/>
      <c r="K32" s="1600">
        <f>+G32+I32</f>
        <v>18.600000000000001</v>
      </c>
      <c r="L32" s="1489"/>
      <c r="M32" s="872">
        <f t="shared" si="3"/>
        <v>-0.4</v>
      </c>
      <c r="O32" s="872">
        <v>0</v>
      </c>
    </row>
    <row r="33" spans="1:34" ht="18" customHeight="1">
      <c r="A33" s="1098" t="s">
        <v>115</v>
      </c>
      <c r="B33" s="145" t="s">
        <v>14</v>
      </c>
      <c r="C33" s="1825">
        <f>ROUND(SUM(C30:C32),1)</f>
        <v>2063</v>
      </c>
      <c r="D33" s="1490"/>
      <c r="E33" s="1825">
        <f>ROUND(SUM(E30:E32),1)</f>
        <v>0</v>
      </c>
      <c r="F33" s="899"/>
      <c r="G33" s="209">
        <f>ROUND(SUM(G30:G32),1)</f>
        <v>1515.8</v>
      </c>
      <c r="H33" s="899"/>
      <c r="I33" s="1500">
        <f>ROUND(SUM(I30:I32),1)</f>
        <v>0</v>
      </c>
      <c r="J33" s="899"/>
      <c r="K33" s="1500">
        <f>ROUND(SUM(K30:K32),1)</f>
        <v>1515.8</v>
      </c>
      <c r="L33" s="899"/>
      <c r="M33" s="1448">
        <f>ROUND(SUM(M30:M32),1)</f>
        <v>-547.20000000000005</v>
      </c>
      <c r="O33" s="209">
        <f>ROUND(SUM(O30:O32),1)</f>
        <v>0</v>
      </c>
    </row>
    <row r="34" spans="1:34">
      <c r="A34" s="669"/>
      <c r="B34" s="901" t="s">
        <v>14</v>
      </c>
      <c r="C34" s="1823"/>
      <c r="D34" s="920"/>
      <c r="E34" s="1823"/>
      <c r="F34" s="624"/>
      <c r="G34" s="667"/>
      <c r="H34" s="624"/>
      <c r="I34" s="1489"/>
      <c r="J34" s="1489"/>
      <c r="K34" s="1489"/>
      <c r="L34" s="1489"/>
      <c r="M34" s="1019"/>
      <c r="O34" s="667"/>
    </row>
    <row r="35" spans="1:34" ht="15.75">
      <c r="A35" s="26" t="s">
        <v>98</v>
      </c>
      <c r="B35" s="901"/>
      <c r="C35" s="1489"/>
      <c r="D35" s="920"/>
      <c r="E35" s="1489"/>
      <c r="F35" s="624"/>
      <c r="G35" s="624"/>
      <c r="H35" s="624"/>
      <c r="I35" s="1489"/>
      <c r="J35" s="1489"/>
      <c r="K35" s="1489"/>
      <c r="L35" s="1489"/>
      <c r="M35" s="872"/>
      <c r="O35" s="624"/>
    </row>
    <row r="36" spans="1:34" ht="15.75">
      <c r="A36" s="26" t="s">
        <v>99</v>
      </c>
      <c r="B36" s="901"/>
      <c r="C36" s="1489"/>
      <c r="D36" s="920"/>
      <c r="E36" s="1489"/>
      <c r="F36" s="624"/>
      <c r="G36" s="624"/>
      <c r="H36" s="624"/>
      <c r="I36" s="1489"/>
      <c r="J36" s="1489"/>
      <c r="K36" s="1489"/>
      <c r="L36" s="1489"/>
      <c r="M36" s="872"/>
      <c r="O36" s="624"/>
    </row>
    <row r="37" spans="1:34" ht="15.75">
      <c r="A37" s="1098" t="s">
        <v>100</v>
      </c>
      <c r="B37" s="168"/>
      <c r="C37" s="1490">
        <f>ROUND(SUM(C27)-SUM(C33),1)</f>
        <v>212</v>
      </c>
      <c r="D37" s="1490"/>
      <c r="E37" s="1490">
        <f>ROUND(SUM(E27)-SUM(E33),1)</f>
        <v>0</v>
      </c>
      <c r="F37" s="79"/>
      <c r="G37" s="71">
        <f>ROUND(SUM(G27)-SUM(G33),1)</f>
        <v>224.1</v>
      </c>
      <c r="H37" s="79"/>
      <c r="I37" s="79">
        <v>0</v>
      </c>
      <c r="J37" s="79"/>
      <c r="K37" s="1490">
        <f>ROUND(SUM(K27)-SUM(K33),1)</f>
        <v>224.1</v>
      </c>
      <c r="L37" s="79"/>
      <c r="M37" s="109">
        <f>ROUND(SUM(M27)-SUM(M33),1)</f>
        <v>12.1</v>
      </c>
      <c r="N37" s="603"/>
      <c r="O37" s="71">
        <f>ROUND(SUM(O27)-SUM(O33),1)</f>
        <v>0</v>
      </c>
    </row>
    <row r="38" spans="1:34" ht="15.75">
      <c r="B38" s="603"/>
      <c r="C38" s="650"/>
      <c r="D38" s="1490"/>
      <c r="E38" s="650"/>
      <c r="F38" s="909"/>
      <c r="G38" s="650"/>
      <c r="H38" s="909"/>
      <c r="I38" s="909"/>
      <c r="J38" s="909"/>
      <c r="K38" s="650"/>
      <c r="L38" s="909"/>
      <c r="M38" s="1449"/>
      <c r="O38" s="650"/>
    </row>
    <row r="39" spans="1:34" ht="15.75">
      <c r="A39" s="1098" t="str">
        <f>+'Exh D-Governmental  '!A49</f>
        <v>Fund Balances (Deficits) at April 1</v>
      </c>
      <c r="B39" s="911" t="s">
        <v>14</v>
      </c>
      <c r="C39" s="1829">
        <v>-1544</v>
      </c>
      <c r="D39" s="1490"/>
      <c r="E39" s="1829">
        <v>0</v>
      </c>
      <c r="F39" s="909"/>
      <c r="G39" s="71">
        <f>'Exhibit I'!E15</f>
        <v>-1543.9</v>
      </c>
      <c r="H39" s="909"/>
      <c r="I39" s="2961">
        <v>0</v>
      </c>
      <c r="J39" s="909"/>
      <c r="K39" s="1831">
        <f>+G39+I39</f>
        <v>-1543.9</v>
      </c>
      <c r="L39" s="909"/>
      <c r="M39" s="106">
        <f t="shared" ref="M39" si="4">ROUND(SUM(K39)-SUM(C39),1)</f>
        <v>0.1</v>
      </c>
      <c r="N39" s="603"/>
      <c r="O39" s="1596">
        <v>0</v>
      </c>
      <c r="P39" s="603"/>
      <c r="Q39" s="603"/>
      <c r="R39" s="603"/>
      <c r="S39" s="603"/>
      <c r="T39" s="603"/>
      <c r="U39" s="603"/>
      <c r="V39" s="603"/>
      <c r="W39" s="603"/>
      <c r="X39" s="603"/>
      <c r="Y39" s="603"/>
      <c r="Z39" s="603"/>
      <c r="AA39" s="603"/>
      <c r="AB39" s="603"/>
      <c r="AC39" s="603"/>
      <c r="AD39" s="603"/>
      <c r="AE39" s="603"/>
      <c r="AF39" s="603"/>
      <c r="AG39" s="603"/>
      <c r="AH39" s="912"/>
    </row>
    <row r="40" spans="1:34" ht="16.5" thickBot="1">
      <c r="A40" s="1351" t="str">
        <f>+'Exh D-Governmental  '!A50</f>
        <v>Fund Balances (Deficits) at May 31, 2022</v>
      </c>
      <c r="B40" s="174" t="s">
        <v>14</v>
      </c>
      <c r="C40" s="92">
        <f>ROUND(SUM(C37:C39),1)</f>
        <v>-1332</v>
      </c>
      <c r="D40" s="213"/>
      <c r="E40" s="92">
        <f>ROUND(SUM(E37:E39),1)</f>
        <v>0</v>
      </c>
      <c r="F40" s="175"/>
      <c r="G40" s="1450">
        <f>ROUND(SUM(G37:G39),1)</f>
        <v>-1319.8</v>
      </c>
      <c r="H40" s="175"/>
      <c r="I40" s="92">
        <f>ROUND(SUM(I37:I39),1)</f>
        <v>0</v>
      </c>
      <c r="J40" s="175"/>
      <c r="K40" s="92">
        <f>ROUND(SUM(K37:K39),1)</f>
        <v>-1319.8</v>
      </c>
      <c r="L40" s="175"/>
      <c r="M40" s="1450">
        <f>ROUND(SUM(M37:M39),1)</f>
        <v>12.2</v>
      </c>
      <c r="N40" s="603"/>
      <c r="O40" s="92">
        <f>ROUND(SUM(O37:O39),1)</f>
        <v>0</v>
      </c>
      <c r="P40" s="603"/>
      <c r="Q40" s="603"/>
      <c r="R40" s="603"/>
      <c r="S40" s="603"/>
      <c r="T40" s="603"/>
      <c r="U40" s="603"/>
      <c r="V40" s="603"/>
      <c r="W40" s="603"/>
      <c r="X40" s="603"/>
      <c r="Y40" s="603"/>
      <c r="Z40" s="603"/>
      <c r="AA40" s="603"/>
      <c r="AB40" s="603"/>
      <c r="AC40" s="603"/>
      <c r="AD40" s="603"/>
      <c r="AE40" s="603"/>
      <c r="AF40" s="603"/>
      <c r="AG40" s="603"/>
      <c r="AH40" s="912"/>
    </row>
    <row r="41" spans="1:34" ht="15.75" thickTop="1">
      <c r="B41" s="603"/>
      <c r="C41" s="603"/>
      <c r="D41" s="603"/>
      <c r="E41" s="603"/>
      <c r="G41" s="935"/>
    </row>
    <row r="42" spans="1:34">
      <c r="A42" s="2077" t="str">
        <f>'Exh D-Governmental  '!A52</f>
        <v>(*)    Source: 2022-23 Enacted Financial Plan dated May 20, 2022.</v>
      </c>
      <c r="B42" s="603"/>
      <c r="D42" s="603"/>
    </row>
    <row r="43" spans="1:34" s="970" customFormat="1">
      <c r="A43" s="2077" t="s">
        <v>14</v>
      </c>
      <c r="B43" s="1892"/>
      <c r="C43" s="417"/>
      <c r="D43" s="1892"/>
      <c r="E43" s="417"/>
      <c r="F43" s="928"/>
      <c r="G43" s="1597"/>
      <c r="H43" s="1595"/>
      <c r="I43" s="1595"/>
      <c r="J43" s="1595"/>
      <c r="K43" s="1595"/>
      <c r="L43" s="1595"/>
      <c r="M43" s="1597"/>
      <c r="N43" s="1595"/>
      <c r="O43" s="3480"/>
      <c r="P43" s="928"/>
      <c r="Q43" s="928"/>
      <c r="R43" s="928"/>
      <c r="S43" s="928"/>
    </row>
    <row r="44" spans="1:34">
      <c r="A44" s="1460"/>
      <c r="B44" s="603"/>
      <c r="D44" s="603"/>
    </row>
    <row r="45" spans="1:34">
      <c r="A45" s="1460"/>
      <c r="B45" s="603"/>
      <c r="D45" s="603"/>
    </row>
    <row r="46" spans="1:34">
      <c r="A46" s="1028"/>
      <c r="B46" s="603"/>
      <c r="D46" s="603"/>
    </row>
    <row r="47" spans="1:34">
      <c r="A47" s="177"/>
      <c r="B47" s="603"/>
      <c r="D47" s="603"/>
    </row>
    <row r="48" spans="1:34">
      <c r="B48" s="603"/>
      <c r="D48" s="603"/>
    </row>
    <row r="49" spans="2:2">
      <c r="B49" s="603"/>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55" workbookViewId="0"/>
  </sheetViews>
  <sheetFormatPr defaultColWidth="8.6640625" defaultRowHeight="15"/>
  <cols>
    <col min="1" max="1" width="51.6640625" style="908" customWidth="1"/>
    <col min="2" max="2" width="2.109375" style="912" customWidth="1"/>
    <col min="3" max="3" width="15.6640625" style="416" customWidth="1"/>
    <col min="4" max="4" width="1.109375" style="912" customWidth="1"/>
    <col min="5" max="5" width="15.6640625" style="416" customWidth="1"/>
    <col min="6" max="6" width="1.109375" style="912" customWidth="1"/>
    <col min="7" max="7" width="15.6640625" style="912" customWidth="1"/>
    <col min="8" max="8" width="0.6640625" style="912" customWidth="1"/>
    <col min="9" max="9" width="19.44140625" style="912" customWidth="1"/>
    <col min="10" max="10" width="1.109375" style="603" customWidth="1"/>
    <col min="11" max="11" width="19.44140625" style="912" customWidth="1"/>
    <col min="12" max="12" width="1.109375" style="912" customWidth="1"/>
    <col min="13" max="13" width="15.6640625" style="603" customWidth="1"/>
    <col min="14" max="14" width="1.109375" style="603" customWidth="1"/>
    <col min="15" max="15" width="15.6640625" style="603" customWidth="1"/>
    <col min="16" max="16" width="1.109375" style="603" customWidth="1"/>
    <col min="17" max="17" width="15.6640625" style="603" customWidth="1"/>
    <col min="18" max="18" width="1.109375" style="603" customWidth="1"/>
    <col min="19" max="19" width="15.6640625" style="603" customWidth="1"/>
    <col min="20" max="20" width="1.6640625" style="603" customWidth="1"/>
    <col min="21" max="21" width="15.6640625" style="416" customWidth="1"/>
    <col min="22" max="22" width="0.6640625" style="603" customWidth="1"/>
    <col min="23" max="23" width="15.6640625" style="416" customWidth="1"/>
    <col min="24" max="24" width="1.109375" style="603" customWidth="1"/>
    <col min="25" max="25" width="15.6640625" style="603" customWidth="1"/>
    <col min="26" max="26" width="1" style="603" customWidth="1"/>
    <col min="27" max="27" width="15.6640625" style="603" customWidth="1"/>
    <col min="28" max="28" width="3.6640625" style="912" bestFit="1" customWidth="1"/>
    <col min="29" max="33" width="8.6640625" style="912"/>
    <col min="34" max="16384" width="8.6640625" style="908"/>
  </cols>
  <sheetData>
    <row r="1" spans="1:48">
      <c r="A1" s="914" t="s">
        <v>870</v>
      </c>
    </row>
    <row r="2" spans="1:48" ht="16.5">
      <c r="A2" s="179"/>
      <c r="B2" s="181"/>
      <c r="C2" s="410"/>
      <c r="D2" s="181"/>
      <c r="E2" s="410"/>
      <c r="F2" s="181"/>
      <c r="G2" s="181"/>
      <c r="H2" s="181"/>
      <c r="I2" s="181"/>
      <c r="J2" s="180"/>
      <c r="K2" s="181"/>
      <c r="L2" s="181"/>
      <c r="M2" s="180"/>
      <c r="N2" s="180"/>
      <c r="O2" s="180"/>
      <c r="P2" s="180"/>
      <c r="Q2" s="180"/>
      <c r="R2" s="180"/>
      <c r="S2" s="180"/>
      <c r="T2" s="180"/>
      <c r="U2" s="1159"/>
      <c r="V2" s="180"/>
      <c r="W2" s="1159"/>
      <c r="X2" s="180"/>
      <c r="Y2" s="180"/>
      <c r="Z2" s="180"/>
      <c r="AA2" s="180"/>
    </row>
    <row r="3" spans="1:48" s="3862" customFormat="1" ht="20.25" customHeight="1">
      <c r="A3" s="185" t="s">
        <v>0</v>
      </c>
      <c r="B3" s="142"/>
      <c r="C3" s="412"/>
      <c r="D3" s="137"/>
      <c r="E3" s="412"/>
      <c r="F3" s="137"/>
      <c r="G3" s="137"/>
      <c r="H3" s="137"/>
      <c r="I3" s="137"/>
      <c r="J3" s="150"/>
      <c r="K3" s="137"/>
      <c r="L3" s="137"/>
      <c r="M3" s="150"/>
      <c r="N3" s="150"/>
      <c r="O3" s="150"/>
      <c r="P3" s="150"/>
      <c r="Q3" s="150"/>
      <c r="R3" s="150"/>
      <c r="S3" s="799"/>
      <c r="T3" s="150"/>
      <c r="U3" s="799" t="s">
        <v>81</v>
      </c>
      <c r="V3" s="150"/>
      <c r="W3" s="1161"/>
      <c r="X3" s="150"/>
      <c r="Y3" s="150"/>
      <c r="Z3" s="150"/>
      <c r="AA3" s="1162"/>
      <c r="AB3" s="638"/>
      <c r="AC3" s="638"/>
      <c r="AD3" s="638"/>
      <c r="AE3" s="638"/>
      <c r="AF3" s="638"/>
      <c r="AG3" s="638"/>
    </row>
    <row r="4" spans="1:48" s="3862" customFormat="1" ht="20.25" customHeight="1">
      <c r="A4" s="185" t="s">
        <v>1087</v>
      </c>
      <c r="B4" s="142"/>
      <c r="C4" s="412"/>
      <c r="D4" s="137"/>
      <c r="E4" s="412"/>
      <c r="F4" s="137"/>
      <c r="G4" s="137"/>
      <c r="H4" s="137"/>
      <c r="I4" s="137"/>
      <c r="J4" s="150"/>
      <c r="K4" s="137"/>
      <c r="L4" s="137"/>
      <c r="M4" s="150"/>
      <c r="N4" s="150"/>
      <c r="O4" s="150"/>
      <c r="P4" s="150"/>
      <c r="Q4" s="150"/>
      <c r="R4" s="150"/>
      <c r="S4" s="800"/>
      <c r="T4" s="150"/>
      <c r="U4" s="800"/>
      <c r="V4" s="150"/>
      <c r="W4" s="1161"/>
      <c r="X4" s="150"/>
      <c r="Y4" s="150"/>
      <c r="Z4" s="150"/>
      <c r="AA4" s="1163"/>
      <c r="AB4" s="638"/>
      <c r="AC4" s="638"/>
      <c r="AD4" s="638"/>
      <c r="AE4" s="638"/>
      <c r="AF4" s="638"/>
      <c r="AG4" s="638"/>
    </row>
    <row r="5" spans="1:48" s="3862" customFormat="1" ht="20.25" customHeight="1">
      <c r="A5" s="3943" t="str">
        <f>'Exh D-Governmental  '!A5:E5</f>
        <v>FISCAL YEAR 2022-2023</v>
      </c>
      <c r="B5" s="3944"/>
      <c r="C5" s="3944"/>
      <c r="D5" s="3944"/>
      <c r="E5" s="3944"/>
      <c r="F5" s="137"/>
      <c r="G5" s="137"/>
      <c r="H5" s="137"/>
      <c r="I5" s="137"/>
      <c r="J5" s="150"/>
      <c r="K5" s="137"/>
      <c r="L5" s="137"/>
      <c r="M5" s="150"/>
      <c r="N5" s="150"/>
      <c r="O5" s="150"/>
      <c r="P5" s="150"/>
      <c r="Q5" s="150"/>
      <c r="R5" s="150"/>
      <c r="S5" s="150"/>
      <c r="T5" s="150"/>
      <c r="U5" s="1161"/>
      <c r="V5" s="150"/>
      <c r="W5" s="1161"/>
      <c r="X5" s="150"/>
      <c r="Y5" s="150"/>
      <c r="Z5" s="150"/>
      <c r="AA5" s="150"/>
      <c r="AB5" s="638"/>
      <c r="AC5" s="638"/>
      <c r="AD5" s="638"/>
      <c r="AE5" s="638"/>
      <c r="AF5" s="638"/>
      <c r="AG5" s="638"/>
    </row>
    <row r="6" spans="1:48" s="3862" customFormat="1" ht="20.25" customHeight="1">
      <c r="A6" s="1438" t="str">
        <f>'Exh D-Governmental  '!A6</f>
        <v xml:space="preserve">FOR TWO MONTHS ENDED MAY 31, 2022    </v>
      </c>
      <c r="B6" s="141"/>
      <c r="C6" s="412"/>
      <c r="D6" s="137"/>
      <c r="E6" s="412"/>
      <c r="F6" s="137"/>
      <c r="G6" s="137"/>
      <c r="H6" s="137"/>
      <c r="I6" s="137"/>
      <c r="J6" s="150"/>
      <c r="K6" s="137"/>
      <c r="L6" s="137"/>
      <c r="M6" s="150"/>
      <c r="N6" s="150"/>
      <c r="O6" s="150"/>
      <c r="P6" s="150"/>
      <c r="Q6" s="150"/>
      <c r="R6" s="150"/>
      <c r="S6" s="150"/>
      <c r="T6" s="150"/>
      <c r="U6" s="1161"/>
      <c r="V6" s="150"/>
      <c r="W6" s="1161"/>
      <c r="X6" s="150"/>
      <c r="Y6" s="150"/>
      <c r="Z6" s="150"/>
      <c r="AA6" s="150"/>
      <c r="AB6" s="137"/>
      <c r="AC6" s="150"/>
      <c r="AD6" s="150"/>
      <c r="AE6" s="150"/>
      <c r="AF6" s="150"/>
      <c r="AG6" s="150"/>
      <c r="AH6" s="150"/>
      <c r="AI6" s="150"/>
      <c r="AJ6" s="150"/>
      <c r="AK6" s="150"/>
      <c r="AL6" s="150"/>
      <c r="AM6" s="150"/>
      <c r="AN6" s="150"/>
      <c r="AO6" s="150"/>
      <c r="AP6" s="150"/>
      <c r="AQ6" s="901"/>
      <c r="AR6" s="901"/>
      <c r="AS6" s="901"/>
      <c r="AT6" s="901"/>
      <c r="AU6" s="901"/>
      <c r="AV6" s="638"/>
    </row>
    <row r="7" spans="1:48" s="3862" customFormat="1" ht="20.25" customHeight="1">
      <c r="A7" s="185" t="s">
        <v>1251</v>
      </c>
      <c r="B7" s="142"/>
      <c r="C7" s="412"/>
      <c r="D7" s="137"/>
      <c r="E7" s="412"/>
      <c r="F7" s="137"/>
      <c r="G7" s="137"/>
      <c r="H7" s="137"/>
      <c r="I7" s="137"/>
      <c r="J7" s="150"/>
      <c r="K7" s="137"/>
      <c r="L7" s="137"/>
      <c r="M7" s="150"/>
      <c r="N7" s="150"/>
      <c r="O7" s="150"/>
      <c r="P7" s="150"/>
      <c r="Q7" s="150"/>
      <c r="R7" s="150"/>
      <c r="S7" s="150"/>
      <c r="T7" s="150"/>
      <c r="U7" s="1161"/>
      <c r="V7" s="150"/>
      <c r="W7" s="1161"/>
      <c r="X7" s="150"/>
      <c r="Y7" s="150"/>
      <c r="Z7" s="150"/>
      <c r="AA7" s="150"/>
      <c r="AB7" s="638"/>
      <c r="AC7" s="638"/>
      <c r="AD7" s="638"/>
      <c r="AE7" s="638"/>
      <c r="AF7" s="638"/>
      <c r="AG7" s="638"/>
    </row>
    <row r="8" spans="1:48" ht="18">
      <c r="A8" s="187"/>
      <c r="B8" s="142"/>
      <c r="C8" s="412"/>
      <c r="D8" s="137"/>
      <c r="E8" s="412"/>
      <c r="F8" s="137"/>
      <c r="G8" s="137"/>
      <c r="H8" s="137"/>
      <c r="I8" s="137"/>
      <c r="J8" s="150"/>
      <c r="K8" s="137"/>
      <c r="L8" s="137"/>
      <c r="M8" s="150"/>
      <c r="N8" s="150"/>
      <c r="O8" s="150"/>
      <c r="P8" s="150"/>
      <c r="Q8" s="150"/>
      <c r="R8" s="150"/>
      <c r="S8" s="150"/>
      <c r="T8" s="150"/>
      <c r="U8" s="1161"/>
      <c r="V8" s="150"/>
      <c r="W8" s="1161"/>
      <c r="X8" s="150"/>
      <c r="Y8" s="150"/>
      <c r="Z8" s="150"/>
      <c r="AA8" s="150"/>
    </row>
    <row r="9" spans="1:48">
      <c r="A9" s="144"/>
      <c r="B9" s="137"/>
      <c r="C9" s="413"/>
      <c r="D9" s="137"/>
      <c r="E9" s="413"/>
      <c r="F9" s="137"/>
      <c r="G9" s="137"/>
      <c r="H9" s="137"/>
      <c r="I9" s="137"/>
      <c r="J9" s="150"/>
      <c r="K9" s="137"/>
      <c r="L9" s="137"/>
      <c r="M9" s="150"/>
      <c r="N9" s="150"/>
      <c r="O9" s="150"/>
      <c r="P9" s="150"/>
      <c r="Q9" s="150"/>
      <c r="R9" s="150"/>
      <c r="S9" s="150"/>
      <c r="T9" s="150"/>
      <c r="U9" s="1161"/>
      <c r="V9" s="150"/>
      <c r="W9" s="1161"/>
      <c r="X9" s="150"/>
      <c r="Y9" s="150"/>
      <c r="Z9" s="150"/>
      <c r="AA9" s="150"/>
    </row>
    <row r="10" spans="1:48">
      <c r="A10" s="144"/>
      <c r="B10" s="137"/>
      <c r="C10" s="412"/>
      <c r="D10" s="142"/>
      <c r="E10" s="412"/>
      <c r="F10" s="142"/>
      <c r="G10" s="142"/>
      <c r="H10" s="142"/>
      <c r="I10" s="142"/>
      <c r="J10" s="141"/>
      <c r="K10" s="142"/>
      <c r="L10" s="142"/>
      <c r="M10" s="412"/>
      <c r="N10" s="142"/>
      <c r="O10" s="412"/>
      <c r="P10" s="142"/>
      <c r="Q10" s="142"/>
      <c r="R10" s="142"/>
      <c r="S10" s="142"/>
      <c r="T10" s="141"/>
      <c r="U10" s="941"/>
      <c r="V10" s="141"/>
      <c r="W10" s="941"/>
      <c r="X10" s="141"/>
      <c r="Y10" s="141"/>
      <c r="Z10" s="141"/>
      <c r="AA10" s="141"/>
      <c r="AB10" s="928"/>
    </row>
    <row r="11" spans="1:48" ht="15.75">
      <c r="A11" s="669"/>
      <c r="B11" s="145"/>
      <c r="C11" s="3945" t="s">
        <v>1031</v>
      </c>
      <c r="D11" s="3945"/>
      <c r="E11" s="3945"/>
      <c r="F11" s="3945"/>
      <c r="G11" s="3945"/>
      <c r="H11" s="3945"/>
      <c r="I11" s="3945"/>
      <c r="J11" s="1155"/>
      <c r="K11" s="1155"/>
      <c r="L11" s="199"/>
      <c r="M11" s="3945" t="s">
        <v>1032</v>
      </c>
      <c r="N11" s="3945"/>
      <c r="O11" s="3945"/>
      <c r="P11" s="3945"/>
      <c r="Q11" s="3945"/>
      <c r="R11" s="3945"/>
      <c r="S11" s="3945"/>
      <c r="T11" s="1168"/>
      <c r="U11" s="1387"/>
      <c r="V11" s="1387"/>
      <c r="W11" s="190"/>
      <c r="X11" s="190"/>
      <c r="Y11" s="190"/>
      <c r="Z11" s="190"/>
      <c r="AA11" s="190"/>
      <c r="AB11" s="928"/>
    </row>
    <row r="12" spans="1:48" ht="15.75">
      <c r="A12" s="669"/>
      <c r="B12" s="145"/>
      <c r="C12" s="418"/>
      <c r="D12" s="146"/>
      <c r="E12" s="418"/>
      <c r="F12" s="146"/>
      <c r="G12" s="146"/>
      <c r="H12" s="146"/>
      <c r="I12" s="200" t="s">
        <v>82</v>
      </c>
      <c r="J12" s="200"/>
      <c r="K12" s="200" t="s">
        <v>82</v>
      </c>
      <c r="L12" s="915"/>
      <c r="M12" s="418"/>
      <c r="N12" s="146"/>
      <c r="O12" s="418"/>
      <c r="P12" s="146"/>
      <c r="Q12" s="146"/>
      <c r="R12" s="146"/>
      <c r="S12" s="200" t="s">
        <v>82</v>
      </c>
      <c r="T12" s="145"/>
      <c r="U12" s="200" t="s">
        <v>82</v>
      </c>
      <c r="V12" s="145"/>
      <c r="W12" s="957"/>
      <c r="X12" s="145"/>
      <c r="Y12" s="145"/>
      <c r="Z12" s="145"/>
      <c r="AA12" s="200"/>
    </row>
    <row r="13" spans="1:48" ht="15.75">
      <c r="A13" s="669"/>
      <c r="B13" s="145"/>
      <c r="C13" s="418"/>
      <c r="D13" s="146"/>
      <c r="E13" s="418"/>
      <c r="F13" s="146"/>
      <c r="G13" s="146"/>
      <c r="H13" s="146"/>
      <c r="I13" s="147" t="s">
        <v>784</v>
      </c>
      <c r="J13" s="195"/>
      <c r="K13" s="147" t="s">
        <v>784</v>
      </c>
      <c r="L13" s="915"/>
      <c r="M13" s="418"/>
      <c r="N13" s="146"/>
      <c r="O13" s="418"/>
      <c r="P13" s="146"/>
      <c r="Q13" s="146"/>
      <c r="R13" s="146"/>
      <c r="S13" s="147" t="s">
        <v>784</v>
      </c>
      <c r="T13" s="145"/>
      <c r="U13" s="147" t="s">
        <v>784</v>
      </c>
      <c r="V13" s="145"/>
      <c r="W13" s="957"/>
      <c r="X13" s="145"/>
      <c r="Y13" s="145"/>
      <c r="Z13" s="145"/>
      <c r="AA13" s="195"/>
    </row>
    <row r="14" spans="1:48" ht="15.75" customHeight="1">
      <c r="A14" s="669"/>
      <c r="B14" s="145"/>
      <c r="C14" s="148" t="s">
        <v>977</v>
      </c>
      <c r="D14" s="908"/>
      <c r="E14" s="148" t="s">
        <v>978</v>
      </c>
      <c r="F14" s="146"/>
      <c r="G14" s="146"/>
      <c r="H14" s="146"/>
      <c r="I14" s="147" t="s">
        <v>83</v>
      </c>
      <c r="J14" s="195"/>
      <c r="K14" s="147" t="s">
        <v>83</v>
      </c>
      <c r="L14" s="915"/>
      <c r="M14" s="148" t="s">
        <v>977</v>
      </c>
      <c r="N14" s="908"/>
      <c r="O14" s="148" t="s">
        <v>978</v>
      </c>
      <c r="P14" s="146"/>
      <c r="Q14" s="146"/>
      <c r="R14" s="146"/>
      <c r="S14" s="147" t="s">
        <v>83</v>
      </c>
      <c r="T14" s="196"/>
      <c r="U14" s="147" t="s">
        <v>83</v>
      </c>
      <c r="V14" s="670"/>
      <c r="W14" s="194"/>
      <c r="X14" s="145"/>
      <c r="Y14" s="145"/>
      <c r="Z14" s="145"/>
      <c r="AA14" s="195"/>
    </row>
    <row r="15" spans="1:48" ht="15.75" customHeight="1">
      <c r="A15" s="669"/>
      <c r="B15" s="145"/>
      <c r="C15" s="147" t="s">
        <v>1013</v>
      </c>
      <c r="D15" s="146"/>
      <c r="E15" s="147" t="s">
        <v>1013</v>
      </c>
      <c r="F15" s="146"/>
      <c r="G15" s="146"/>
      <c r="H15" s="146"/>
      <c r="I15" s="147" t="s">
        <v>977</v>
      </c>
      <c r="J15" s="194"/>
      <c r="K15" s="148" t="s">
        <v>978</v>
      </c>
      <c r="L15" s="958"/>
      <c r="M15" s="147" t="s">
        <v>1013</v>
      </c>
      <c r="N15" s="146"/>
      <c r="O15" s="147" t="s">
        <v>1013</v>
      </c>
      <c r="P15" s="146"/>
      <c r="Q15" s="146"/>
      <c r="R15" s="146"/>
      <c r="S15" s="147" t="s">
        <v>977</v>
      </c>
      <c r="T15" s="196"/>
      <c r="U15" s="148" t="s">
        <v>978</v>
      </c>
      <c r="V15" s="145"/>
      <c r="W15" s="195"/>
      <c r="X15" s="145"/>
      <c r="Y15" s="145"/>
      <c r="Z15" s="145"/>
      <c r="AA15" s="194"/>
    </row>
    <row r="16" spans="1:48" ht="15.75">
      <c r="A16" s="669"/>
      <c r="B16" s="145"/>
      <c r="C16" s="147" t="s">
        <v>1014</v>
      </c>
      <c r="D16" s="146"/>
      <c r="E16" s="147" t="s">
        <v>1485</v>
      </c>
      <c r="F16" s="146"/>
      <c r="G16" s="148" t="s">
        <v>82</v>
      </c>
      <c r="H16" s="146"/>
      <c r="I16" s="147" t="s">
        <v>84</v>
      </c>
      <c r="J16" s="195"/>
      <c r="K16" s="147" t="s">
        <v>84</v>
      </c>
      <c r="L16" s="915"/>
      <c r="M16" s="147" t="s">
        <v>1014</v>
      </c>
      <c r="N16" s="146"/>
      <c r="O16" s="147" t="s">
        <v>1499</v>
      </c>
      <c r="P16" s="146"/>
      <c r="Q16" s="148" t="s">
        <v>82</v>
      </c>
      <c r="R16" s="146"/>
      <c r="S16" s="147" t="s">
        <v>84</v>
      </c>
      <c r="T16" s="195"/>
      <c r="U16" s="147" t="s">
        <v>84</v>
      </c>
      <c r="V16" s="145"/>
      <c r="W16" s="195"/>
      <c r="X16" s="145"/>
      <c r="Y16" s="194"/>
      <c r="Z16" s="145"/>
      <c r="AA16" s="195"/>
    </row>
    <row r="17" spans="1:48">
      <c r="A17" s="149"/>
      <c r="B17" s="150"/>
      <c r="C17" s="151"/>
      <c r="D17" s="137"/>
      <c r="E17" s="151"/>
      <c r="F17" s="137"/>
      <c r="G17" s="151"/>
      <c r="H17" s="137"/>
      <c r="I17" s="151"/>
      <c r="J17" s="150"/>
      <c r="K17" s="151"/>
      <c r="L17" s="916"/>
      <c r="M17" s="151"/>
      <c r="N17" s="137"/>
      <c r="O17" s="151"/>
      <c r="P17" s="137"/>
      <c r="Q17" s="151"/>
      <c r="R17" s="137"/>
      <c r="S17" s="151"/>
      <c r="T17" s="150"/>
      <c r="U17" s="151"/>
      <c r="V17" s="150"/>
      <c r="W17" s="150"/>
      <c r="X17" s="150"/>
      <c r="Y17" s="150"/>
      <c r="Z17" s="150"/>
      <c r="AA17" s="150"/>
    </row>
    <row r="18" spans="1:48" ht="15.75">
      <c r="A18" s="26" t="s">
        <v>13</v>
      </c>
      <c r="B18" s="901"/>
      <c r="C18" s="638"/>
      <c r="D18" s="638"/>
      <c r="E18" s="638"/>
      <c r="F18" s="638"/>
      <c r="G18" s="793" t="s">
        <v>14</v>
      </c>
      <c r="H18" s="638"/>
      <c r="I18" s="638"/>
      <c r="J18" s="901"/>
      <c r="K18" s="638"/>
      <c r="L18" s="917"/>
      <c r="M18" s="638"/>
      <c r="N18" s="638"/>
      <c r="O18" s="638"/>
      <c r="P18" s="638"/>
      <c r="Q18" s="638" t="s">
        <v>14</v>
      </c>
      <c r="R18" s="638"/>
      <c r="S18" s="638"/>
      <c r="T18" s="901"/>
      <c r="U18" s="638"/>
      <c r="V18" s="901"/>
      <c r="W18" s="901"/>
      <c r="X18" s="901"/>
      <c r="Y18" s="901"/>
      <c r="Z18" s="901"/>
      <c r="AA18" s="901"/>
    </row>
    <row r="19" spans="1:48">
      <c r="A19" s="798" t="s">
        <v>85</v>
      </c>
      <c r="B19" s="902" t="s">
        <v>14</v>
      </c>
      <c r="C19" s="639"/>
      <c r="D19" s="641"/>
      <c r="E19" s="639"/>
      <c r="F19" s="641"/>
      <c r="G19" s="639"/>
      <c r="H19" s="641"/>
      <c r="I19" s="639"/>
      <c r="J19" s="948"/>
      <c r="K19" s="639"/>
      <c r="L19" s="929"/>
      <c r="M19" s="639"/>
      <c r="N19" s="639"/>
      <c r="O19" s="639"/>
      <c r="P19" s="639"/>
      <c r="Q19" s="930"/>
      <c r="R19" s="641"/>
      <c r="S19" s="639"/>
      <c r="T19" s="641"/>
      <c r="U19" s="639"/>
      <c r="V19" s="948"/>
      <c r="W19" s="948"/>
      <c r="X19" s="948"/>
      <c r="Y19" s="1169"/>
      <c r="Z19" s="946"/>
      <c r="AA19" s="948"/>
      <c r="AB19" s="901"/>
      <c r="AC19" s="901"/>
      <c r="AD19" s="901"/>
      <c r="AE19" s="901"/>
      <c r="AF19" s="901"/>
      <c r="AG19" s="901"/>
      <c r="AH19" s="901"/>
      <c r="AI19" s="901"/>
      <c r="AJ19" s="901"/>
      <c r="AK19" s="901"/>
      <c r="AL19" s="901"/>
      <c r="AM19" s="901"/>
      <c r="AN19" s="901"/>
      <c r="AO19" s="901"/>
      <c r="AP19" s="901"/>
      <c r="AQ19" s="603"/>
      <c r="AR19" s="603"/>
      <c r="AS19" s="603"/>
      <c r="AT19" s="603"/>
      <c r="AU19" s="603"/>
      <c r="AV19" s="912"/>
    </row>
    <row r="20" spans="1:48">
      <c r="A20" s="798" t="s">
        <v>87</v>
      </c>
      <c r="B20" s="901" t="s">
        <v>14</v>
      </c>
      <c r="C20" s="1998">
        <v>92</v>
      </c>
      <c r="D20" s="639"/>
      <c r="E20" s="1998">
        <v>0</v>
      </c>
      <c r="F20" s="639"/>
      <c r="G20" s="918">
        <f>+'Exhibit I State'!AD22</f>
        <v>82.9</v>
      </c>
      <c r="H20" s="639"/>
      <c r="I20" s="639">
        <f t="shared" ref="I20:I26" si="0">ROUND(SUM(G20)-SUM(C20),1)</f>
        <v>-9.1</v>
      </c>
      <c r="J20" s="948"/>
      <c r="K20" s="639">
        <v>0</v>
      </c>
      <c r="L20" s="929"/>
      <c r="M20" s="1998">
        <v>0</v>
      </c>
      <c r="N20" s="1998"/>
      <c r="O20" s="1998">
        <v>0</v>
      </c>
      <c r="P20" s="642"/>
      <c r="Q20" s="918">
        <v>0</v>
      </c>
      <c r="R20" s="642"/>
      <c r="S20" s="639">
        <f>Q20-M20</f>
        <v>0</v>
      </c>
      <c r="T20" s="948"/>
      <c r="U20" s="639">
        <f t="shared" ref="U20:U26" si="1">Q20-O20</f>
        <v>0</v>
      </c>
      <c r="V20" s="1170"/>
      <c r="W20" s="947"/>
      <c r="X20" s="1170"/>
      <c r="Y20" s="947"/>
      <c r="Z20" s="1170"/>
      <c r="AA20" s="948"/>
      <c r="AB20" s="901"/>
      <c r="AC20" s="901"/>
      <c r="AD20" s="901"/>
      <c r="AE20" s="901"/>
      <c r="AF20" s="901"/>
      <c r="AG20" s="901"/>
      <c r="AH20" s="901"/>
      <c r="AI20" s="901"/>
      <c r="AJ20" s="901"/>
      <c r="AK20" s="901"/>
      <c r="AL20" s="901"/>
      <c r="AM20" s="901"/>
      <c r="AN20" s="901"/>
      <c r="AO20" s="901"/>
      <c r="AP20" s="901"/>
      <c r="AQ20" s="603"/>
      <c r="AR20" s="603"/>
      <c r="AS20" s="603"/>
      <c r="AT20" s="603"/>
      <c r="AU20" s="603"/>
      <c r="AV20" s="912"/>
    </row>
    <row r="21" spans="1:48">
      <c r="A21" s="798" t="s">
        <v>88</v>
      </c>
      <c r="B21" s="902" t="s">
        <v>14</v>
      </c>
      <c r="C21" s="1099">
        <v>99</v>
      </c>
      <c r="D21" s="661"/>
      <c r="E21" s="1099">
        <v>0</v>
      </c>
      <c r="F21" s="661"/>
      <c r="G21" s="665">
        <f>+'Exhibit I State'!AD27</f>
        <v>99.3</v>
      </c>
      <c r="H21" s="661"/>
      <c r="I21" s="1489">
        <f t="shared" si="0"/>
        <v>0.3</v>
      </c>
      <c r="J21" s="920"/>
      <c r="K21" s="1489">
        <v>0</v>
      </c>
      <c r="L21" s="931"/>
      <c r="M21" s="1099">
        <v>0</v>
      </c>
      <c r="N21" s="1099"/>
      <c r="O21" s="1099">
        <v>0</v>
      </c>
      <c r="P21" s="640"/>
      <c r="Q21" s="665">
        <v>0</v>
      </c>
      <c r="R21" s="640"/>
      <c r="S21" s="624">
        <f t="shared" ref="S21:S26" si="2">ROUND(SUM(Q21)-SUM(M21),1)</f>
        <v>0</v>
      </c>
      <c r="T21" s="661"/>
      <c r="U21" s="1489">
        <f t="shared" si="1"/>
        <v>0</v>
      </c>
      <c r="V21" s="923"/>
      <c r="W21" s="951"/>
      <c r="X21" s="923"/>
      <c r="Y21" s="951"/>
      <c r="Z21" s="923"/>
      <c r="AA21" s="920"/>
      <c r="AB21" s="922"/>
      <c r="AC21" s="901"/>
      <c r="AD21" s="901"/>
      <c r="AE21" s="922"/>
      <c r="AF21" s="901"/>
      <c r="AG21" s="922"/>
      <c r="AH21" s="901"/>
      <c r="AI21" s="901"/>
      <c r="AJ21" s="922"/>
      <c r="AK21" s="901"/>
      <c r="AL21" s="901"/>
      <c r="AM21" s="922"/>
      <c r="AN21" s="197"/>
      <c r="AO21" s="922"/>
      <c r="AP21" s="901"/>
      <c r="AQ21" s="603"/>
      <c r="AR21" s="603"/>
      <c r="AS21" s="603"/>
      <c r="AT21" s="603"/>
      <c r="AU21" s="603"/>
      <c r="AV21" s="912"/>
    </row>
    <row r="22" spans="1:48">
      <c r="A22" s="798" t="s">
        <v>89</v>
      </c>
      <c r="B22" s="901" t="s">
        <v>14</v>
      </c>
      <c r="C22" s="1099">
        <v>0</v>
      </c>
      <c r="D22" s="1489"/>
      <c r="E22" s="1099">
        <v>0</v>
      </c>
      <c r="F22" s="624"/>
      <c r="G22" s="665">
        <f>+'Exhibit I State'!AD30</f>
        <v>0</v>
      </c>
      <c r="H22" s="624"/>
      <c r="I22" s="624">
        <f t="shared" si="0"/>
        <v>0</v>
      </c>
      <c r="J22" s="920"/>
      <c r="K22" s="1489">
        <f t="shared" ref="K22:K25" si="3">+G22-E22</f>
        <v>0</v>
      </c>
      <c r="L22" s="931"/>
      <c r="M22" s="1099">
        <v>0</v>
      </c>
      <c r="N22" s="1099"/>
      <c r="O22" s="1099">
        <v>0</v>
      </c>
      <c r="P22" s="640"/>
      <c r="Q22" s="665">
        <v>0</v>
      </c>
      <c r="R22" s="640"/>
      <c r="S22" s="624">
        <f t="shared" si="2"/>
        <v>0</v>
      </c>
      <c r="T22" s="920"/>
      <c r="U22" s="1489">
        <f t="shared" si="1"/>
        <v>0</v>
      </c>
      <c r="V22" s="923"/>
      <c r="W22" s="951"/>
      <c r="X22" s="923"/>
      <c r="Y22" s="951"/>
      <c r="Z22" s="923"/>
      <c r="AA22" s="920"/>
      <c r="AB22" s="901"/>
      <c r="AC22" s="901"/>
      <c r="AD22" s="901"/>
      <c r="AE22" s="901"/>
      <c r="AF22" s="901"/>
      <c r="AG22" s="901"/>
      <c r="AH22" s="901"/>
      <c r="AI22" s="901"/>
      <c r="AJ22" s="901"/>
      <c r="AK22" s="901"/>
      <c r="AL22" s="901"/>
      <c r="AM22" s="901"/>
      <c r="AN22" s="901"/>
      <c r="AO22" s="901"/>
      <c r="AP22" s="901"/>
      <c r="AQ22" s="603"/>
      <c r="AR22" s="603"/>
      <c r="AS22" s="603"/>
      <c r="AT22" s="603"/>
      <c r="AU22" s="603"/>
      <c r="AV22" s="912"/>
    </row>
    <row r="23" spans="1:48">
      <c r="A23" s="798" t="s">
        <v>19</v>
      </c>
      <c r="B23" s="901" t="s">
        <v>14</v>
      </c>
      <c r="C23" s="1099">
        <v>2088</v>
      </c>
      <c r="D23" s="1489"/>
      <c r="E23" s="1099">
        <v>0</v>
      </c>
      <c r="F23" s="624"/>
      <c r="G23" s="665">
        <f>+'Exhibit I State'!AD60</f>
        <v>2040.3</v>
      </c>
      <c r="H23" s="624"/>
      <c r="I23" s="1489">
        <f t="shared" si="0"/>
        <v>-47.7</v>
      </c>
      <c r="J23" s="920"/>
      <c r="K23" s="1489">
        <v>0</v>
      </c>
      <c r="L23" s="931"/>
      <c r="M23" s="1099">
        <v>0</v>
      </c>
      <c r="N23" s="1489"/>
      <c r="O23" s="1099">
        <v>0</v>
      </c>
      <c r="P23" s="624"/>
      <c r="Q23" s="624">
        <f>+'Exhibit I Federal'!AD42</f>
        <v>0</v>
      </c>
      <c r="R23" s="624"/>
      <c r="S23" s="624">
        <f t="shared" si="2"/>
        <v>0</v>
      </c>
      <c r="T23" s="920"/>
      <c r="U23" s="1489">
        <f t="shared" si="1"/>
        <v>0</v>
      </c>
      <c r="V23" s="920"/>
      <c r="W23" s="951"/>
      <c r="X23" s="920"/>
      <c r="Y23" s="951"/>
      <c r="Z23" s="920"/>
      <c r="AA23" s="920"/>
    </row>
    <row r="24" spans="1:48">
      <c r="A24" s="798" t="s">
        <v>20</v>
      </c>
      <c r="B24" s="901" t="s">
        <v>14</v>
      </c>
      <c r="C24" s="1099">
        <v>0</v>
      </c>
      <c r="D24" s="1489"/>
      <c r="E24" s="1099">
        <v>0</v>
      </c>
      <c r="F24" s="624"/>
      <c r="G24" s="665">
        <f>+'Exhibit I State'!AD62</f>
        <v>0</v>
      </c>
      <c r="H24" s="624"/>
      <c r="I24" s="1489">
        <f t="shared" si="0"/>
        <v>0</v>
      </c>
      <c r="J24" s="920"/>
      <c r="K24" s="1489">
        <f t="shared" si="3"/>
        <v>0</v>
      </c>
      <c r="L24" s="931"/>
      <c r="M24" s="1099">
        <v>306</v>
      </c>
      <c r="N24" s="1489"/>
      <c r="O24" s="1099">
        <v>0</v>
      </c>
      <c r="P24" s="624"/>
      <c r="Q24" s="624">
        <f>+'Exhibit I Federal'!AD44</f>
        <v>300.60000000000002</v>
      </c>
      <c r="R24" s="624"/>
      <c r="S24" s="1489">
        <f t="shared" si="2"/>
        <v>-5.4</v>
      </c>
      <c r="T24" s="920"/>
      <c r="U24" s="1489">
        <v>0</v>
      </c>
      <c r="V24" s="920"/>
      <c r="W24" s="951"/>
      <c r="X24" s="920"/>
      <c r="Y24" s="951"/>
      <c r="Z24" s="920"/>
      <c r="AA24" s="920"/>
    </row>
    <row r="25" spans="1:48">
      <c r="A25" s="798" t="s">
        <v>95</v>
      </c>
      <c r="B25" s="901" t="s">
        <v>14</v>
      </c>
      <c r="C25" s="1099">
        <v>0</v>
      </c>
      <c r="D25" s="1489"/>
      <c r="E25" s="1099">
        <v>0</v>
      </c>
      <c r="F25" s="624"/>
      <c r="G25" s="665">
        <f>+'Exhibit I State'!AA91</f>
        <v>0</v>
      </c>
      <c r="H25" s="624"/>
      <c r="I25" s="1489">
        <f t="shared" si="0"/>
        <v>0</v>
      </c>
      <c r="J25" s="920"/>
      <c r="K25" s="1489">
        <f t="shared" si="3"/>
        <v>0</v>
      </c>
      <c r="L25" s="932"/>
      <c r="M25" s="1099">
        <v>0</v>
      </c>
      <c r="N25" s="872"/>
      <c r="O25" s="1099">
        <v>0</v>
      </c>
      <c r="P25" s="624"/>
      <c r="Q25" s="640">
        <v>0</v>
      </c>
      <c r="R25" s="624"/>
      <c r="S25" s="1489">
        <f t="shared" si="2"/>
        <v>0</v>
      </c>
      <c r="T25" s="921"/>
      <c r="U25" s="1489">
        <f t="shared" si="1"/>
        <v>0</v>
      </c>
      <c r="V25" s="920"/>
      <c r="W25" s="951"/>
      <c r="X25" s="920"/>
      <c r="Y25" s="951"/>
      <c r="Z25" s="920"/>
      <c r="AA25" s="920"/>
    </row>
    <row r="26" spans="1:48">
      <c r="A26" s="798" t="s">
        <v>46</v>
      </c>
      <c r="B26" s="901" t="s">
        <v>14</v>
      </c>
      <c r="C26" s="1099">
        <v>-310</v>
      </c>
      <c r="D26" s="1489"/>
      <c r="E26" s="1099">
        <v>0</v>
      </c>
      <c r="F26" s="624"/>
      <c r="G26" s="663">
        <f>+'Exhibit I State'!AD92</f>
        <v>-783.2</v>
      </c>
      <c r="H26" s="624"/>
      <c r="I26" s="1489">
        <f t="shared" si="0"/>
        <v>-473.2</v>
      </c>
      <c r="J26" s="920"/>
      <c r="K26" s="1489">
        <v>0</v>
      </c>
      <c r="L26" s="931"/>
      <c r="M26" s="1099">
        <v>0</v>
      </c>
      <c r="N26" s="872"/>
      <c r="O26" s="1099">
        <v>0</v>
      </c>
      <c r="P26" s="624"/>
      <c r="Q26" s="661">
        <f>+'Exhibit I Federal'!AD73</f>
        <v>0</v>
      </c>
      <c r="R26" s="624"/>
      <c r="S26" s="1489">
        <f t="shared" si="2"/>
        <v>0</v>
      </c>
      <c r="T26" s="921"/>
      <c r="U26" s="1489">
        <f t="shared" si="1"/>
        <v>0</v>
      </c>
      <c r="V26" s="920"/>
      <c r="W26" s="951"/>
      <c r="X26" s="920"/>
      <c r="Y26" s="951"/>
      <c r="Z26" s="920"/>
      <c r="AA26" s="920"/>
    </row>
    <row r="27" spans="1:48" ht="18" customHeight="1">
      <c r="A27" s="167" t="s">
        <v>106</v>
      </c>
      <c r="B27" s="145" t="s">
        <v>14</v>
      </c>
      <c r="C27" s="1826">
        <f>ROUND(SUM(C20:C26),1)</f>
        <v>1969</v>
      </c>
      <c r="D27" s="899"/>
      <c r="E27" s="1826">
        <f>ROUND(SUM(E20:E26),1)</f>
        <v>0</v>
      </c>
      <c r="F27" s="899"/>
      <c r="G27" s="209">
        <f>ROUND(SUM(G20:G26),1)</f>
        <v>1439.3</v>
      </c>
      <c r="H27" s="899"/>
      <c r="I27" s="209">
        <f>ROUND(SUM(I20:I26),1)</f>
        <v>-529.70000000000005</v>
      </c>
      <c r="J27" s="71"/>
      <c r="K27" s="209">
        <f>ROUND(SUM(K20:K26),1)</f>
        <v>0</v>
      </c>
      <c r="L27" s="933"/>
      <c r="M27" s="1826">
        <f>ROUND(SUM(M20:M26),1)</f>
        <v>306</v>
      </c>
      <c r="N27" s="899"/>
      <c r="O27" s="1826">
        <f>ROUND(SUM(O20:O26),1)</f>
        <v>0</v>
      </c>
      <c r="P27" s="899"/>
      <c r="Q27" s="209">
        <f>ROUND(SUM(Q20:Q26),1)</f>
        <v>300.60000000000002</v>
      </c>
      <c r="R27" s="899"/>
      <c r="S27" s="209">
        <f>ROUND(SUM(S20:S26),1)</f>
        <v>-5.4</v>
      </c>
      <c r="T27" s="71"/>
      <c r="U27" s="209">
        <f>ROUND(SUM(U20:U26),1)</f>
        <v>0</v>
      </c>
      <c r="V27" s="71"/>
      <c r="W27" s="71"/>
      <c r="X27" s="71"/>
      <c r="Y27" s="71"/>
      <c r="Z27" s="71"/>
      <c r="AA27" s="71"/>
    </row>
    <row r="28" spans="1:48">
      <c r="A28" s="669"/>
      <c r="B28" s="901" t="s">
        <v>14</v>
      </c>
      <c r="C28" s="1827"/>
      <c r="D28" s="1489"/>
      <c r="E28" s="1827"/>
      <c r="F28" s="624"/>
      <c r="G28" s="667"/>
      <c r="H28" s="624"/>
      <c r="I28" s="667"/>
      <c r="J28" s="920"/>
      <c r="K28" s="667"/>
      <c r="L28" s="931"/>
      <c r="M28" s="1827"/>
      <c r="N28" s="1489"/>
      <c r="O28" s="1827"/>
      <c r="P28" s="624"/>
      <c r="Q28" s="667"/>
      <c r="R28" s="624"/>
      <c r="S28" s="667" t="s">
        <v>14</v>
      </c>
      <c r="T28" s="920"/>
      <c r="U28" s="667"/>
      <c r="V28" s="920"/>
      <c r="W28" s="920"/>
      <c r="X28" s="920"/>
      <c r="Y28" s="920"/>
      <c r="Z28" s="920"/>
      <c r="AA28" s="920"/>
    </row>
    <row r="29" spans="1:48" ht="15.75">
      <c r="A29" s="26" t="s">
        <v>22</v>
      </c>
      <c r="B29" s="901" t="s">
        <v>14</v>
      </c>
      <c r="C29" s="872"/>
      <c r="D29" s="1489"/>
      <c r="E29" s="872"/>
      <c r="F29" s="624"/>
      <c r="G29" s="624" t="s">
        <v>14</v>
      </c>
      <c r="H29" s="624"/>
      <c r="I29" s="624"/>
      <c r="J29" s="920"/>
      <c r="K29" s="1489"/>
      <c r="L29" s="931"/>
      <c r="M29" s="872"/>
      <c r="N29" s="1489"/>
      <c r="O29" s="872"/>
      <c r="P29" s="624"/>
      <c r="Q29" s="624"/>
      <c r="R29" s="624"/>
      <c r="S29" s="624"/>
      <c r="T29" s="920"/>
      <c r="U29" s="1489"/>
      <c r="V29" s="920"/>
      <c r="W29" s="920"/>
      <c r="X29" s="920"/>
      <c r="Y29" s="920"/>
      <c r="Z29" s="920"/>
      <c r="AA29" s="920"/>
    </row>
    <row r="30" spans="1:48">
      <c r="A30" s="798" t="s">
        <v>91</v>
      </c>
      <c r="B30" s="901" t="s">
        <v>14</v>
      </c>
      <c r="C30" s="1099">
        <v>535</v>
      </c>
      <c r="D30" s="1489"/>
      <c r="E30" s="1099">
        <v>0</v>
      </c>
      <c r="F30" s="624"/>
      <c r="G30" s="640">
        <f>+'Exhibit I State'!AD78</f>
        <v>376.6</v>
      </c>
      <c r="H30" s="624"/>
      <c r="I30" s="1489">
        <f t="shared" ref="I30:I32" si="4">ROUND(SUM(G30)-SUM(C30),1)</f>
        <v>-158.4</v>
      </c>
      <c r="J30" s="920"/>
      <c r="K30" s="1489">
        <v>0</v>
      </c>
      <c r="L30" s="931"/>
      <c r="M30" s="1099">
        <v>93</v>
      </c>
      <c r="N30" s="1489"/>
      <c r="O30" s="1099">
        <v>0</v>
      </c>
      <c r="P30" s="624"/>
      <c r="Q30" s="624">
        <f>+'Exhibit I Federal'!AD60</f>
        <v>94.2</v>
      </c>
      <c r="R30" s="624"/>
      <c r="S30" s="1489">
        <f t="shared" ref="S30:S32" si="5">ROUND(SUM(Q30)-SUM(M30),1)</f>
        <v>1.2</v>
      </c>
      <c r="T30" s="920"/>
      <c r="U30" s="1489">
        <v>0</v>
      </c>
      <c r="V30" s="920"/>
      <c r="W30" s="951"/>
      <c r="X30" s="920"/>
      <c r="Y30" s="951"/>
      <c r="Z30" s="920"/>
      <c r="AA30" s="920"/>
    </row>
    <row r="31" spans="1:48">
      <c r="A31" s="798" t="s">
        <v>41</v>
      </c>
      <c r="B31" s="901" t="s">
        <v>14</v>
      </c>
      <c r="C31" s="1099">
        <v>1151</v>
      </c>
      <c r="D31" s="1489"/>
      <c r="E31" s="1099">
        <v>0</v>
      </c>
      <c r="F31" s="624"/>
      <c r="G31" s="640">
        <f>+'Exhibit I State'!AD83</f>
        <v>1143.4000000000001</v>
      </c>
      <c r="H31" s="624"/>
      <c r="I31" s="1489">
        <f t="shared" si="4"/>
        <v>-7.6</v>
      </c>
      <c r="J31" s="920"/>
      <c r="K31" s="1489">
        <v>0</v>
      </c>
      <c r="L31" s="932"/>
      <c r="M31" s="1099">
        <v>265</v>
      </c>
      <c r="N31" s="1489"/>
      <c r="O31" s="1099">
        <v>0</v>
      </c>
      <c r="P31" s="624"/>
      <c r="Q31" s="624">
        <f>+'Exhibit I Federal'!AD65</f>
        <v>-117</v>
      </c>
      <c r="R31" s="624"/>
      <c r="S31" s="1489">
        <f t="shared" si="5"/>
        <v>-382</v>
      </c>
      <c r="T31" s="920"/>
      <c r="U31" s="1489">
        <v>0</v>
      </c>
      <c r="V31" s="920"/>
      <c r="W31" s="951"/>
      <c r="X31" s="920"/>
      <c r="Y31" s="951"/>
      <c r="Z31" s="920"/>
      <c r="AA31" s="920"/>
    </row>
    <row r="32" spans="1:48">
      <c r="A32" s="798" t="s">
        <v>96</v>
      </c>
      <c r="B32" s="901" t="s">
        <v>14</v>
      </c>
      <c r="C32" s="1099">
        <v>19</v>
      </c>
      <c r="D32" s="1489"/>
      <c r="E32" s="1099">
        <v>0</v>
      </c>
      <c r="F32" s="624"/>
      <c r="G32" s="661">
        <f>-'Exhibit I State'!AD93</f>
        <v>18.600000000000001</v>
      </c>
      <c r="H32" s="624"/>
      <c r="I32" s="1489">
        <f t="shared" si="4"/>
        <v>-0.4</v>
      </c>
      <c r="J32" s="920"/>
      <c r="K32" s="1489">
        <v>0</v>
      </c>
      <c r="L32" s="931"/>
      <c r="M32" s="1099">
        <v>0</v>
      </c>
      <c r="N32" s="1489"/>
      <c r="O32" s="1099">
        <v>0</v>
      </c>
      <c r="P32" s="624"/>
      <c r="Q32" s="661">
        <f>-'Exhibit I Federal'!AD74</f>
        <v>0</v>
      </c>
      <c r="R32" s="624"/>
      <c r="S32" s="1489">
        <f t="shared" si="5"/>
        <v>0</v>
      </c>
      <c r="T32" s="921"/>
      <c r="U32" s="1489">
        <f>Q32-O32</f>
        <v>0</v>
      </c>
      <c r="V32" s="920"/>
      <c r="W32" s="951"/>
      <c r="X32" s="920"/>
      <c r="Y32" s="951"/>
      <c r="Z32" s="920"/>
      <c r="AA32" s="920"/>
    </row>
    <row r="33" spans="1:48" ht="18" customHeight="1">
      <c r="A33" s="167" t="s">
        <v>115</v>
      </c>
      <c r="B33" s="145" t="s">
        <v>14</v>
      </c>
      <c r="C33" s="1826">
        <f>ROUND(SUM(C30:C32),1)</f>
        <v>1705</v>
      </c>
      <c r="D33" s="899"/>
      <c r="E33" s="1826">
        <f>ROUND(SUM(E30:E32),1)</f>
        <v>0</v>
      </c>
      <c r="F33" s="899"/>
      <c r="G33" s="209">
        <f>ROUND(SUM(G30:G32),1)</f>
        <v>1538.6</v>
      </c>
      <c r="H33" s="899"/>
      <c r="I33" s="209">
        <f>ROUND(SUM(I30:I32),1)</f>
        <v>-166.4</v>
      </c>
      <c r="J33" s="71"/>
      <c r="K33" s="209">
        <f>ROUND(SUM(K30:K32),1)</f>
        <v>0</v>
      </c>
      <c r="L33" s="933"/>
      <c r="M33" s="1825">
        <f>ROUND(SUM(M30:M32),1)</f>
        <v>358</v>
      </c>
      <c r="N33" s="899"/>
      <c r="O33" s="1826">
        <f>ROUND(SUM(O30:O32),1)</f>
        <v>0</v>
      </c>
      <c r="P33" s="899"/>
      <c r="Q33" s="209">
        <f>ROUND(SUM(Q30:Q32),1)</f>
        <v>-22.8</v>
      </c>
      <c r="R33" s="899"/>
      <c r="S33" s="209">
        <f>ROUND(SUM(S30:S32),1)</f>
        <v>-380.8</v>
      </c>
      <c r="T33" s="71"/>
      <c r="U33" s="209">
        <f>ROUND(SUM(U30:U32),1)</f>
        <v>0</v>
      </c>
      <c r="V33" s="71"/>
      <c r="W33" s="71"/>
      <c r="X33" s="71"/>
      <c r="Y33" s="71"/>
      <c r="Z33" s="71"/>
      <c r="AA33" s="71"/>
    </row>
    <row r="34" spans="1:48">
      <c r="A34" s="669"/>
      <c r="B34" s="901" t="s">
        <v>14</v>
      </c>
      <c r="C34" s="1827"/>
      <c r="D34" s="1489"/>
      <c r="E34" s="1827"/>
      <c r="F34" s="624"/>
      <c r="G34" s="667"/>
      <c r="H34" s="624"/>
      <c r="I34" s="667"/>
      <c r="J34" s="920"/>
      <c r="K34" s="667"/>
      <c r="L34" s="931"/>
      <c r="M34" s="1823"/>
      <c r="N34" s="1489"/>
      <c r="O34" s="1827"/>
      <c r="P34" s="624"/>
      <c r="Q34" s="667"/>
      <c r="R34" s="624"/>
      <c r="S34" s="667"/>
      <c r="T34" s="920"/>
      <c r="U34" s="667"/>
      <c r="V34" s="920"/>
      <c r="W34" s="920"/>
      <c r="X34" s="920"/>
      <c r="Y34" s="920"/>
      <c r="Z34" s="920"/>
      <c r="AA34" s="920"/>
    </row>
    <row r="35" spans="1:48" ht="15.75">
      <c r="A35" s="26" t="s">
        <v>98</v>
      </c>
      <c r="B35" s="901"/>
      <c r="C35" s="872"/>
      <c r="D35" s="1489"/>
      <c r="E35" s="872"/>
      <c r="F35" s="624"/>
      <c r="G35" s="624"/>
      <c r="H35" s="624"/>
      <c r="I35" s="624"/>
      <c r="J35" s="920"/>
      <c r="K35" s="1489"/>
      <c r="L35" s="931"/>
      <c r="M35" s="1489"/>
      <c r="N35" s="1489"/>
      <c r="O35" s="872"/>
      <c r="P35" s="624"/>
      <c r="Q35" s="624"/>
      <c r="R35" s="624"/>
      <c r="S35" s="624"/>
      <c r="T35" s="920"/>
      <c r="U35" s="1489"/>
      <c r="V35" s="920"/>
      <c r="W35" s="920"/>
      <c r="X35" s="920"/>
      <c r="Y35" s="920"/>
      <c r="Z35" s="920"/>
      <c r="AA35" s="920"/>
    </row>
    <row r="36" spans="1:48" ht="15.75">
      <c r="A36" s="26" t="s">
        <v>99</v>
      </c>
      <c r="B36" s="901"/>
      <c r="C36" s="872"/>
      <c r="D36" s="1489"/>
      <c r="E36" s="872"/>
      <c r="F36" s="624"/>
      <c r="G36" s="624"/>
      <c r="H36" s="624"/>
      <c r="I36" s="624"/>
      <c r="J36" s="920"/>
      <c r="K36" s="1489"/>
      <c r="L36" s="931"/>
      <c r="M36" s="1489"/>
      <c r="N36" s="1489"/>
      <c r="O36" s="872"/>
      <c r="P36" s="624"/>
      <c r="Q36" s="624"/>
      <c r="R36" s="624"/>
      <c r="S36" s="624"/>
      <c r="T36" s="920"/>
      <c r="U36" s="1489"/>
      <c r="V36" s="920"/>
      <c r="W36" s="920"/>
      <c r="X36" s="920"/>
      <c r="Y36" s="920"/>
      <c r="Z36" s="920"/>
      <c r="AA36" s="920"/>
    </row>
    <row r="37" spans="1:48" ht="15.75">
      <c r="A37" s="167" t="s">
        <v>100</v>
      </c>
      <c r="B37" s="168" t="s">
        <v>14</v>
      </c>
      <c r="C37" s="109">
        <f>ROUND(SUM(C27)-SUM(C33),1)</f>
        <v>264</v>
      </c>
      <c r="D37" s="79"/>
      <c r="E37" s="109">
        <f>ROUND(SUM(E27)-SUM(E33),1)</f>
        <v>0</v>
      </c>
      <c r="F37" s="79"/>
      <c r="G37" s="71">
        <f>ROUND(SUM(G27)-SUM(G33),1)</f>
        <v>-99.3</v>
      </c>
      <c r="H37" s="79"/>
      <c r="I37" s="71">
        <f>ROUND(SUM(I27)-SUM(I33),1)</f>
        <v>-363.3</v>
      </c>
      <c r="J37" s="71"/>
      <c r="K37" s="1490">
        <v>0</v>
      </c>
      <c r="L37" s="933"/>
      <c r="M37" s="1490">
        <f>ROUND(SUM(M27)-SUM(M33),1)</f>
        <v>-52</v>
      </c>
      <c r="N37" s="79"/>
      <c r="O37" s="109">
        <f>ROUND(SUM(O27)-SUM(O33),1)</f>
        <v>0</v>
      </c>
      <c r="P37" s="79"/>
      <c r="Q37" s="71">
        <f>ROUND(SUM(Q27)-SUM(Q33),1)</f>
        <v>323.39999999999998</v>
      </c>
      <c r="R37" s="79"/>
      <c r="S37" s="71">
        <f>ROUND(SUM(S27)-SUM(S33),1)</f>
        <v>375.4</v>
      </c>
      <c r="T37" s="1490"/>
      <c r="U37" s="1490">
        <f>ROUND(SUM(U27)-SUM(U33),1)</f>
        <v>0</v>
      </c>
      <c r="V37" s="385"/>
      <c r="W37" s="71"/>
      <c r="X37" s="385"/>
      <c r="Y37" s="71"/>
      <c r="Z37" s="385"/>
      <c r="AA37" s="71"/>
      <c r="AB37" s="603"/>
    </row>
    <row r="38" spans="1:48" ht="15.75">
      <c r="B38" s="603"/>
      <c r="C38" s="1449"/>
      <c r="D38" s="909"/>
      <c r="E38" s="1449"/>
      <c r="F38" s="909"/>
      <c r="G38" s="650"/>
      <c r="H38" s="909"/>
      <c r="I38" s="650"/>
      <c r="J38" s="650"/>
      <c r="K38" s="339"/>
      <c r="L38" s="933"/>
      <c r="M38" s="650"/>
      <c r="N38" s="909"/>
      <c r="O38" s="1449"/>
      <c r="P38" s="909"/>
      <c r="Q38" s="650"/>
      <c r="R38" s="909"/>
      <c r="S38" s="650"/>
      <c r="T38" s="650"/>
      <c r="U38" s="650"/>
      <c r="V38" s="650"/>
      <c r="W38" s="650"/>
      <c r="X38" s="650"/>
      <c r="Y38" s="650"/>
      <c r="Z38" s="650"/>
      <c r="AA38" s="650"/>
    </row>
    <row r="39" spans="1:48" ht="15.75">
      <c r="A39" s="167" t="s">
        <v>101</v>
      </c>
      <c r="B39" s="911" t="s">
        <v>14</v>
      </c>
      <c r="C39" s="109">
        <v>-757</v>
      </c>
      <c r="D39" s="1604"/>
      <c r="E39" s="109">
        <v>0</v>
      </c>
      <c r="F39" s="909"/>
      <c r="G39" s="109">
        <f>'Exhibit I State'!E14</f>
        <v>-756.8</v>
      </c>
      <c r="H39" s="909"/>
      <c r="I39" s="899">
        <f t="shared" ref="I39" si="6">ROUND(SUM(G39)-SUM(C39),1)</f>
        <v>0.2</v>
      </c>
      <c r="J39" s="76"/>
      <c r="K39" s="1490">
        <v>0</v>
      </c>
      <c r="L39" s="933"/>
      <c r="M39" s="109">
        <v>-787</v>
      </c>
      <c r="N39" s="1604"/>
      <c r="O39" s="109">
        <v>0</v>
      </c>
      <c r="P39" s="909"/>
      <c r="Q39" s="109">
        <f>'Exhibit I Federal'!E14</f>
        <v>-787.1</v>
      </c>
      <c r="R39" s="909"/>
      <c r="S39" s="899">
        <f t="shared" ref="S39" si="7">ROUND(SUM(Q39)-SUM(M39),1)</f>
        <v>-0.1</v>
      </c>
      <c r="T39" s="650"/>
      <c r="U39" s="1490">
        <v>0</v>
      </c>
      <c r="V39" s="650"/>
      <c r="W39" s="71"/>
      <c r="X39" s="650"/>
      <c r="Y39" s="71"/>
      <c r="Z39" s="650"/>
      <c r="AA39" s="76"/>
      <c r="AB39" s="603"/>
      <c r="AC39" s="603"/>
      <c r="AD39" s="603"/>
      <c r="AE39" s="603"/>
      <c r="AF39" s="603"/>
      <c r="AG39" s="603"/>
      <c r="AH39" s="603"/>
      <c r="AI39" s="603"/>
      <c r="AJ39" s="603"/>
      <c r="AK39" s="603"/>
      <c r="AL39" s="603"/>
      <c r="AM39" s="603"/>
      <c r="AN39" s="603"/>
      <c r="AO39" s="603"/>
      <c r="AP39" s="603"/>
      <c r="AQ39" s="603"/>
      <c r="AR39" s="603"/>
      <c r="AS39" s="603"/>
      <c r="AT39" s="603"/>
      <c r="AU39" s="603"/>
      <c r="AV39" s="912"/>
    </row>
    <row r="40" spans="1:48" ht="16.5" thickBot="1">
      <c r="A40" s="1352" t="str">
        <f>+'Exh D-Governmental  '!A50</f>
        <v>Fund Balances (Deficits) at May 31, 2022</v>
      </c>
      <c r="B40" s="174" t="s">
        <v>14</v>
      </c>
      <c r="C40" s="92">
        <f>ROUND(SUM(C37:C39),1)</f>
        <v>-493</v>
      </c>
      <c r="D40" s="175"/>
      <c r="E40" s="1450">
        <f>ROUND(SUM(E37:E39),1)</f>
        <v>0</v>
      </c>
      <c r="F40" s="175"/>
      <c r="G40" s="1450">
        <f>ROUND(SUM(G37:G39),1)</f>
        <v>-856.1</v>
      </c>
      <c r="H40" s="175"/>
      <c r="I40" s="92">
        <f>ROUND(SUM(I37:I39),1)</f>
        <v>-363.1</v>
      </c>
      <c r="J40" s="213"/>
      <c r="K40" s="92">
        <f>ROUND(SUM(K37:K39),1)</f>
        <v>0</v>
      </c>
      <c r="L40" s="934"/>
      <c r="M40" s="92">
        <f>ROUND(SUM(M37:M39),1)</f>
        <v>-839</v>
      </c>
      <c r="N40" s="175"/>
      <c r="O40" s="1450">
        <f>ROUND(SUM(O37:O39),1)</f>
        <v>0</v>
      </c>
      <c r="P40" s="175"/>
      <c r="Q40" s="1450">
        <f>ROUND(SUM(Q37:Q39),1)</f>
        <v>-463.7</v>
      </c>
      <c r="R40" s="175"/>
      <c r="S40" s="92">
        <f>ROUND(SUM(S37:S39),1)</f>
        <v>375.3</v>
      </c>
      <c r="T40" s="175"/>
      <c r="U40" s="92">
        <f>ROUND(SUM(U37:U39),1)</f>
        <v>0</v>
      </c>
      <c r="V40" s="952"/>
      <c r="W40" s="213"/>
      <c r="X40" s="952"/>
      <c r="Y40" s="213"/>
      <c r="Z40" s="952"/>
      <c r="AA40" s="213"/>
      <c r="AB40" s="603"/>
      <c r="AC40" s="603"/>
      <c r="AD40" s="603"/>
      <c r="AE40" s="603"/>
      <c r="AF40" s="603"/>
      <c r="AG40" s="603"/>
      <c r="AH40" s="603"/>
      <c r="AI40" s="603"/>
      <c r="AJ40" s="603"/>
      <c r="AK40" s="603"/>
      <c r="AL40" s="603"/>
      <c r="AM40" s="603"/>
      <c r="AN40" s="603"/>
      <c r="AO40" s="603"/>
      <c r="AP40" s="603"/>
      <c r="AQ40" s="603"/>
      <c r="AR40" s="603"/>
      <c r="AS40" s="603"/>
      <c r="AT40" s="603"/>
      <c r="AU40" s="603"/>
      <c r="AV40" s="912"/>
    </row>
    <row r="41" spans="1:48" ht="15.75" thickTop="1">
      <c r="B41" s="603"/>
      <c r="E41" s="417"/>
      <c r="L41" s="603"/>
      <c r="N41" s="912"/>
      <c r="O41" s="1892"/>
      <c r="P41" s="912"/>
      <c r="Q41" s="935"/>
      <c r="R41" s="912"/>
      <c r="S41" s="912"/>
      <c r="U41" s="912"/>
      <c r="W41" s="603"/>
      <c r="Y41" s="910"/>
    </row>
    <row r="42" spans="1:48">
      <c r="A42" s="913" t="str">
        <f>'Exh D-Governmental  '!A52</f>
        <v>(*)    Source: 2022-23 Enacted Financial Plan dated May 20, 2022.</v>
      </c>
      <c r="B42" s="603"/>
      <c r="E42" s="417"/>
      <c r="S42" s="1383"/>
    </row>
    <row r="43" spans="1:48" s="970" customFormat="1">
      <c r="A43" s="913" t="s">
        <v>14</v>
      </c>
      <c r="B43" s="1892"/>
      <c r="C43" s="417"/>
      <c r="D43" s="928"/>
      <c r="E43" s="417"/>
      <c r="F43" s="928"/>
      <c r="G43" s="928"/>
      <c r="H43" s="928"/>
      <c r="I43" s="928"/>
      <c r="J43" s="928"/>
      <c r="K43" s="1892"/>
      <c r="L43" s="417"/>
      <c r="M43" s="1892"/>
      <c r="N43" s="1892"/>
      <c r="O43" s="1892"/>
      <c r="P43" s="1892"/>
      <c r="Q43" s="1892"/>
      <c r="R43" s="1892"/>
      <c r="S43" s="1892"/>
      <c r="T43" s="1892"/>
      <c r="U43" s="1892"/>
      <c r="V43" s="1892"/>
      <c r="W43" s="1892"/>
      <c r="X43" s="1892"/>
      <c r="Y43" s="1892"/>
      <c r="Z43" s="1892"/>
      <c r="AA43" s="1892"/>
      <c r="AB43" s="1892"/>
      <c r="AC43" s="1892"/>
      <c r="AD43" s="1892"/>
      <c r="AE43" s="1892"/>
      <c r="AF43" s="1892"/>
      <c r="AG43" s="1892"/>
      <c r="AH43" s="1892"/>
      <c r="AI43" s="1892"/>
      <c r="AJ43" s="1892"/>
      <c r="AK43" s="928"/>
    </row>
    <row r="44" spans="1:48">
      <c r="A44" s="1460"/>
      <c r="B44" s="603"/>
      <c r="Y44" s="924"/>
      <c r="Z44" s="901"/>
      <c r="AA44" s="924"/>
      <c r="AB44" s="638"/>
      <c r="AC44" s="936"/>
    </row>
    <row r="45" spans="1:48">
      <c r="A45" s="1460"/>
      <c r="B45" s="603"/>
    </row>
    <row r="46" spans="1:48">
      <c r="A46" s="1028"/>
      <c r="B46" s="603"/>
    </row>
    <row r="47" spans="1:48">
      <c r="A47" s="177"/>
      <c r="B47" s="603"/>
    </row>
    <row r="48" spans="1:48">
      <c r="B48" s="603"/>
    </row>
    <row r="49" spans="2:7">
      <c r="B49" s="603"/>
    </row>
    <row r="52" spans="2:7">
      <c r="G52" s="935"/>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4"/>
  <sheetViews>
    <sheetView showGridLines="0" zoomScale="80" zoomScaleNormal="55" workbookViewId="0"/>
  </sheetViews>
  <sheetFormatPr defaultColWidth="9.6640625" defaultRowHeight="12.75"/>
  <cols>
    <col min="1" max="1" width="32.109375" style="2723" customWidth="1"/>
    <col min="2" max="2" width="10.6640625" style="2723" customWidth="1"/>
    <col min="3" max="3" width="3.44140625" style="2723" customWidth="1"/>
    <col min="4" max="4" width="12.109375" style="2723" customWidth="1"/>
    <col min="5" max="5" width="1.6640625" style="2723" customWidth="1"/>
    <col min="6" max="6" width="17" style="2723" bestFit="1" customWidth="1"/>
    <col min="7" max="7" width="1.6640625" style="2723" customWidth="1"/>
    <col min="8" max="8" width="12.109375" style="2723" customWidth="1"/>
    <col min="9" max="9" width="1.6640625" style="2723" customWidth="1"/>
    <col min="10" max="10" width="12.109375" style="2723" customWidth="1"/>
    <col min="11" max="11" width="1.6640625" style="2723" customWidth="1"/>
    <col min="12" max="12" width="12.109375" style="2723" customWidth="1"/>
    <col min="13" max="13" width="1.6640625" style="2723" customWidth="1"/>
    <col min="14" max="14" width="13" style="2723" customWidth="1"/>
    <col min="15" max="15" width="1.6640625" style="2723" customWidth="1"/>
    <col min="16" max="16" width="12.109375" style="2723" customWidth="1"/>
    <col min="17" max="17" width="1.6640625" style="2723" customWidth="1"/>
    <col min="18" max="18" width="12.109375" style="2723" customWidth="1"/>
    <col min="19" max="19" width="1.6640625" style="2723" customWidth="1"/>
    <col min="20" max="20" width="1" style="2723" customWidth="1"/>
    <col min="21" max="21" width="1.6640625" style="2723" customWidth="1"/>
    <col min="22" max="22" width="15.5546875" style="2747" customWidth="1"/>
    <col min="23" max="23" width="1.6640625" style="2747" customWidth="1"/>
    <col min="24" max="24" width="17" style="2747" bestFit="1" customWidth="1"/>
    <col min="25" max="25" width="1.6640625" style="2723" customWidth="1"/>
    <col min="26" max="26" width="1" style="2723" customWidth="1"/>
    <col min="27" max="27" width="1.6640625" style="2723" customWidth="1"/>
    <col min="28" max="28" width="17.109375" style="2747" customWidth="1"/>
    <col min="29" max="29" width="2" style="2747" customWidth="1"/>
    <col min="30" max="30" width="16.109375" style="2747" customWidth="1"/>
    <col min="31" max="31" width="1.5546875" style="2747" customWidth="1"/>
    <col min="32" max="32" width="0.44140625" style="2747" customWidth="1"/>
    <col min="33" max="33" width="1.5546875" style="2747" customWidth="1"/>
    <col min="34" max="34" width="14.5546875" style="2747" bestFit="1" customWidth="1"/>
    <col min="35" max="35" width="1.6640625" style="2723" customWidth="1"/>
    <col min="36" max="36" width="13.109375" style="2723" customWidth="1"/>
    <col min="37" max="37" width="2.109375" style="2723" customWidth="1"/>
    <col min="38" max="38" width="1.6640625" style="2723" customWidth="1"/>
    <col min="39" max="16384" width="9.6640625" style="2723"/>
  </cols>
  <sheetData>
    <row r="1" spans="1:38" s="2715" customFormat="1" ht="15">
      <c r="A1" s="2171" t="s">
        <v>870</v>
      </c>
      <c r="V1" s="3006"/>
      <c r="W1" s="3006"/>
      <c r="X1" s="3006"/>
      <c r="AB1" s="3006"/>
      <c r="AC1" s="3006"/>
      <c r="AD1" s="3006"/>
      <c r="AE1" s="3006"/>
      <c r="AF1" s="3006"/>
      <c r="AG1" s="3006"/>
      <c r="AH1" s="3006"/>
    </row>
    <row r="2" spans="1:38" s="2718" customFormat="1">
      <c r="A2" s="2716"/>
      <c r="B2" s="2717"/>
      <c r="C2" s="2717"/>
      <c r="D2" s="2715"/>
      <c r="E2" s="2717"/>
      <c r="F2" s="2717"/>
      <c r="G2" s="2717"/>
      <c r="H2" s="2717"/>
      <c r="I2" s="2717"/>
      <c r="J2" s="2717"/>
      <c r="K2" s="2717"/>
      <c r="L2" s="2717"/>
      <c r="M2" s="2717"/>
      <c r="N2" s="2717"/>
      <c r="O2" s="2717"/>
      <c r="P2" s="2717"/>
      <c r="Q2" s="2717"/>
      <c r="R2" s="2717"/>
      <c r="S2" s="2717"/>
      <c r="T2" s="2717"/>
      <c r="U2" s="2717"/>
      <c r="V2" s="3007"/>
      <c r="W2" s="3007"/>
      <c r="X2" s="3007"/>
      <c r="Y2" s="2717"/>
      <c r="Z2" s="2717"/>
      <c r="AA2" s="2717"/>
      <c r="AB2" s="3007"/>
      <c r="AC2" s="3007"/>
      <c r="AD2" s="3007"/>
      <c r="AE2" s="3007"/>
      <c r="AF2" s="3007"/>
      <c r="AG2" s="3007"/>
      <c r="AH2" s="3007"/>
    </row>
    <row r="3" spans="1:38" ht="18">
      <c r="A3" s="2719" t="s">
        <v>0</v>
      </c>
      <c r="B3" s="2720"/>
      <c r="C3" s="2720"/>
      <c r="D3" s="2715"/>
      <c r="E3" s="2720"/>
      <c r="F3" s="2720"/>
      <c r="G3" s="2720"/>
      <c r="H3" s="2720"/>
      <c r="I3" s="2720"/>
      <c r="J3" s="2720"/>
      <c r="K3" s="2720"/>
      <c r="L3" s="2721"/>
      <c r="M3" s="2721"/>
      <c r="N3" s="2721"/>
      <c r="O3" s="2721"/>
      <c r="P3" s="2720"/>
      <c r="Q3" s="2720"/>
      <c r="R3" s="2720"/>
      <c r="S3" s="2721"/>
      <c r="T3" s="2720"/>
      <c r="U3" s="2721"/>
      <c r="V3" s="3008"/>
      <c r="W3" s="3008"/>
      <c r="X3" s="3008"/>
      <c r="Y3" s="2721"/>
      <c r="Z3" s="2721"/>
      <c r="AA3" s="2721"/>
      <c r="AB3" s="3008"/>
      <c r="AC3" s="3008"/>
      <c r="AD3" s="3008"/>
      <c r="AE3" s="3008"/>
      <c r="AF3" s="3259"/>
      <c r="AG3" s="3259"/>
      <c r="AH3" s="2746"/>
      <c r="AI3" s="2722"/>
    </row>
    <row r="4" spans="1:38" ht="18">
      <c r="A4" s="2724" t="s">
        <v>1</v>
      </c>
      <c r="B4" s="2720"/>
      <c r="C4" s="2720"/>
      <c r="D4" s="2715"/>
      <c r="E4" s="2720"/>
      <c r="F4" s="2720"/>
      <c r="G4" s="2720"/>
      <c r="H4" s="2720"/>
      <c r="I4" s="2720"/>
      <c r="J4" s="2720"/>
      <c r="K4" s="2720"/>
      <c r="L4" s="2721"/>
      <c r="M4" s="2721"/>
      <c r="N4" s="2721"/>
      <c r="O4" s="2721"/>
      <c r="P4" s="2720"/>
      <c r="Q4" s="2720"/>
      <c r="R4" s="2720"/>
      <c r="S4" s="2721"/>
      <c r="T4" s="2720"/>
      <c r="U4" s="2721"/>
      <c r="V4" s="3008"/>
      <c r="W4" s="3008"/>
      <c r="X4" s="3008"/>
      <c r="Y4" s="2721"/>
      <c r="Z4" s="2721"/>
      <c r="AA4" s="2721"/>
      <c r="AB4" s="3008"/>
      <c r="AC4" s="3008"/>
      <c r="AD4" s="3008"/>
      <c r="AE4" s="3008"/>
      <c r="AF4" s="3259"/>
      <c r="AG4" s="3259"/>
      <c r="AH4" s="2746"/>
      <c r="AI4" s="2722"/>
    </row>
    <row r="5" spans="1:38" ht="18">
      <c r="A5" s="2719" t="s">
        <v>1352</v>
      </c>
      <c r="B5" s="2720"/>
      <c r="C5" s="2720"/>
      <c r="D5" s="2715"/>
      <c r="E5" s="2720"/>
      <c r="F5" s="2720"/>
      <c r="G5" s="2720"/>
      <c r="H5" s="2721"/>
      <c r="I5" s="2721"/>
      <c r="J5" s="2721"/>
      <c r="K5" s="2720"/>
      <c r="L5" s="2721"/>
      <c r="M5" s="2721"/>
      <c r="N5" s="2721"/>
      <c r="O5" s="2721"/>
      <c r="P5" s="2720"/>
      <c r="Q5" s="2720"/>
      <c r="R5" s="2720"/>
      <c r="S5" s="2721"/>
      <c r="T5" s="2720"/>
      <c r="U5" s="2721"/>
      <c r="V5" s="3008"/>
      <c r="W5" s="3008"/>
      <c r="X5" s="3008"/>
      <c r="Y5" s="2721"/>
      <c r="Z5" s="2721"/>
      <c r="AA5" s="2721"/>
      <c r="AB5" s="3008"/>
      <c r="AC5" s="3008"/>
      <c r="AD5" s="3008"/>
      <c r="AE5" s="3008"/>
      <c r="AF5" s="3259"/>
      <c r="AG5" s="3259"/>
      <c r="AH5" s="2746"/>
      <c r="AI5" s="2722"/>
    </row>
    <row r="6" spans="1:38" ht="18">
      <c r="A6" s="2719" t="s">
        <v>1250</v>
      </c>
      <c r="B6" s="2720"/>
      <c r="C6" s="2720"/>
      <c r="D6" s="2715"/>
      <c r="E6" s="2720"/>
      <c r="F6" s="2720"/>
      <c r="G6" s="2720"/>
      <c r="H6" s="2720"/>
      <c r="I6" s="2720"/>
      <c r="J6" s="2720"/>
      <c r="K6" s="2720"/>
      <c r="L6" s="2721"/>
      <c r="M6" s="2721"/>
      <c r="N6" s="2721"/>
      <c r="O6" s="2721"/>
      <c r="P6" s="2720"/>
      <c r="Q6" s="2720"/>
      <c r="R6" s="2720"/>
      <c r="S6" s="2721"/>
      <c r="T6" s="2720"/>
      <c r="U6" s="2721"/>
      <c r="V6" s="3008"/>
      <c r="W6" s="3008"/>
      <c r="X6" s="3008"/>
      <c r="Y6" s="2721"/>
      <c r="Z6" s="2721"/>
      <c r="AA6" s="2721"/>
      <c r="AB6" s="3008"/>
      <c r="AC6" s="3008"/>
      <c r="AD6" s="3008"/>
      <c r="AE6" s="3008"/>
      <c r="AF6" s="3259"/>
      <c r="AG6" s="3259"/>
      <c r="AH6" s="2746"/>
      <c r="AI6" s="2722"/>
    </row>
    <row r="7" spans="1:38" ht="18">
      <c r="A7" s="2720"/>
      <c r="B7" s="2720"/>
      <c r="C7" s="2720"/>
      <c r="D7" s="2715"/>
      <c r="E7" s="2720"/>
      <c r="F7" s="2720"/>
      <c r="G7" s="2720"/>
      <c r="H7" s="2720"/>
      <c r="I7" s="2720"/>
      <c r="J7" s="2720"/>
      <c r="K7" s="2720"/>
      <c r="L7" s="2721"/>
      <c r="M7" s="2721"/>
      <c r="N7" s="2721"/>
      <c r="O7" s="2721"/>
      <c r="P7" s="2721"/>
      <c r="Q7" s="2721"/>
      <c r="R7" s="2721"/>
      <c r="S7" s="2721"/>
      <c r="T7" s="2721"/>
      <c r="U7" s="2721"/>
      <c r="V7" s="3008"/>
      <c r="W7" s="3008"/>
      <c r="X7" s="3008"/>
      <c r="Y7" s="2721"/>
      <c r="Z7" s="2721"/>
      <c r="AA7" s="2721"/>
      <c r="AB7" s="3009"/>
      <c r="AC7" s="3009"/>
      <c r="AD7" s="3009"/>
      <c r="AE7" s="3009"/>
      <c r="AF7" s="3259"/>
      <c r="AG7" s="3259"/>
      <c r="AH7" s="2746"/>
      <c r="AI7" s="2722"/>
      <c r="AJ7" s="2725" t="s">
        <v>800</v>
      </c>
    </row>
    <row r="8" spans="1:38" ht="15.75">
      <c r="A8" s="2171"/>
      <c r="B8" s="2171"/>
      <c r="C8" s="2171"/>
      <c r="D8" s="2715"/>
      <c r="E8" s="2171"/>
      <c r="F8" s="2171"/>
      <c r="G8" s="2171"/>
      <c r="H8" s="2171"/>
      <c r="I8" s="2171"/>
      <c r="J8" s="2171"/>
      <c r="K8" s="2171"/>
      <c r="L8" s="2247"/>
      <c r="M8" s="2247"/>
      <c r="N8" s="2247"/>
      <c r="O8" s="2247"/>
      <c r="P8" s="2247"/>
      <c r="Q8" s="2247"/>
      <c r="R8" s="2247"/>
      <c r="S8" s="2247"/>
      <c r="T8" s="2247"/>
      <c r="U8" s="2247"/>
      <c r="V8" s="2966"/>
      <c r="W8" s="2966"/>
      <c r="X8" s="2966"/>
      <c r="Y8" s="2247"/>
      <c r="Z8" s="2247"/>
      <c r="AA8" s="2247"/>
      <c r="AB8" s="2966"/>
      <c r="AC8" s="2966"/>
      <c r="AD8" s="2966"/>
      <c r="AE8" s="2966"/>
      <c r="AF8" s="2265"/>
      <c r="AG8" s="2265"/>
      <c r="AH8" s="2746"/>
      <c r="AI8" s="2722"/>
    </row>
    <row r="9" spans="1:38" ht="15.75">
      <c r="A9" s="2171"/>
      <c r="B9" s="2171"/>
      <c r="C9" s="2171"/>
      <c r="D9" s="2715"/>
      <c r="E9" s="2247"/>
      <c r="F9" s="2247"/>
      <c r="G9" s="2247"/>
      <c r="H9" s="2247"/>
      <c r="I9" s="2247"/>
      <c r="J9" s="2247"/>
      <c r="K9" s="2247"/>
      <c r="L9" s="2247"/>
      <c r="M9" s="2247"/>
      <c r="N9" s="2247"/>
      <c r="O9" s="2247"/>
      <c r="P9" s="2247"/>
      <c r="Q9" s="2247"/>
      <c r="R9" s="2247"/>
      <c r="S9" s="2247"/>
      <c r="T9" s="2247"/>
      <c r="U9" s="2247"/>
      <c r="V9" s="3010"/>
      <c r="W9" s="3010"/>
      <c r="X9" s="3010"/>
      <c r="Y9" s="2726"/>
      <c r="Z9" s="2726"/>
      <c r="AA9" s="2726"/>
      <c r="AB9" s="3010"/>
      <c r="AC9" s="3010"/>
      <c r="AD9" s="3010"/>
      <c r="AE9" s="3010"/>
      <c r="AF9" s="2966"/>
      <c r="AG9" s="2966"/>
      <c r="AH9" s="3260"/>
      <c r="AI9" s="2727"/>
    </row>
    <row r="10" spans="1:38" ht="4.3499999999999996" customHeight="1">
      <c r="A10" s="2171"/>
      <c r="B10" s="2171"/>
      <c r="C10" s="2171"/>
      <c r="D10" s="2171"/>
      <c r="E10" s="2171"/>
      <c r="F10" s="2171"/>
      <c r="G10" s="2171"/>
      <c r="H10" s="2171"/>
      <c r="I10" s="2171"/>
      <c r="J10" s="2171"/>
      <c r="K10" s="2171"/>
      <c r="L10" s="2171"/>
      <c r="M10" s="2171"/>
      <c r="N10" s="2171"/>
      <c r="O10" s="2171"/>
      <c r="P10" s="2171"/>
      <c r="Q10" s="2171"/>
      <c r="R10" s="2171"/>
      <c r="S10" s="2171"/>
      <c r="T10" s="2194"/>
      <c r="U10" s="2194"/>
      <c r="V10" s="2265"/>
      <c r="W10" s="2265"/>
      <c r="X10" s="2265"/>
      <c r="Y10" s="2171"/>
      <c r="Z10" s="2171"/>
      <c r="AA10" s="2171"/>
      <c r="AB10" s="2265"/>
      <c r="AC10" s="2265"/>
      <c r="AD10" s="2265"/>
      <c r="AE10" s="2265"/>
      <c r="AF10" s="2265"/>
      <c r="AG10" s="2265"/>
      <c r="AH10" s="2746"/>
      <c r="AI10" s="2722"/>
    </row>
    <row r="11" spans="1:38" ht="15" customHeight="1">
      <c r="A11" s="2171"/>
      <c r="B11" s="2171"/>
      <c r="C11" s="2171"/>
      <c r="D11" s="2728" t="s">
        <v>2</v>
      </c>
      <c r="E11" s="2728"/>
      <c r="F11" s="2728"/>
      <c r="G11" s="2194"/>
      <c r="H11" s="2728" t="s">
        <v>55</v>
      </c>
      <c r="I11" s="2728"/>
      <c r="J11" s="2728"/>
      <c r="K11" s="2194"/>
      <c r="L11" s="2728" t="s">
        <v>4</v>
      </c>
      <c r="M11" s="2728"/>
      <c r="N11" s="2728"/>
      <c r="O11" s="2194"/>
      <c r="P11" s="2728" t="s">
        <v>118</v>
      </c>
      <c r="Q11" s="2728"/>
      <c r="R11" s="2728"/>
      <c r="S11" s="2171"/>
      <c r="T11" s="2194"/>
      <c r="U11" s="2194"/>
      <c r="V11" s="3264" t="s">
        <v>801</v>
      </c>
      <c r="W11" s="3372"/>
      <c r="X11" s="3372"/>
      <c r="Y11" s="2728"/>
      <c r="Z11" s="2729"/>
      <c r="AA11" s="2729"/>
      <c r="AB11" s="3372"/>
      <c r="AC11" s="3372"/>
      <c r="AD11" s="3372"/>
      <c r="AE11" s="3261"/>
      <c r="AF11" s="3262"/>
      <c r="AG11" s="3263"/>
      <c r="AH11" s="3264" t="s">
        <v>802</v>
      </c>
      <c r="AI11" s="2728"/>
      <c r="AJ11" s="2728"/>
    </row>
    <row r="12" spans="1:38" ht="15.75">
      <c r="A12" s="2171"/>
      <c r="B12" s="2171"/>
      <c r="C12" s="2171"/>
      <c r="D12" s="1464" t="s">
        <v>6</v>
      </c>
      <c r="E12" s="1464"/>
      <c r="F12" s="2730" t="str">
        <f>'Exhibit A'!F11</f>
        <v>2 MOS. ENDED</v>
      </c>
      <c r="G12" s="2262"/>
      <c r="H12" s="1464" t="s">
        <v>6</v>
      </c>
      <c r="I12" s="1465"/>
      <c r="J12" s="1464" t="str">
        <f>F12</f>
        <v>2 MOS. ENDED</v>
      </c>
      <c r="K12" s="2262"/>
      <c r="L12" s="1464" t="s">
        <v>6</v>
      </c>
      <c r="M12" s="1465"/>
      <c r="N12" s="1464" t="str">
        <f>F12</f>
        <v>2 MOS. ENDED</v>
      </c>
      <c r="O12" s="2262"/>
      <c r="P12" s="1464" t="s">
        <v>6</v>
      </c>
      <c r="Q12" s="1465"/>
      <c r="R12" s="1464" t="str">
        <f>F12</f>
        <v>2 MOS. ENDED</v>
      </c>
      <c r="S12" s="2247"/>
      <c r="T12" s="2262"/>
      <c r="U12" s="2262"/>
      <c r="V12" s="3373" t="s">
        <v>6</v>
      </c>
      <c r="W12" s="3373"/>
      <c r="X12" s="3373" t="str">
        <f>F12</f>
        <v>2 MOS. ENDED</v>
      </c>
      <c r="Y12" s="1464"/>
      <c r="Z12" s="1466"/>
      <c r="AA12" s="1466"/>
      <c r="AB12" s="3373" t="s">
        <v>6</v>
      </c>
      <c r="AC12" s="3373"/>
      <c r="AD12" s="3373" t="str">
        <f>F12</f>
        <v>2 MOS. ENDED</v>
      </c>
      <c r="AE12" s="3265"/>
      <c r="AF12" s="3265"/>
      <c r="AG12" s="3266"/>
      <c r="AH12" s="3267" t="s">
        <v>7</v>
      </c>
      <c r="AI12" s="1465"/>
      <c r="AJ12" s="2730" t="s">
        <v>8</v>
      </c>
      <c r="AK12" s="2731"/>
      <c r="AL12" s="2722"/>
    </row>
    <row r="13" spans="1:38" ht="15.75">
      <c r="A13" s="2171"/>
      <c r="B13" s="2171"/>
      <c r="C13" s="2171"/>
      <c r="D13" s="1467" t="str">
        <f>'Exhibit A'!D12</f>
        <v>MAY 2022</v>
      </c>
      <c r="E13" s="1469"/>
      <c r="F13" s="1467" t="str">
        <f>'Exhibit A'!F12</f>
        <v>MAY 31, 2022</v>
      </c>
      <c r="G13" s="2247"/>
      <c r="H13" s="1467" t="str">
        <f>D13</f>
        <v>MAY 2022</v>
      </c>
      <c r="I13" s="1469"/>
      <c r="J13" s="1467" t="str">
        <f>F13</f>
        <v>MAY 31, 2022</v>
      </c>
      <c r="K13" s="2247"/>
      <c r="L13" s="1467" t="str">
        <f>D13</f>
        <v>MAY 2022</v>
      </c>
      <c r="M13" s="1469"/>
      <c r="N13" s="1467" t="str">
        <f>F13</f>
        <v>MAY 31, 2022</v>
      </c>
      <c r="O13" s="2247"/>
      <c r="P13" s="1467" t="str">
        <f>D13</f>
        <v>MAY 2022</v>
      </c>
      <c r="Q13" s="1469"/>
      <c r="R13" s="1467" t="str">
        <f>F13</f>
        <v>MAY 31, 2022</v>
      </c>
      <c r="S13" s="2247"/>
      <c r="T13" s="2262"/>
      <c r="U13" s="2262"/>
      <c r="V13" s="3860" t="str">
        <f>D13</f>
        <v>MAY 2022</v>
      </c>
      <c r="W13" s="3269"/>
      <c r="X13" s="3860" t="str">
        <f>'Exhibit A'!X12</f>
        <v>MAY 31, 2022</v>
      </c>
      <c r="Y13" s="1468"/>
      <c r="Z13" s="2732"/>
      <c r="AA13" s="2732"/>
      <c r="AB13" s="3374" t="str">
        <f>'Exhibit A'!AB12</f>
        <v>MAY 2021</v>
      </c>
      <c r="AC13" s="3011"/>
      <c r="AD13" s="3374" t="str">
        <f>'Exhibit A'!AD12</f>
        <v>MAY 31, 2021</v>
      </c>
      <c r="AE13" s="3011"/>
      <c r="AF13" s="3268"/>
      <c r="AG13" s="3269"/>
      <c r="AH13" s="3270" t="s">
        <v>11</v>
      </c>
      <c r="AI13" s="1469"/>
      <c r="AJ13" s="1467" t="s">
        <v>12</v>
      </c>
      <c r="AK13" s="2731"/>
      <c r="AL13" s="2733"/>
    </row>
    <row r="14" spans="1:38" ht="15">
      <c r="A14" s="2171"/>
      <c r="B14" s="2171"/>
      <c r="C14" s="2171"/>
      <c r="D14" s="2194"/>
      <c r="E14" s="2194"/>
      <c r="F14" s="2194"/>
      <c r="G14" s="2171"/>
      <c r="H14" s="2194"/>
      <c r="I14" s="2194"/>
      <c r="J14" s="2194"/>
      <c r="K14" s="2171"/>
      <c r="L14" s="2194"/>
      <c r="M14" s="2194"/>
      <c r="N14" s="2194"/>
      <c r="O14" s="2171"/>
      <c r="P14" s="2194"/>
      <c r="Q14" s="2194"/>
      <c r="R14" s="2194"/>
      <c r="S14" s="2171"/>
      <c r="T14" s="2734"/>
      <c r="U14" s="2734"/>
      <c r="V14" s="3375"/>
      <c r="W14" s="3012"/>
      <c r="X14" s="3375"/>
      <c r="Y14" s="2194"/>
      <c r="Z14" s="2735"/>
      <c r="AA14" s="2194"/>
      <c r="AB14" s="3375"/>
      <c r="AC14" s="3012"/>
      <c r="AD14" s="3375"/>
      <c r="AE14" s="3012"/>
      <c r="AF14" s="3422"/>
      <c r="AG14" s="3012"/>
      <c r="AH14" s="3012"/>
      <c r="AI14" s="2194"/>
      <c r="AJ14" s="2736"/>
      <c r="AK14" s="2722"/>
      <c r="AL14" s="2722"/>
    </row>
    <row r="15" spans="1:38" ht="18" customHeight="1">
      <c r="A15" s="2737" t="s">
        <v>1066</v>
      </c>
      <c r="B15" s="2738"/>
      <c r="C15" s="2738"/>
      <c r="D15" s="2171"/>
      <c r="E15" s="2171"/>
      <c r="F15" s="2171"/>
      <c r="G15" s="2171"/>
      <c r="H15" s="2171"/>
      <c r="I15" s="2171"/>
      <c r="J15" s="2171"/>
      <c r="K15" s="2171"/>
      <c r="L15" s="2171"/>
      <c r="M15" s="2171"/>
      <c r="N15" s="2171"/>
      <c r="O15" s="2171"/>
      <c r="P15" s="2171"/>
      <c r="Q15" s="2171"/>
      <c r="R15" s="2171"/>
      <c r="S15" s="2171"/>
      <c r="T15" s="2734"/>
      <c r="U15" s="2734"/>
      <c r="V15" s="2265"/>
      <c r="W15" s="2265"/>
      <c r="X15" s="2265"/>
      <c r="Y15" s="2171"/>
      <c r="Z15" s="2735"/>
      <c r="AA15" s="2194"/>
      <c r="AB15" s="2265"/>
      <c r="AC15" s="2265"/>
      <c r="AD15" s="2265"/>
      <c r="AE15" s="2265"/>
      <c r="AF15" s="3422"/>
      <c r="AG15" s="2265"/>
      <c r="AH15" s="2265"/>
      <c r="AI15" s="2171"/>
      <c r="AJ15" s="2736"/>
      <c r="AK15" s="2722"/>
      <c r="AL15" s="2722"/>
    </row>
    <row r="16" spans="1:38" s="2747" customFormat="1" ht="18" customHeight="1">
      <c r="A16" s="2739" t="s">
        <v>803</v>
      </c>
      <c r="B16" s="2739"/>
      <c r="C16" s="2740"/>
      <c r="D16" s="1740">
        <f>'Exhibit F'!F17</f>
        <v>3632</v>
      </c>
      <c r="E16" s="2741"/>
      <c r="F16" s="1740">
        <f>'Exhibit F'!AC17</f>
        <v>7365.2</v>
      </c>
      <c r="G16" s="2741"/>
      <c r="H16" s="1751">
        <v>0</v>
      </c>
      <c r="I16" s="2741"/>
      <c r="J16" s="1751">
        <v>0</v>
      </c>
      <c r="K16" s="2741"/>
      <c r="L16" s="1751">
        <v>0</v>
      </c>
      <c r="M16" s="2741"/>
      <c r="N16" s="1751">
        <v>0</v>
      </c>
      <c r="O16" s="2741"/>
      <c r="P16" s="1751">
        <v>0</v>
      </c>
      <c r="Q16" s="2741"/>
      <c r="R16" s="1751">
        <v>0</v>
      </c>
      <c r="S16" s="1740"/>
      <c r="T16" s="2742"/>
      <c r="U16" s="2743"/>
      <c r="V16" s="1782">
        <f>SUM(D16)+SUM(H16)+SUM(L16)+SUM(P16)</f>
        <v>3632</v>
      </c>
      <c r="W16" s="2741"/>
      <c r="X16" s="1782">
        <f>SUM(F16)+SUM(J16)+SUM(N16)+SUM(R16)</f>
        <v>7365.2</v>
      </c>
      <c r="Y16" s="2744"/>
      <c r="Z16" s="2745"/>
      <c r="AA16" s="2741"/>
      <c r="AB16" s="3376">
        <v>3217.7000000000003</v>
      </c>
      <c r="AC16" s="2741"/>
      <c r="AD16" s="1782">
        <f>'Cashflow Governmental'!AE21</f>
        <v>6819.5</v>
      </c>
      <c r="AE16" s="1782"/>
      <c r="AF16" s="3422"/>
      <c r="AG16" s="2744"/>
      <c r="AH16" s="1782">
        <f>ROUND(SUM(X16)-SUM(AD16),1)</f>
        <v>545.70000000000005</v>
      </c>
      <c r="AI16" s="2322"/>
      <c r="AJ16" s="1783">
        <f>ROUND(AH16/AD16,3)</f>
        <v>0.08</v>
      </c>
      <c r="AK16" s="1784"/>
      <c r="AL16" s="2746"/>
    </row>
    <row r="17" spans="1:38" s="2747" customFormat="1" ht="18" customHeight="1">
      <c r="A17" s="2748" t="s">
        <v>867</v>
      </c>
      <c r="B17" s="2739"/>
      <c r="C17" s="2749"/>
      <c r="D17" s="602">
        <f>'Exhibit F'!F18</f>
        <v>152.80000000000109</v>
      </c>
      <c r="E17" s="602"/>
      <c r="F17" s="602">
        <f>'Exhibit F'!AC18</f>
        <v>11080.300000000001</v>
      </c>
      <c r="G17" s="602"/>
      <c r="H17" s="1742">
        <v>0</v>
      </c>
      <c r="I17" s="1744"/>
      <c r="J17" s="1743">
        <v>0</v>
      </c>
      <c r="K17" s="602"/>
      <c r="L17" s="1742">
        <v>0</v>
      </c>
      <c r="M17" s="1744"/>
      <c r="N17" s="1743">
        <v>0</v>
      </c>
      <c r="O17" s="602"/>
      <c r="P17" s="1742">
        <v>0</v>
      </c>
      <c r="Q17" s="1744"/>
      <c r="R17" s="1743">
        <v>0</v>
      </c>
      <c r="S17" s="602"/>
      <c r="T17" s="2750"/>
      <c r="U17" s="2750"/>
      <c r="V17" s="1744">
        <f t="shared" ref="V17:V20" si="0">SUM(D17)+SUM(H17)+SUM(L17)+SUM(P17)</f>
        <v>152.80000000000109</v>
      </c>
      <c r="W17" s="1390"/>
      <c r="X17" s="1744">
        <f t="shared" ref="X17:X24" si="1">SUM(F17)+SUM(J17)+SUM(N17)+SUM(R17)</f>
        <v>11080.300000000001</v>
      </c>
      <c r="Y17" s="2751"/>
      <c r="Z17" s="2752"/>
      <c r="AA17" s="1390"/>
      <c r="AB17" s="1741">
        <v>6128.7</v>
      </c>
      <c r="AC17" s="602"/>
      <c r="AD17" s="1744">
        <f>'Cashflow Governmental'!AE22</f>
        <v>9470.9</v>
      </c>
      <c r="AE17" s="1744"/>
      <c r="AF17" s="3422"/>
      <c r="AG17" s="2751"/>
      <c r="AH17" s="1744">
        <f>ROUND(SUM(X17)-SUM(AD17),1)</f>
        <v>1609.4</v>
      </c>
      <c r="AI17" s="2753"/>
      <c r="AJ17" s="3764">
        <f>ROUND(AH17/AD17,3)</f>
        <v>0.17</v>
      </c>
      <c r="AK17" s="1784"/>
      <c r="AL17" s="2746"/>
    </row>
    <row r="18" spans="1:38" s="2747" customFormat="1" ht="18" customHeight="1">
      <c r="A18" s="2739" t="s">
        <v>804</v>
      </c>
      <c r="B18" s="2739" t="s">
        <v>14</v>
      </c>
      <c r="C18" s="2739"/>
      <c r="D18" s="602">
        <f>'Exhibit F'!F19</f>
        <v>174.89999999999964</v>
      </c>
      <c r="E18" s="602"/>
      <c r="F18" s="602">
        <f>'Exhibit F'!AC19</f>
        <v>3444.7</v>
      </c>
      <c r="G18" s="602"/>
      <c r="H18" s="1742">
        <v>0</v>
      </c>
      <c r="I18" s="1744"/>
      <c r="J18" s="1743">
        <v>0</v>
      </c>
      <c r="K18" s="602"/>
      <c r="L18" s="1742">
        <v>0</v>
      </c>
      <c r="M18" s="1744"/>
      <c r="N18" s="1743">
        <v>0</v>
      </c>
      <c r="O18" s="602"/>
      <c r="P18" s="1742">
        <v>0</v>
      </c>
      <c r="Q18" s="1744"/>
      <c r="R18" s="1743">
        <v>0</v>
      </c>
      <c r="S18" s="602"/>
      <c r="T18" s="2750"/>
      <c r="U18" s="2750"/>
      <c r="V18" s="1744">
        <f t="shared" si="0"/>
        <v>174.89999999999964</v>
      </c>
      <c r="W18" s="1390"/>
      <c r="X18" s="1744">
        <f t="shared" si="1"/>
        <v>3444.7</v>
      </c>
      <c r="Y18" s="2751"/>
      <c r="Z18" s="2752"/>
      <c r="AA18" s="1390"/>
      <c r="AB18" s="1741">
        <v>2184.3000000000002</v>
      </c>
      <c r="AC18" s="602"/>
      <c r="AD18" s="1744">
        <f>'Cashflow Governmental'!AE23</f>
        <v>3097.9</v>
      </c>
      <c r="AE18" s="1744"/>
      <c r="AF18" s="3422"/>
      <c r="AG18" s="2751"/>
      <c r="AH18" s="1744">
        <f>ROUND(SUM(X18)-SUM(AD18),1)</f>
        <v>346.8</v>
      </c>
      <c r="AI18" s="2753"/>
      <c r="AJ18" s="1784">
        <f>ROUND(AH18/AD18,3)</f>
        <v>0.112</v>
      </c>
      <c r="AK18" s="1784"/>
      <c r="AL18" s="2746"/>
    </row>
    <row r="19" spans="1:38" s="2747" customFormat="1" ht="18" customHeight="1">
      <c r="A19" s="2748" t="s">
        <v>805</v>
      </c>
      <c r="B19" s="2739"/>
      <c r="C19" s="2739"/>
      <c r="D19" s="602">
        <f>'Exhibit F'!F20</f>
        <v>-39.100000000000023</v>
      </c>
      <c r="E19" s="602"/>
      <c r="F19" s="602">
        <f>'Exhibit F'!AC20</f>
        <v>-541.1</v>
      </c>
      <c r="G19" s="602"/>
      <c r="H19" s="1742">
        <v>0</v>
      </c>
      <c r="I19" s="1744"/>
      <c r="J19" s="1743">
        <v>0</v>
      </c>
      <c r="K19" s="602"/>
      <c r="L19" s="1742">
        <v>0</v>
      </c>
      <c r="M19" s="1744"/>
      <c r="N19" s="1743">
        <v>0</v>
      </c>
      <c r="O19" s="602"/>
      <c r="P19" s="1742">
        <v>0</v>
      </c>
      <c r="Q19" s="1744"/>
      <c r="R19" s="1743">
        <v>0</v>
      </c>
      <c r="S19" s="602"/>
      <c r="T19" s="2750"/>
      <c r="U19" s="2750"/>
      <c r="V19" s="1744">
        <f t="shared" si="0"/>
        <v>-39.100000000000023</v>
      </c>
      <c r="W19" s="1390"/>
      <c r="X19" s="1744">
        <f t="shared" si="1"/>
        <v>-541.1</v>
      </c>
      <c r="Y19" s="2751"/>
      <c r="Z19" s="2752"/>
      <c r="AA19" s="1390"/>
      <c r="AB19" s="1741">
        <v>-264.7</v>
      </c>
      <c r="AC19" s="602"/>
      <c r="AD19" s="1744">
        <f>'Cashflow Governmental'!AE24</f>
        <v>-467.7</v>
      </c>
      <c r="AE19" s="1744"/>
      <c r="AF19" s="3422"/>
      <c r="AG19" s="2751"/>
      <c r="AH19" s="1744">
        <f>-ROUND(SUM(X19)-SUM(AD19),1)</f>
        <v>73.400000000000006</v>
      </c>
      <c r="AI19" s="2753"/>
      <c r="AJ19" s="1784">
        <f>-ROUND(AH19/AD19,3)</f>
        <v>0.157</v>
      </c>
      <c r="AK19" s="1784"/>
      <c r="AL19" s="2746"/>
    </row>
    <row r="20" spans="1:38" s="2747" customFormat="1" ht="18" customHeight="1">
      <c r="A20" s="2748" t="s">
        <v>806</v>
      </c>
      <c r="B20" s="2739" t="s">
        <v>14</v>
      </c>
      <c r="C20" s="2739"/>
      <c r="D20" s="602">
        <f>'Exhibit F'!F21</f>
        <v>161.79999999999998</v>
      </c>
      <c r="E20" s="602"/>
      <c r="F20" s="602">
        <f>'Exhibit F'!AC21</f>
        <v>382.4</v>
      </c>
      <c r="G20" s="602"/>
      <c r="H20" s="1742">
        <v>0</v>
      </c>
      <c r="I20" s="1744"/>
      <c r="J20" s="1743">
        <v>0</v>
      </c>
      <c r="K20" s="602"/>
      <c r="L20" s="1742">
        <v>0</v>
      </c>
      <c r="M20" s="1744"/>
      <c r="N20" s="1743">
        <v>0</v>
      </c>
      <c r="O20" s="602"/>
      <c r="P20" s="1742">
        <v>0</v>
      </c>
      <c r="Q20" s="1744"/>
      <c r="R20" s="1743">
        <v>0</v>
      </c>
      <c r="S20" s="602"/>
      <c r="T20" s="2750"/>
      <c r="U20" s="2750"/>
      <c r="V20" s="1744">
        <f t="shared" si="0"/>
        <v>161.79999999999998</v>
      </c>
      <c r="W20" s="1390"/>
      <c r="X20" s="1744">
        <f t="shared" si="1"/>
        <v>382.4</v>
      </c>
      <c r="Y20" s="2751"/>
      <c r="Z20" s="2752"/>
      <c r="AA20" s="1390"/>
      <c r="AB20" s="1741">
        <v>87.2</v>
      </c>
      <c r="AC20" s="602"/>
      <c r="AD20" s="1744">
        <f>'Cashflow Governmental'!AE25</f>
        <v>241.3</v>
      </c>
      <c r="AE20" s="1744"/>
      <c r="AF20" s="3422"/>
      <c r="AG20" s="2751"/>
      <c r="AH20" s="1744">
        <f>ROUND(SUM(X20)-SUM(AD20),1)</f>
        <v>141.1</v>
      </c>
      <c r="AI20" s="2753"/>
      <c r="AJ20" s="3398">
        <f>ROUND(AH20/AD20,3)</f>
        <v>0.58499999999999996</v>
      </c>
      <c r="AK20" s="1784"/>
      <c r="AL20" s="2746"/>
    </row>
    <row r="21" spans="1:38" s="2762" customFormat="1" ht="18" customHeight="1">
      <c r="A21" s="2754" t="s">
        <v>807</v>
      </c>
      <c r="B21" s="2754"/>
      <c r="C21" s="2754"/>
      <c r="D21" s="1752">
        <f>ROUND(SUM(D16:D20),1)</f>
        <v>4082.4</v>
      </c>
      <c r="E21" s="1442"/>
      <c r="F21" s="1752">
        <f>ROUND(SUM(F16:F20),1)</f>
        <v>21731.5</v>
      </c>
      <c r="G21" s="20"/>
      <c r="H21" s="1752">
        <f>ROUND(SUM(H16:H20),1)</f>
        <v>0</v>
      </c>
      <c r="I21" s="2755"/>
      <c r="J21" s="1752">
        <f>ROUND(SUM(J16:J20),1)</f>
        <v>0</v>
      </c>
      <c r="K21" s="20"/>
      <c r="L21" s="1752">
        <f>ROUND(SUM(L16:L20),1)</f>
        <v>0</v>
      </c>
      <c r="M21" s="2755"/>
      <c r="N21" s="1752">
        <f>ROUND(SUM(N16:N20),1)</f>
        <v>0</v>
      </c>
      <c r="O21" s="20"/>
      <c r="P21" s="1752">
        <f>ROUND(SUM(P16:P20),1)</f>
        <v>0</v>
      </c>
      <c r="Q21" s="2755"/>
      <c r="R21" s="1752">
        <f>ROUND(SUM(R16:R20),1)</f>
        <v>0</v>
      </c>
      <c r="S21" s="20"/>
      <c r="T21" s="2756"/>
      <c r="U21" s="2756"/>
      <c r="V21" s="2757">
        <f>ROUND(SUM(V16:V20),1)</f>
        <v>4082.4</v>
      </c>
      <c r="W21" s="1442"/>
      <c r="X21" s="2757">
        <f>ROUND(SUM(X16:X20),1)</f>
        <v>21731.5</v>
      </c>
      <c r="Y21" s="2758"/>
      <c r="Z21" s="2245"/>
      <c r="AA21" s="1442"/>
      <c r="AB21" s="1428">
        <f>ROUND(SUM(AB16:AB20),1)</f>
        <v>11353.2</v>
      </c>
      <c r="AC21" s="20"/>
      <c r="AD21" s="3722">
        <f>ROUND(SUM(AD16:AD20),1)</f>
        <v>19161.900000000001</v>
      </c>
      <c r="AE21" s="2755"/>
      <c r="AF21" s="3422"/>
      <c r="AG21" s="2758"/>
      <c r="AH21" s="3442">
        <f>ROUND(SUM(X21)-SUM(AD21),1)</f>
        <v>2569.6</v>
      </c>
      <c r="AI21" s="2759"/>
      <c r="AJ21" s="3399">
        <f>ROUND(AH21/AD21,3)</f>
        <v>0.13400000000000001</v>
      </c>
      <c r="AK21" s="2760"/>
      <c r="AL21" s="2761"/>
    </row>
    <row r="22" spans="1:38" s="2747" customFormat="1" ht="18" customHeight="1">
      <c r="A22" s="2748" t="s">
        <v>808</v>
      </c>
      <c r="B22" s="2739"/>
      <c r="C22" s="2739"/>
      <c r="D22" s="1741">
        <f>'Exhibit F'!F23</f>
        <v>0</v>
      </c>
      <c r="E22" s="1744"/>
      <c r="F22" s="1741">
        <f>'Exhibit F'!AC23</f>
        <v>0</v>
      </c>
      <c r="G22" s="602"/>
      <c r="H22" s="602">
        <f>'Exhibit G'!F17</f>
        <v>0</v>
      </c>
      <c r="I22" s="1744"/>
      <c r="J22" s="1757">
        <f>'Exhibit G'!AD17</f>
        <v>0</v>
      </c>
      <c r="K22" s="602"/>
      <c r="L22" s="1753">
        <v>0</v>
      </c>
      <c r="M22" s="1744"/>
      <c r="N22" s="1753">
        <v>0</v>
      </c>
      <c r="O22" s="602"/>
      <c r="P22" s="1753">
        <v>0</v>
      </c>
      <c r="Q22" s="1744"/>
      <c r="R22" s="1753">
        <v>0</v>
      </c>
      <c r="S22" s="602"/>
      <c r="T22" s="2750"/>
      <c r="U22" s="2750"/>
      <c r="V22" s="2763">
        <f>SUM(D22)+SUM(H22)+SUM(L22)+SUM(P22)</f>
        <v>0</v>
      </c>
      <c r="W22" s="1390"/>
      <c r="X22" s="2763">
        <f t="shared" si="1"/>
        <v>0</v>
      </c>
      <c r="Y22" s="2751"/>
      <c r="Z22" s="2752"/>
      <c r="AA22" s="1390"/>
      <c r="AB22" s="1741">
        <v>0</v>
      </c>
      <c r="AC22" s="1390"/>
      <c r="AD22" s="1744">
        <f>'Cashflow Governmental'!AE27</f>
        <v>0</v>
      </c>
      <c r="AE22" s="1742"/>
      <c r="AF22" s="3422"/>
      <c r="AG22" s="2751"/>
      <c r="AH22" s="1743">
        <f>ROUND(SUM(X22)-SUM(AD22),1)</f>
        <v>0</v>
      </c>
      <c r="AI22" s="2753"/>
      <c r="AJ22" s="1677">
        <f>ROUND(IF(AD22=0,0,AH22/(AD22)),3)</f>
        <v>0</v>
      </c>
      <c r="AK22" s="2764"/>
      <c r="AL22" s="2746"/>
    </row>
    <row r="23" spans="1:38" s="2747" customFormat="1" ht="18" customHeight="1">
      <c r="A23" s="2748" t="s">
        <v>809</v>
      </c>
      <c r="B23" s="2739"/>
      <c r="C23" s="2739"/>
      <c r="D23" s="1741">
        <f>'Exhibit F'!F24</f>
        <v>-1362.0999999999995</v>
      </c>
      <c r="E23" s="602"/>
      <c r="F23" s="1741">
        <f>'Exhibit F'!AC24</f>
        <v>-8722.9</v>
      </c>
      <c r="G23" s="602"/>
      <c r="H23" s="1742">
        <v>0</v>
      </c>
      <c r="I23" s="1744"/>
      <c r="J23" s="1743">
        <v>0</v>
      </c>
      <c r="K23" s="602"/>
      <c r="L23" s="1744">
        <f>'Exhibit H'!D16</f>
        <v>1362.0999999999995</v>
      </c>
      <c r="M23" s="1744"/>
      <c r="N23" s="1744">
        <f>'Exhibit H'!AA16</f>
        <v>8722.9</v>
      </c>
      <c r="O23" s="602"/>
      <c r="P23" s="1742">
        <v>0</v>
      </c>
      <c r="Q23" s="1744"/>
      <c r="R23" s="1743">
        <v>0</v>
      </c>
      <c r="S23" s="602"/>
      <c r="T23" s="2750"/>
      <c r="U23" s="2750"/>
      <c r="V23" s="1744">
        <f>ROUND(SUM(D23)+SUM(H23)+SUM(L23)+SUM(P23),1)</f>
        <v>0</v>
      </c>
      <c r="W23" s="1390"/>
      <c r="X23" s="1744">
        <f t="shared" si="1"/>
        <v>0</v>
      </c>
      <c r="Y23" s="2751"/>
      <c r="Z23" s="2752"/>
      <c r="AA23" s="1390"/>
      <c r="AB23" s="1741">
        <v>0</v>
      </c>
      <c r="AC23" s="1390"/>
      <c r="AD23" s="1744">
        <f>'Cashflow Governmental'!AE28</f>
        <v>0</v>
      </c>
      <c r="AE23" s="1742"/>
      <c r="AF23" s="3422"/>
      <c r="AG23" s="2751"/>
      <c r="AH23" s="1743">
        <f>ROUND(SUM(X23)-SUM(AD23),1)</f>
        <v>0</v>
      </c>
      <c r="AI23" s="2753"/>
      <c r="AJ23" s="1677">
        <f>ROUND(IF(AD23=0,0,AH23/(AD23)),3)</f>
        <v>0</v>
      </c>
      <c r="AK23" s="2764"/>
      <c r="AL23" s="2746"/>
    </row>
    <row r="24" spans="1:38" s="2747" customFormat="1" ht="18" customHeight="1">
      <c r="A24" s="2739" t="s">
        <v>810</v>
      </c>
      <c r="B24" s="2739"/>
      <c r="C24" s="2739"/>
      <c r="D24" s="1741">
        <f>'Exhibit F'!F25</f>
        <v>-1358.1999999999998</v>
      </c>
      <c r="E24" s="1390"/>
      <c r="F24" s="1741">
        <f>'Exhibit F'!AC25</f>
        <v>-4285.7</v>
      </c>
      <c r="G24" s="602"/>
      <c r="H24" s="1742">
        <v>0</v>
      </c>
      <c r="I24" s="1744"/>
      <c r="J24" s="1743">
        <v>0</v>
      </c>
      <c r="K24" s="602"/>
      <c r="L24" s="1742">
        <v>0</v>
      </c>
      <c r="M24" s="1744"/>
      <c r="N24" s="1743">
        <v>0</v>
      </c>
      <c r="O24" s="602"/>
      <c r="P24" s="1742">
        <v>0</v>
      </c>
      <c r="Q24" s="1744"/>
      <c r="R24" s="1743">
        <v>0</v>
      </c>
      <c r="S24" s="602"/>
      <c r="T24" s="2750"/>
      <c r="U24" s="2750"/>
      <c r="V24" s="1744">
        <f>SUM(D24)+SUM(H24)+SUM(L24)+SUM(P24)</f>
        <v>-1358.1999999999998</v>
      </c>
      <c r="W24" s="1390"/>
      <c r="X24" s="1744">
        <f t="shared" si="1"/>
        <v>-4285.7</v>
      </c>
      <c r="Y24" s="2751"/>
      <c r="Z24" s="2752"/>
      <c r="AA24" s="1390"/>
      <c r="AB24" s="1741">
        <v>-1520.2</v>
      </c>
      <c r="AC24" s="602"/>
      <c r="AD24" s="1744">
        <f>'Cashflow Governmental'!AE29</f>
        <v>-2803.1</v>
      </c>
      <c r="AE24" s="1744"/>
      <c r="AF24" s="3422"/>
      <c r="AG24" s="2751"/>
      <c r="AH24" s="1744">
        <f>-ROUND(SUM(X24)-SUM(AD24),1)</f>
        <v>1482.6</v>
      </c>
      <c r="AI24" s="2753"/>
      <c r="AJ24" s="1785">
        <f>-ROUND(AH24/AD24,3)</f>
        <v>0.52900000000000003</v>
      </c>
      <c r="AK24" s="1784"/>
      <c r="AL24" s="2746"/>
    </row>
    <row r="25" spans="1:38" s="2747" customFormat="1" ht="18" customHeight="1">
      <c r="A25" s="2765" t="s">
        <v>811</v>
      </c>
      <c r="B25" s="2739"/>
      <c r="C25" s="2739"/>
      <c r="D25" s="1754">
        <f>ROUND(SUM(D21:D24),1)</f>
        <v>1362.1</v>
      </c>
      <c r="E25" s="1442"/>
      <c r="F25" s="1754">
        <f>ROUND(SUM(F21:F24),1)</f>
        <v>8722.9</v>
      </c>
      <c r="G25" s="20"/>
      <c r="H25" s="1754">
        <f>ROUND(SUM(H21:H24),1)</f>
        <v>0</v>
      </c>
      <c r="I25" s="2755"/>
      <c r="J25" s="1754">
        <f>ROUND(SUM(J21:J24),1)</f>
        <v>0</v>
      </c>
      <c r="K25" s="20"/>
      <c r="L25" s="1754">
        <f>ROUND(SUM(L21:L24),1)</f>
        <v>1362.1</v>
      </c>
      <c r="M25" s="2755"/>
      <c r="N25" s="1754">
        <f>ROUND(SUM(N21:N24),1)</f>
        <v>8722.9</v>
      </c>
      <c r="O25" s="20"/>
      <c r="P25" s="1754">
        <f>ROUND(SUM(P21:P24),1)</f>
        <v>0</v>
      </c>
      <c r="Q25" s="2755"/>
      <c r="R25" s="1754">
        <f>ROUND(SUM(R21:R24),1)</f>
        <v>0</v>
      </c>
      <c r="S25" s="20"/>
      <c r="T25" s="2756"/>
      <c r="U25" s="2756"/>
      <c r="V25" s="2757">
        <f>ROUND(SUM(V21:V24),1)</f>
        <v>2724.2</v>
      </c>
      <c r="W25" s="1442"/>
      <c r="X25" s="2757">
        <f>ROUND(SUM(X21:X24),1)</f>
        <v>17445.8</v>
      </c>
      <c r="Y25" s="2766"/>
      <c r="Z25" s="2245"/>
      <c r="AA25" s="1442"/>
      <c r="AB25" s="3377">
        <f>ROUND(SUM(AB21:AB24),1)</f>
        <v>9833</v>
      </c>
      <c r="AC25" s="20"/>
      <c r="AD25" s="2757">
        <f>ROUND(SUM(AD21:AD24),1)</f>
        <v>16358.8</v>
      </c>
      <c r="AE25" s="1442" t="s">
        <v>14</v>
      </c>
      <c r="AF25" s="3422"/>
      <c r="AG25" s="2758"/>
      <c r="AH25" s="1786">
        <f>ROUND(SUM(X25)-SUM(AD25),1)</f>
        <v>1087</v>
      </c>
      <c r="AI25" s="2759"/>
      <c r="AJ25" s="1787">
        <f>ROUND(AH25/AD25,3)</f>
        <v>6.6000000000000003E-2</v>
      </c>
      <c r="AK25" s="2760"/>
      <c r="AL25" s="2761"/>
    </row>
    <row r="26" spans="1:38" ht="18" customHeight="1">
      <c r="A26" s="2738"/>
      <c r="B26" s="2738"/>
      <c r="C26" s="2738"/>
      <c r="D26" s="1473"/>
      <c r="E26" s="599"/>
      <c r="F26" s="1755" t="s">
        <v>14</v>
      </c>
      <c r="G26" s="602"/>
      <c r="H26" s="1755"/>
      <c r="I26" s="1390"/>
      <c r="J26" s="1755" t="s">
        <v>1151</v>
      </c>
      <c r="K26" s="602"/>
      <c r="L26" s="1755" t="s">
        <v>14</v>
      </c>
      <c r="M26" s="1390"/>
      <c r="N26" s="1755" t="s">
        <v>14</v>
      </c>
      <c r="O26" s="602"/>
      <c r="P26" s="1755"/>
      <c r="Q26" s="1390"/>
      <c r="R26" s="1755"/>
      <c r="S26" s="602"/>
      <c r="T26" s="2750"/>
      <c r="U26" s="2750"/>
      <c r="V26" s="1755"/>
      <c r="W26" s="1390"/>
      <c r="X26" s="1755"/>
      <c r="Y26" s="1390"/>
      <c r="Z26" s="2752"/>
      <c r="AA26" s="1390"/>
      <c r="AB26" s="1755"/>
      <c r="AC26" s="602"/>
      <c r="AD26" s="1755"/>
      <c r="AE26" s="1390"/>
      <c r="AF26" s="3422"/>
      <c r="AG26" s="1390"/>
      <c r="AH26" s="1390"/>
      <c r="AI26" s="596"/>
      <c r="AJ26" s="2767"/>
      <c r="AK26" s="2768"/>
      <c r="AL26" s="2722"/>
    </row>
    <row r="27" spans="1:38" ht="18" customHeight="1">
      <c r="A27" s="2769" t="s">
        <v>1067</v>
      </c>
      <c r="B27" s="2738"/>
      <c r="C27" s="2770"/>
      <c r="D27" s="3765"/>
      <c r="E27" s="598"/>
      <c r="F27" s="602"/>
      <c r="G27" s="602"/>
      <c r="H27" s="602"/>
      <c r="I27" s="602"/>
      <c r="J27" s="602"/>
      <c r="K27" s="602"/>
      <c r="L27" s="602"/>
      <c r="M27" s="602"/>
      <c r="N27" s="602"/>
      <c r="O27" s="602"/>
      <c r="P27" s="602"/>
      <c r="Q27" s="602"/>
      <c r="R27" s="602"/>
      <c r="S27" s="602"/>
      <c r="T27" s="2750"/>
      <c r="U27" s="2750"/>
      <c r="V27" s="1390"/>
      <c r="W27" s="1390"/>
      <c r="X27" s="602"/>
      <c r="Y27" s="602"/>
      <c r="Z27" s="2752"/>
      <c r="AA27" s="1390"/>
      <c r="AB27" s="602"/>
      <c r="AC27" s="602"/>
      <c r="AD27" s="602"/>
      <c r="AE27" s="602"/>
      <c r="AF27" s="3422"/>
      <c r="AG27" s="602"/>
      <c r="AH27" s="602"/>
      <c r="AI27" s="2197"/>
      <c r="AJ27" s="2767"/>
      <c r="AK27" s="2768"/>
      <c r="AL27" s="2722"/>
    </row>
    <row r="28" spans="1:38" s="2747" customFormat="1" ht="18" customHeight="1">
      <c r="A28" s="2739" t="s">
        <v>812</v>
      </c>
      <c r="B28" s="2739"/>
      <c r="C28" s="2739"/>
      <c r="D28" s="602">
        <f>'Exhibit F'!F28</f>
        <v>328</v>
      </c>
      <c r="E28" s="602"/>
      <c r="F28" s="602">
        <f>'Exhibit F'!AC28</f>
        <v>640</v>
      </c>
      <c r="G28" s="602"/>
      <c r="H28" s="602">
        <f>'Exhibit G'!F20</f>
        <v>87</v>
      </c>
      <c r="I28" s="602"/>
      <c r="J28" s="602">
        <f>'Exhibit G'!AD20</f>
        <v>222.1</v>
      </c>
      <c r="K28" s="602"/>
      <c r="L28" s="1744">
        <f>'Exhibit H'!D19</f>
        <v>982.19999999999993</v>
      </c>
      <c r="M28" s="1744"/>
      <c r="N28" s="1744">
        <f>'Exhibit H'!AA19</f>
        <v>1913.8</v>
      </c>
      <c r="O28" s="602"/>
      <c r="P28" s="1742">
        <v>0</v>
      </c>
      <c r="Q28" s="1744"/>
      <c r="R28" s="1743">
        <v>0</v>
      </c>
      <c r="S28" s="602"/>
      <c r="T28" s="2750"/>
      <c r="U28" s="2750"/>
      <c r="V28" s="1744">
        <f t="shared" ref="V28:V33" si="2">SUM(D28)+SUM(H28)+SUM(L28)+SUM(P28)</f>
        <v>1397.1999999999998</v>
      </c>
      <c r="W28" s="1390"/>
      <c r="X28" s="1744">
        <f t="shared" ref="X28:X34" si="3">SUM(F28)+SUM(J28)+SUM(N28)+SUM(R28)</f>
        <v>2775.9</v>
      </c>
      <c r="Y28" s="602"/>
      <c r="Z28" s="2752"/>
      <c r="AA28" s="1390"/>
      <c r="AB28" s="1741">
        <v>1261.3999999999999</v>
      </c>
      <c r="AC28" s="602"/>
      <c r="AD28" s="1744">
        <f>'Cashflow Governmental'!AE32</f>
        <v>2558.8000000000002</v>
      </c>
      <c r="AE28" s="1744"/>
      <c r="AF28" s="3422"/>
      <c r="AG28" s="602"/>
      <c r="AH28" s="602">
        <f t="shared" ref="AH28:AH37" si="4">ROUND(SUM(X28)-SUM(AD28),1)</f>
        <v>217.1</v>
      </c>
      <c r="AI28" s="2753"/>
      <c r="AJ28" s="1784">
        <f t="shared" ref="AJ28:AJ37" si="5">ROUND(AH28/AD28,3)</f>
        <v>8.5000000000000006E-2</v>
      </c>
      <c r="AK28" s="1784"/>
      <c r="AL28" s="2746"/>
    </row>
    <row r="29" spans="1:38" s="2747" customFormat="1" ht="18" customHeight="1">
      <c r="A29" s="2748" t="s">
        <v>813</v>
      </c>
      <c r="B29" s="2739"/>
      <c r="C29" s="2771"/>
      <c r="D29" s="602">
        <f>'Exhibit F'!F29</f>
        <v>0</v>
      </c>
      <c r="E29" s="1744"/>
      <c r="F29" s="602">
        <f>'Exhibit F'!AC29</f>
        <v>0</v>
      </c>
      <c r="G29" s="602"/>
      <c r="H29" s="602">
        <f>'Exhibit G'!F21</f>
        <v>0</v>
      </c>
      <c r="I29" s="1744"/>
      <c r="J29" s="602">
        <f>'Exhibit G'!AD21</f>
        <v>1.8</v>
      </c>
      <c r="K29" s="602"/>
      <c r="L29" s="1742">
        <v>0</v>
      </c>
      <c r="M29" s="1744"/>
      <c r="N29" s="1743">
        <v>0</v>
      </c>
      <c r="O29" s="602"/>
      <c r="P29" s="1741">
        <f>'Exhibit I'!G20</f>
        <v>9.9999999999999645E-2</v>
      </c>
      <c r="Q29" s="602"/>
      <c r="R29" s="1741">
        <f>'Exhibit I'!AF20</f>
        <v>9.5</v>
      </c>
      <c r="S29" s="602"/>
      <c r="T29" s="2750"/>
      <c r="U29" s="2750"/>
      <c r="V29" s="1744">
        <f t="shared" si="2"/>
        <v>9.9999999999999645E-2</v>
      </c>
      <c r="W29" s="1390"/>
      <c r="X29" s="1744">
        <f t="shared" si="3"/>
        <v>11.3</v>
      </c>
      <c r="Y29" s="2751"/>
      <c r="Z29" s="2752"/>
      <c r="AA29" s="1390"/>
      <c r="AB29" s="1741">
        <v>0</v>
      </c>
      <c r="AC29" s="602"/>
      <c r="AD29" s="1744">
        <f>'Cashflow Governmental'!AE33</f>
        <v>1.9000000000000001</v>
      </c>
      <c r="AE29" s="1744"/>
      <c r="AF29" s="3422"/>
      <c r="AG29" s="2751"/>
      <c r="AH29" s="1744">
        <f t="shared" si="4"/>
        <v>9.4</v>
      </c>
      <c r="AI29" s="2772"/>
      <c r="AJ29" s="1784">
        <f t="shared" si="5"/>
        <v>4.9470000000000001</v>
      </c>
      <c r="AK29" s="1784"/>
      <c r="AL29" s="2746"/>
    </row>
    <row r="30" spans="1:38" ht="18" customHeight="1">
      <c r="A30" s="2738" t="s">
        <v>814</v>
      </c>
      <c r="B30" s="2738"/>
      <c r="C30" s="2738"/>
      <c r="D30" s="602">
        <f>'Exhibit F'!F30</f>
        <v>23.5</v>
      </c>
      <c r="E30" s="602"/>
      <c r="F30" s="602">
        <f>'Exhibit F'!AC30</f>
        <v>50.5</v>
      </c>
      <c r="G30" s="602"/>
      <c r="H30" s="602">
        <f>'Exhibit G'!F22</f>
        <v>51.70000000000001</v>
      </c>
      <c r="I30" s="1744"/>
      <c r="J30" s="602">
        <f>'Exhibit G'!AD22</f>
        <v>109.4</v>
      </c>
      <c r="K30" s="602"/>
      <c r="L30" s="1742">
        <v>0</v>
      </c>
      <c r="M30" s="1744"/>
      <c r="N30" s="1743">
        <v>0</v>
      </c>
      <c r="O30" s="602"/>
      <c r="P30" s="1742">
        <v>0</v>
      </c>
      <c r="Q30" s="1744"/>
      <c r="R30" s="1743">
        <v>0</v>
      </c>
      <c r="S30" s="602"/>
      <c r="T30" s="2750"/>
      <c r="U30" s="2750"/>
      <c r="V30" s="1744">
        <f t="shared" si="2"/>
        <v>75.200000000000017</v>
      </c>
      <c r="W30" s="1390"/>
      <c r="X30" s="1744">
        <f t="shared" si="3"/>
        <v>159.9</v>
      </c>
      <c r="Y30" s="2751"/>
      <c r="Z30" s="2752"/>
      <c r="AA30" s="1390"/>
      <c r="AB30" s="1741">
        <v>76.599999999999994</v>
      </c>
      <c r="AC30" s="602"/>
      <c r="AD30" s="1744">
        <f>'Cashflow Governmental'!AE34</f>
        <v>174.9</v>
      </c>
      <c r="AE30" s="1757"/>
      <c r="AF30" s="3423"/>
      <c r="AG30" s="2751"/>
      <c r="AH30" s="1744">
        <f t="shared" si="4"/>
        <v>-15</v>
      </c>
      <c r="AI30" s="2773"/>
      <c r="AJ30" s="1470">
        <f t="shared" si="5"/>
        <v>-8.5999999999999993E-2</v>
      </c>
      <c r="AK30" s="1470"/>
      <c r="AL30" s="2722"/>
    </row>
    <row r="31" spans="1:38" ht="18" customHeight="1">
      <c r="A31" s="2738" t="s">
        <v>1445</v>
      </c>
      <c r="B31" s="598"/>
      <c r="C31" s="2738"/>
      <c r="D31" s="602">
        <v>0</v>
      </c>
      <c r="E31" s="602"/>
      <c r="F31" s="602">
        <v>0</v>
      </c>
      <c r="G31" s="602"/>
      <c r="H31" s="602">
        <f>'Exhibit G'!F23</f>
        <v>1.2000000000000002</v>
      </c>
      <c r="I31" s="1744"/>
      <c r="J31" s="602">
        <f>'Exhibit G'!AD23</f>
        <v>2.2000000000000002</v>
      </c>
      <c r="K31" s="602"/>
      <c r="L31" s="1742">
        <v>0</v>
      </c>
      <c r="M31" s="1744"/>
      <c r="N31" s="1743">
        <v>0</v>
      </c>
      <c r="O31" s="602"/>
      <c r="P31" s="1742">
        <v>0</v>
      </c>
      <c r="Q31" s="1744"/>
      <c r="R31" s="1743">
        <v>0</v>
      </c>
      <c r="S31" s="602"/>
      <c r="T31" s="2750"/>
      <c r="U31" s="2750"/>
      <c r="V31" s="1744">
        <f>SUM(D31)+SUM(H31)+SUM(L31)+SUM(P31)</f>
        <v>1.2000000000000002</v>
      </c>
      <c r="W31" s="1390"/>
      <c r="X31" s="1744">
        <f>SUM(F31)+SUM(J31)+SUM(N31)+SUM(R31)</f>
        <v>2.2000000000000002</v>
      </c>
      <c r="Y31" s="2751"/>
      <c r="Z31" s="2752"/>
      <c r="AA31" s="1390"/>
      <c r="AB31" s="1741">
        <v>1.1000000000000001</v>
      </c>
      <c r="AC31" s="602"/>
      <c r="AD31" s="1744">
        <f>'Cashflow Governmental'!AE35</f>
        <v>2.6</v>
      </c>
      <c r="AE31" s="1757"/>
      <c r="AF31" s="3423"/>
      <c r="AG31" s="2751"/>
      <c r="AH31" s="1744">
        <f>ROUND(SUM(X31)-SUM(AD31),1)</f>
        <v>-0.4</v>
      </c>
      <c r="AI31" s="2773"/>
      <c r="AJ31" s="1406">
        <f>ROUND(IF(AD31=0,0,AH31/(AD31)),3)</f>
        <v>-0.154</v>
      </c>
      <c r="AK31" s="1470"/>
      <c r="AL31" s="2722"/>
    </row>
    <row r="32" spans="1:38" ht="18" customHeight="1">
      <c r="A32" s="2738" t="s">
        <v>815</v>
      </c>
      <c r="B32" s="2738"/>
      <c r="C32" s="2738"/>
      <c r="D32" s="602">
        <f>'Exhibit F'!F31</f>
        <v>0</v>
      </c>
      <c r="E32" s="1744"/>
      <c r="F32" s="602">
        <f>'Exhibit F'!AC31</f>
        <v>0</v>
      </c>
      <c r="G32" s="602"/>
      <c r="H32" s="602">
        <f>'Exhibit G'!F24</f>
        <v>8</v>
      </c>
      <c r="I32" s="1744"/>
      <c r="J32" s="602">
        <f>'Exhibit G'!AD24</f>
        <v>14</v>
      </c>
      <c r="K32" s="602"/>
      <c r="L32" s="1742">
        <v>0</v>
      </c>
      <c r="M32" s="1744"/>
      <c r="N32" s="1743">
        <v>0</v>
      </c>
      <c r="O32" s="602"/>
      <c r="P32" s="602">
        <f>'Exhibit I'!G21</f>
        <v>29.5</v>
      </c>
      <c r="Q32" s="1744"/>
      <c r="R32" s="602">
        <f>'Exhibit I'!AF21</f>
        <v>51</v>
      </c>
      <c r="S32" s="602"/>
      <c r="T32" s="2750"/>
      <c r="U32" s="2750"/>
      <c r="V32" s="1744">
        <f t="shared" si="2"/>
        <v>37.5</v>
      </c>
      <c r="W32" s="1390"/>
      <c r="X32" s="1744">
        <f t="shared" si="3"/>
        <v>65</v>
      </c>
      <c r="Y32" s="602"/>
      <c r="Z32" s="2752"/>
      <c r="AA32" s="1390"/>
      <c r="AB32" s="1741">
        <v>40.299999999999997</v>
      </c>
      <c r="AC32" s="602"/>
      <c r="AD32" s="1744">
        <f>'Cashflow Governmental'!AE36</f>
        <v>74.400000000000006</v>
      </c>
      <c r="AE32" s="1744"/>
      <c r="AF32" s="3423"/>
      <c r="AG32" s="602"/>
      <c r="AH32" s="1744">
        <f t="shared" si="4"/>
        <v>-9.4</v>
      </c>
      <c r="AI32" s="2197"/>
      <c r="AJ32" s="1470">
        <f t="shared" si="5"/>
        <v>-0.126</v>
      </c>
      <c r="AK32" s="1470"/>
      <c r="AL32" s="2722"/>
    </row>
    <row r="33" spans="1:38" ht="18" customHeight="1">
      <c r="A33" s="2738" t="s">
        <v>816</v>
      </c>
      <c r="B33" s="2738"/>
      <c r="C33" s="2738"/>
      <c r="D33" s="602">
        <f>'Exhibit F'!F32</f>
        <v>21.499999999999996</v>
      </c>
      <c r="E33" s="602"/>
      <c r="F33" s="602">
        <f>'Exhibit F'!AC32</f>
        <v>46.3</v>
      </c>
      <c r="G33" s="602"/>
      <c r="H33" s="602">
        <f>'Exhibit G'!F25</f>
        <v>0</v>
      </c>
      <c r="I33" s="1744"/>
      <c r="J33" s="602">
        <f>'Exhibit G'!AD25</f>
        <v>0</v>
      </c>
      <c r="K33" s="602"/>
      <c r="L33" s="1742">
        <v>0</v>
      </c>
      <c r="M33" s="1744"/>
      <c r="N33" s="1743">
        <v>0</v>
      </c>
      <c r="O33" s="602"/>
      <c r="P33" s="1742">
        <v>0</v>
      </c>
      <c r="Q33" s="1744"/>
      <c r="R33" s="1743">
        <v>0</v>
      </c>
      <c r="S33" s="602"/>
      <c r="T33" s="2750"/>
      <c r="U33" s="2750"/>
      <c r="V33" s="1744">
        <f t="shared" si="2"/>
        <v>21.499999999999996</v>
      </c>
      <c r="W33" s="1390"/>
      <c r="X33" s="1744">
        <f t="shared" si="3"/>
        <v>46.3</v>
      </c>
      <c r="Y33" s="2751"/>
      <c r="Z33" s="2752"/>
      <c r="AA33" s="1390"/>
      <c r="AB33" s="1741">
        <v>21.8</v>
      </c>
      <c r="AC33" s="602"/>
      <c r="AD33" s="1744">
        <f>'Cashflow Governmental'!AE37</f>
        <v>44.8</v>
      </c>
      <c r="AE33" s="1744"/>
      <c r="AF33" s="3423"/>
      <c r="AG33" s="2751"/>
      <c r="AH33" s="1744">
        <f t="shared" si="4"/>
        <v>1.5</v>
      </c>
      <c r="AI33" s="2773"/>
      <c r="AJ33" s="1470">
        <f t="shared" si="5"/>
        <v>3.3000000000000002E-2</v>
      </c>
      <c r="AK33" s="1470"/>
      <c r="AL33" s="2722"/>
    </row>
    <row r="34" spans="1:38" ht="18" customHeight="1">
      <c r="A34" s="2738" t="s">
        <v>817</v>
      </c>
      <c r="B34" s="2738"/>
      <c r="C34" s="2738"/>
      <c r="D34" s="602">
        <f>'Exhibit F'!F33</f>
        <v>0</v>
      </c>
      <c r="E34" s="1744"/>
      <c r="F34" s="602">
        <f>'Exhibit F'!AC33</f>
        <v>0</v>
      </c>
      <c r="G34" s="602"/>
      <c r="H34" s="602">
        <f>'Exhibit G'!F26</f>
        <v>0</v>
      </c>
      <c r="I34" s="1744"/>
      <c r="J34" s="602">
        <f>'Exhibit G'!AD26</f>
        <v>0.1</v>
      </c>
      <c r="K34" s="602"/>
      <c r="L34" s="1742">
        <v>0</v>
      </c>
      <c r="M34" s="1744"/>
      <c r="N34" s="1743">
        <v>0</v>
      </c>
      <c r="O34" s="602"/>
      <c r="P34" s="602">
        <f>'Exhibit I'!G22</f>
        <v>10.499999999999998</v>
      </c>
      <c r="Q34" s="1744"/>
      <c r="R34" s="602">
        <f>'Exhibit I'!AF22</f>
        <v>22.4</v>
      </c>
      <c r="S34" s="602"/>
      <c r="T34" s="2750"/>
      <c r="U34" s="2750"/>
      <c r="V34" s="1744">
        <f>SUM(D34)+SUM(H34)+SUM(L34)+SUM(P34)</f>
        <v>10.499999999999998</v>
      </c>
      <c r="W34" s="1390"/>
      <c r="X34" s="1744">
        <f t="shared" si="3"/>
        <v>22.5</v>
      </c>
      <c r="Y34" s="2751"/>
      <c r="Z34" s="2752"/>
      <c r="AA34" s="1390"/>
      <c r="AB34" s="1741">
        <v>10.5</v>
      </c>
      <c r="AC34" s="602"/>
      <c r="AD34" s="1744">
        <f>'Cashflow Governmental'!AE38</f>
        <v>25.1</v>
      </c>
      <c r="AE34" s="1757"/>
      <c r="AF34" s="3423"/>
      <c r="AG34" s="2751"/>
      <c r="AH34" s="1743">
        <f t="shared" si="4"/>
        <v>-2.6</v>
      </c>
      <c r="AI34" s="2774"/>
      <c r="AJ34" s="1470">
        <f>ROUND(AH34/AD34,3)</f>
        <v>-0.104</v>
      </c>
      <c r="AK34" s="1470"/>
      <c r="AL34" s="2722"/>
    </row>
    <row r="35" spans="1:38" ht="18" customHeight="1">
      <c r="A35" s="2738" t="s">
        <v>1313</v>
      </c>
      <c r="B35" s="2738"/>
      <c r="C35" s="2738"/>
      <c r="D35" s="602">
        <f>'Exhibit F'!F34</f>
        <v>0</v>
      </c>
      <c r="E35" s="1744"/>
      <c r="F35" s="602">
        <f>'Exhibit F'!AC34</f>
        <v>0</v>
      </c>
      <c r="G35" s="602"/>
      <c r="H35" s="602">
        <f>'Exhibit G'!F27</f>
        <v>0.1</v>
      </c>
      <c r="I35" s="1744"/>
      <c r="J35" s="602">
        <f>'Exhibit G'!AD27</f>
        <v>0</v>
      </c>
      <c r="K35" s="602"/>
      <c r="L35" s="1742">
        <v>0</v>
      </c>
      <c r="M35" s="1744"/>
      <c r="N35" s="1743">
        <v>0</v>
      </c>
      <c r="O35" s="602"/>
      <c r="P35" s="602">
        <v>0</v>
      </c>
      <c r="Q35" s="1744"/>
      <c r="R35" s="602">
        <v>0</v>
      </c>
      <c r="S35" s="602"/>
      <c r="T35" s="2750"/>
      <c r="U35" s="2750"/>
      <c r="V35" s="1744">
        <f>SUM(D35)+SUM(H35)+SUM(L35)+SUM(P35)</f>
        <v>0.1</v>
      </c>
      <c r="W35" s="1390"/>
      <c r="X35" s="1744">
        <f>SUM(F35)+SUM(J35)+SUM(N35)+SUM(R35)</f>
        <v>0</v>
      </c>
      <c r="Y35" s="2751"/>
      <c r="Z35" s="2752"/>
      <c r="AA35" s="1390"/>
      <c r="AB35" s="1741">
        <v>0</v>
      </c>
      <c r="AC35" s="602"/>
      <c r="AD35" s="1744">
        <f>'Cashflow Governmental'!AE39</f>
        <v>0.2</v>
      </c>
      <c r="AE35" s="1757"/>
      <c r="AF35" s="3423"/>
      <c r="AG35" s="2751"/>
      <c r="AH35" s="1743">
        <f>ROUND(SUM(X35)-SUM(AD35),1)</f>
        <v>-0.2</v>
      </c>
      <c r="AI35" s="2774"/>
      <c r="AJ35" s="1406">
        <f>ROUND(IF(AD35=0,1,AH35/(AD35)),3)</f>
        <v>-1</v>
      </c>
      <c r="AK35" s="1470"/>
      <c r="AL35" s="2722"/>
    </row>
    <row r="36" spans="1:38" ht="18" customHeight="1">
      <c r="A36" s="2738" t="s">
        <v>1314</v>
      </c>
      <c r="B36" s="2738"/>
      <c r="C36" s="2738"/>
      <c r="D36" s="602">
        <f>'Exhibit F'!F35</f>
        <v>1</v>
      </c>
      <c r="E36" s="1744"/>
      <c r="F36" s="602">
        <f>'Exhibit F'!AC35</f>
        <v>7.4</v>
      </c>
      <c r="G36" s="602"/>
      <c r="H36" s="602">
        <v>0</v>
      </c>
      <c r="I36" s="1744"/>
      <c r="J36" s="602">
        <v>0</v>
      </c>
      <c r="K36" s="602"/>
      <c r="L36" s="1742">
        <v>0</v>
      </c>
      <c r="M36" s="1744"/>
      <c r="N36" s="1743">
        <v>0</v>
      </c>
      <c r="O36" s="602"/>
      <c r="P36" s="602">
        <v>0</v>
      </c>
      <c r="Q36" s="1744"/>
      <c r="R36" s="602">
        <v>0</v>
      </c>
      <c r="S36" s="602"/>
      <c r="T36" s="2750"/>
      <c r="U36" s="2750"/>
      <c r="V36" s="1744">
        <f>SUM(D36)+SUM(H36)+SUM(L36)+SUM(P36)</f>
        <v>1</v>
      </c>
      <c r="W36" s="1390"/>
      <c r="X36" s="1744">
        <f t="shared" ref="X36" si="6">SUM(F36)+SUM(J36)+SUM(N36)+SUM(R36)</f>
        <v>7.4</v>
      </c>
      <c r="Y36" s="2751"/>
      <c r="Z36" s="2752"/>
      <c r="AA36" s="1390"/>
      <c r="AB36" s="1741">
        <v>0.1</v>
      </c>
      <c r="AC36" s="602"/>
      <c r="AD36" s="1744">
        <f>'Cashflow Governmental'!AE40</f>
        <v>6.8</v>
      </c>
      <c r="AE36" s="1757"/>
      <c r="AF36" s="3423"/>
      <c r="AG36" s="2751"/>
      <c r="AH36" s="1743">
        <f t="shared" ref="AH36" si="7">ROUND(SUM(X36)-SUM(AD36),1)</f>
        <v>0.6</v>
      </c>
      <c r="AI36" s="2774"/>
      <c r="AJ36" s="1406">
        <f>ROUND(IF(AD36=0,1,AH36/(AD36)),3)</f>
        <v>8.7999999999999995E-2</v>
      </c>
      <c r="AK36" s="1470"/>
      <c r="AL36" s="2722"/>
    </row>
    <row r="37" spans="1:38" ht="18" customHeight="1">
      <c r="A37" s="2737" t="s">
        <v>818</v>
      </c>
      <c r="B37" s="2738"/>
      <c r="C37" s="2738"/>
      <c r="D37" s="1471">
        <f>ROUND(SUM(D28:D36),1)</f>
        <v>374</v>
      </c>
      <c r="E37" s="2219"/>
      <c r="F37" s="1754">
        <f>ROUND(SUM(F28:F36),1)</f>
        <v>744.2</v>
      </c>
      <c r="G37" s="20"/>
      <c r="H37" s="1754">
        <f>ROUND(SUM(H28:H36),1)</f>
        <v>148</v>
      </c>
      <c r="I37" s="1442"/>
      <c r="J37" s="1754">
        <f>ROUND(SUM(J28:J36),1)</f>
        <v>349.6</v>
      </c>
      <c r="K37" s="20"/>
      <c r="L37" s="1754">
        <f>ROUND(SUM(L28:L36),1)</f>
        <v>982.2</v>
      </c>
      <c r="M37" s="1442"/>
      <c r="N37" s="1754">
        <f>ROUND(SUM(N28:N36),1)</f>
        <v>1913.8</v>
      </c>
      <c r="O37" s="20"/>
      <c r="P37" s="1754">
        <f>ROUND(SUM(P28:P36),1)</f>
        <v>40.1</v>
      </c>
      <c r="Q37" s="1442"/>
      <c r="R37" s="1754">
        <f>ROUND(SUM(R28:R36),1)</f>
        <v>82.9</v>
      </c>
      <c r="S37" s="20"/>
      <c r="T37" s="2756"/>
      <c r="U37" s="2756"/>
      <c r="V37" s="1754">
        <f>ROUND(SUM(V28:V36),1)</f>
        <v>1544.3</v>
      </c>
      <c r="W37" s="1442"/>
      <c r="X37" s="1754">
        <f>ROUND(SUM(X28:X36),1)</f>
        <v>3090.5</v>
      </c>
      <c r="Y37" s="3658"/>
      <c r="Z37" s="2245"/>
      <c r="AA37" s="1442"/>
      <c r="AB37" s="1754">
        <f>ROUND(SUM(AB28:AB36),1)</f>
        <v>1411.8</v>
      </c>
      <c r="AC37" s="20"/>
      <c r="AD37" s="1754">
        <f>ROUND(SUM(AD28:AD36),1)</f>
        <v>2889.5</v>
      </c>
      <c r="AE37" s="1442"/>
      <c r="AF37" s="3424"/>
      <c r="AG37" s="1442"/>
      <c r="AH37" s="1786">
        <f t="shared" si="4"/>
        <v>201</v>
      </c>
      <c r="AI37" s="2191"/>
      <c r="AJ37" s="1472">
        <f t="shared" si="5"/>
        <v>7.0000000000000007E-2</v>
      </c>
      <c r="AK37" s="2775"/>
      <c r="AL37" s="2776"/>
    </row>
    <row r="38" spans="1:38" ht="18" customHeight="1">
      <c r="A38" s="2738"/>
      <c r="B38" s="2738"/>
      <c r="C38" s="2738"/>
      <c r="D38" s="1473"/>
      <c r="E38" s="599"/>
      <c r="F38" s="1755"/>
      <c r="G38" s="602"/>
      <c r="H38" s="1755"/>
      <c r="I38" s="1390"/>
      <c r="J38" s="1755"/>
      <c r="K38" s="602"/>
      <c r="L38" s="1755"/>
      <c r="M38" s="1390"/>
      <c r="N38" s="1755"/>
      <c r="O38" s="602"/>
      <c r="P38" s="1755"/>
      <c r="Q38" s="1390"/>
      <c r="R38" s="1755"/>
      <c r="S38" s="602"/>
      <c r="T38" s="2750"/>
      <c r="U38" s="2750"/>
      <c r="V38" s="1755"/>
      <c r="W38" s="1390"/>
      <c r="X38" s="1755"/>
      <c r="Y38" s="1390"/>
      <c r="Z38" s="2752"/>
      <c r="AA38" s="1390"/>
      <c r="AB38" s="1755"/>
      <c r="AC38" s="602"/>
      <c r="AD38" s="1755"/>
      <c r="AE38" s="1390"/>
      <c r="AF38" s="3423"/>
      <c r="AG38" s="1390"/>
      <c r="AH38" s="1390"/>
      <c r="AI38" s="596"/>
      <c r="AJ38" s="2767"/>
      <c r="AK38" s="2768"/>
      <c r="AL38" s="2722"/>
    </row>
    <row r="39" spans="1:38" ht="18" customHeight="1">
      <c r="A39" s="2737" t="s">
        <v>1068</v>
      </c>
      <c r="B39" s="2738"/>
      <c r="C39" s="2738"/>
      <c r="D39" s="598"/>
      <c r="E39" s="598"/>
      <c r="F39" s="602"/>
      <c r="G39" s="602"/>
      <c r="H39" s="602"/>
      <c r="I39" s="602"/>
      <c r="J39" s="602"/>
      <c r="K39" s="602"/>
      <c r="L39" s="602"/>
      <c r="M39" s="602"/>
      <c r="N39" s="602"/>
      <c r="O39" s="602"/>
      <c r="P39" s="602"/>
      <c r="Q39" s="602"/>
      <c r="R39" s="602"/>
      <c r="S39" s="602"/>
      <c r="T39" s="2750"/>
      <c r="U39" s="2750"/>
      <c r="V39" s="1390"/>
      <c r="W39" s="1390"/>
      <c r="X39" s="602"/>
      <c r="Y39" s="602"/>
      <c r="Z39" s="2752"/>
      <c r="AA39" s="1390"/>
      <c r="AB39" s="3378"/>
      <c r="AC39" s="602"/>
      <c r="AD39" s="3378"/>
      <c r="AE39" s="602"/>
      <c r="AF39" s="3423"/>
      <c r="AG39" s="602"/>
      <c r="AH39" s="602"/>
      <c r="AI39" s="2197"/>
      <c r="AJ39" s="1470"/>
      <c r="AK39" s="2768"/>
      <c r="AL39" s="2722"/>
    </row>
    <row r="40" spans="1:38" ht="18" customHeight="1">
      <c r="A40" s="2738" t="s">
        <v>819</v>
      </c>
      <c r="B40" s="2738"/>
      <c r="C40" s="2738"/>
      <c r="D40" s="602">
        <f>'Exhibit F'!F38</f>
        <v>97.999999999999886</v>
      </c>
      <c r="E40" s="602"/>
      <c r="F40" s="602">
        <f>'Exhibit F'!AC38</f>
        <v>1074.0999999999999</v>
      </c>
      <c r="G40" s="602"/>
      <c r="H40" s="602">
        <f>'Exhibit G'!F30</f>
        <v>43.999999999999972</v>
      </c>
      <c r="I40" s="602"/>
      <c r="J40" s="602">
        <f>'Exhibit G'!AD30</f>
        <v>272.89999999999998</v>
      </c>
      <c r="K40" s="602"/>
      <c r="L40" s="1742">
        <v>0</v>
      </c>
      <c r="M40" s="1744"/>
      <c r="N40" s="1743">
        <v>0</v>
      </c>
      <c r="O40" s="602"/>
      <c r="P40" s="1742">
        <f>'Exhibit I'!G25</f>
        <v>0</v>
      </c>
      <c r="Q40" s="1744"/>
      <c r="R40" s="1742">
        <f>'Exhibit I'!AF25</f>
        <v>0</v>
      </c>
      <c r="S40" s="602"/>
      <c r="T40" s="2750"/>
      <c r="U40" s="2750"/>
      <c r="V40" s="1744">
        <f t="shared" ref="V40:V45" si="8">SUM(D40)+SUM(H40)+SUM(L40)+SUM(P40)</f>
        <v>141.99999999999986</v>
      </c>
      <c r="W40" s="1390"/>
      <c r="X40" s="1744">
        <f t="shared" ref="X40:X45" si="9">SUM(F40)+SUM(J40)+SUM(N40)+SUM(R40)</f>
        <v>1347</v>
      </c>
      <c r="Y40" s="602"/>
      <c r="Z40" s="2752"/>
      <c r="AA40" s="1390"/>
      <c r="AB40" s="1741">
        <v>106</v>
      </c>
      <c r="AC40" s="602"/>
      <c r="AD40" s="1757">
        <f>'Cashflow Governmental'!AE43</f>
        <v>874.4</v>
      </c>
      <c r="AE40" s="1744"/>
      <c r="AF40" s="3423"/>
      <c r="AG40" s="602"/>
      <c r="AH40" s="1744">
        <f t="shared" ref="AH40:AH46" si="10">ROUND(SUM(X40)-SUM(AD40),1)</f>
        <v>472.6</v>
      </c>
      <c r="AI40" s="2773"/>
      <c r="AJ40" s="1470">
        <f t="shared" ref="AJ40:AJ46" si="11">ROUND(AH40/AD40,3)</f>
        <v>0.54</v>
      </c>
      <c r="AK40" s="1470"/>
      <c r="AL40" s="2722"/>
    </row>
    <row r="41" spans="1:38" ht="18" customHeight="1">
      <c r="A41" s="2738" t="s">
        <v>820</v>
      </c>
      <c r="B41" s="2738"/>
      <c r="C41" s="2738"/>
      <c r="D41" s="602">
        <f>'Exhibit F'!F39</f>
        <v>0.69999999999999973</v>
      </c>
      <c r="E41" s="602"/>
      <c r="F41" s="602">
        <f>'Exhibit F'!AC39</f>
        <v>2.2999999999999998</v>
      </c>
      <c r="G41" s="602"/>
      <c r="H41" s="602">
        <f>'Exhibit G'!F31</f>
        <v>0.5</v>
      </c>
      <c r="I41" s="602"/>
      <c r="J41" s="1758">
        <f>'Exhibit G'!AD31</f>
        <v>7.1</v>
      </c>
      <c r="K41" s="602"/>
      <c r="L41" s="1742">
        <v>0</v>
      </c>
      <c r="M41" s="1744"/>
      <c r="N41" s="1743">
        <v>0</v>
      </c>
      <c r="O41" s="602"/>
      <c r="P41" s="602">
        <f>'Exhibit I'!G26</f>
        <v>0</v>
      </c>
      <c r="Q41" s="1744"/>
      <c r="R41" s="602">
        <f>'Exhibit I'!AF26</f>
        <v>1.6</v>
      </c>
      <c r="S41" s="602"/>
      <c r="T41" s="2750"/>
      <c r="U41" s="2750"/>
      <c r="V41" s="1744">
        <f t="shared" si="8"/>
        <v>1.1999999999999997</v>
      </c>
      <c r="W41" s="1390"/>
      <c r="X41" s="1744">
        <f t="shared" si="9"/>
        <v>10.999999999999998</v>
      </c>
      <c r="Y41" s="602"/>
      <c r="Z41" s="2752"/>
      <c r="AA41" s="1390"/>
      <c r="AB41" s="1741">
        <v>1.1000000000000001</v>
      </c>
      <c r="AC41" s="602"/>
      <c r="AD41" s="1757">
        <f>'Cashflow Governmental'!AE44</f>
        <v>52.1</v>
      </c>
      <c r="AE41" s="1744"/>
      <c r="AF41" s="3423"/>
      <c r="AG41" s="602"/>
      <c r="AH41" s="1744">
        <f t="shared" si="10"/>
        <v>-41.1</v>
      </c>
      <c r="AI41" s="2773"/>
      <c r="AJ41" s="3771">
        <f t="shared" si="11"/>
        <v>-0.78900000000000003</v>
      </c>
      <c r="AK41" s="1470"/>
      <c r="AL41" s="2722"/>
    </row>
    <row r="42" spans="1:38" ht="18" customHeight="1">
      <c r="A42" s="2738" t="s">
        <v>821</v>
      </c>
      <c r="B42" s="2738"/>
      <c r="C42" s="2738"/>
      <c r="D42" s="602">
        <f>'Exhibit F'!F40</f>
        <v>36.800000000000011</v>
      </c>
      <c r="E42" s="602"/>
      <c r="F42" s="602">
        <f>'Exhibit F'!AC40</f>
        <v>128.30000000000001</v>
      </c>
      <c r="G42" s="602"/>
      <c r="H42" s="602">
        <f>'Exhibit G'!F32</f>
        <v>3.3000000000000007</v>
      </c>
      <c r="I42" s="602"/>
      <c r="J42" s="602">
        <f>'Exhibit G'!AD32</f>
        <v>21.5</v>
      </c>
      <c r="K42" s="602"/>
      <c r="L42" s="1742">
        <v>0</v>
      </c>
      <c r="M42" s="1744"/>
      <c r="N42" s="1743">
        <v>0</v>
      </c>
      <c r="O42" s="602"/>
      <c r="P42" s="1742">
        <v>0</v>
      </c>
      <c r="Q42" s="1744"/>
      <c r="R42" s="1742">
        <v>0</v>
      </c>
      <c r="S42" s="602"/>
      <c r="T42" s="2750"/>
      <c r="U42" s="2750"/>
      <c r="V42" s="1744">
        <f t="shared" si="8"/>
        <v>40.100000000000009</v>
      </c>
      <c r="W42" s="1390"/>
      <c r="X42" s="1744">
        <f t="shared" si="9"/>
        <v>149.80000000000001</v>
      </c>
      <c r="Y42" s="602"/>
      <c r="Z42" s="2752"/>
      <c r="AA42" s="1390"/>
      <c r="AB42" s="1741">
        <v>57.300000000000004</v>
      </c>
      <c r="AC42" s="602"/>
      <c r="AD42" s="1757">
        <f>'Cashflow Governmental'!AE45</f>
        <v>121.5</v>
      </c>
      <c r="AE42" s="1744"/>
      <c r="AF42" s="3423"/>
      <c r="AG42" s="602"/>
      <c r="AH42" s="1744">
        <f t="shared" si="10"/>
        <v>28.3</v>
      </c>
      <c r="AI42" s="2773"/>
      <c r="AJ42" s="1470">
        <f>ROUND(AH42/AD42,3)</f>
        <v>0.23300000000000001</v>
      </c>
      <c r="AK42" s="1470"/>
      <c r="AL42" s="2722"/>
    </row>
    <row r="43" spans="1:38" ht="18" customHeight="1">
      <c r="A43" s="2738" t="s">
        <v>822</v>
      </c>
      <c r="B43" s="2738"/>
      <c r="C43" s="2738"/>
      <c r="D43" s="602">
        <f>'Exhibit F'!F41</f>
        <v>0</v>
      </c>
      <c r="E43" s="602"/>
      <c r="F43" s="602">
        <f>'Exhibit F'!AC41</f>
        <v>0</v>
      </c>
      <c r="G43" s="602"/>
      <c r="H43" s="602">
        <f>'Exhibit G'!F33</f>
        <v>0</v>
      </c>
      <c r="I43" s="602"/>
      <c r="J43" s="602">
        <f>'Exhibit G'!AD33</f>
        <v>0</v>
      </c>
      <c r="K43" s="602"/>
      <c r="L43" s="1742">
        <v>0</v>
      </c>
      <c r="M43" s="1744"/>
      <c r="N43" s="1743">
        <v>0</v>
      </c>
      <c r="O43" s="602"/>
      <c r="P43" s="1742">
        <v>0</v>
      </c>
      <c r="Q43" s="1744"/>
      <c r="R43" s="1742">
        <v>0</v>
      </c>
      <c r="S43" s="602"/>
      <c r="T43" s="2750"/>
      <c r="U43" s="2750"/>
      <c r="V43" s="1744">
        <f t="shared" si="8"/>
        <v>0</v>
      </c>
      <c r="W43" s="1390"/>
      <c r="X43" s="1744">
        <f t="shared" si="9"/>
        <v>0</v>
      </c>
      <c r="Y43" s="602"/>
      <c r="Z43" s="2752"/>
      <c r="AA43" s="1390"/>
      <c r="AB43" s="1741">
        <v>-20.100000000000001</v>
      </c>
      <c r="AC43" s="602"/>
      <c r="AD43" s="1757">
        <f>'Cashflow Governmental'!AE46</f>
        <v>-2.8</v>
      </c>
      <c r="AE43" s="1744"/>
      <c r="AF43" s="3423"/>
      <c r="AG43" s="602"/>
      <c r="AH43" s="1744">
        <f>ROUND(SUM(X43)-SUM(AD43),1)</f>
        <v>2.8</v>
      </c>
      <c r="AI43" s="2773"/>
      <c r="AJ43" s="1677">
        <f>-ROUND(IF(AD43=0,1,AH43/(AD43)),3)</f>
        <v>1</v>
      </c>
      <c r="AK43" s="1470"/>
      <c r="AL43" s="2722"/>
    </row>
    <row r="44" spans="1:38" ht="18" customHeight="1">
      <c r="A44" s="2738" t="s">
        <v>1453</v>
      </c>
      <c r="B44" s="2738"/>
      <c r="C44" s="2738"/>
      <c r="D44" s="602">
        <f>'Exhibit F'!F42</f>
        <v>-24.199999999999989</v>
      </c>
      <c r="E44" s="602"/>
      <c r="F44" s="602">
        <f>'Exhibit F'!AC42</f>
        <v>66.400000000000006</v>
      </c>
      <c r="G44" s="602"/>
      <c r="H44" s="602">
        <v>0</v>
      </c>
      <c r="I44" s="602"/>
      <c r="J44" s="602">
        <v>0</v>
      </c>
      <c r="K44" s="602"/>
      <c r="L44" s="1742">
        <f>'Exhibit H'!D22</f>
        <v>-24.199999999999989</v>
      </c>
      <c r="M44" s="1744"/>
      <c r="N44" s="1743">
        <f>'Exhibit H'!AA22</f>
        <v>66.400000000000006</v>
      </c>
      <c r="O44" s="602"/>
      <c r="P44" s="1742">
        <v>0</v>
      </c>
      <c r="Q44" s="1744"/>
      <c r="R44" s="1742">
        <v>0</v>
      </c>
      <c r="S44" s="602"/>
      <c r="T44" s="2750"/>
      <c r="U44" s="2750"/>
      <c r="V44" s="1744">
        <f t="shared" si="8"/>
        <v>-48.399999999999977</v>
      </c>
      <c r="W44" s="1390"/>
      <c r="X44" s="1744">
        <f t="shared" si="9"/>
        <v>132.80000000000001</v>
      </c>
      <c r="Y44" s="602"/>
      <c r="Z44" s="2752"/>
      <c r="AA44" s="1390"/>
      <c r="AB44" s="1741">
        <v>0</v>
      </c>
      <c r="AC44" s="602"/>
      <c r="AD44" s="1757">
        <f>'Cashflow Governmental'!AE47</f>
        <v>0</v>
      </c>
      <c r="AE44" s="1744"/>
      <c r="AF44" s="3423"/>
      <c r="AG44" s="602"/>
      <c r="AH44" s="1744">
        <f>ROUND(SUM(X44)-SUM(AD44),1)</f>
        <v>132.80000000000001</v>
      </c>
      <c r="AI44" s="2773"/>
      <c r="AJ44" s="1677">
        <f>ROUND(IF(AD44=0,1,AH44/(AD44)),3)</f>
        <v>1</v>
      </c>
      <c r="AK44" s="1470"/>
      <c r="AL44" s="2722"/>
    </row>
    <row r="45" spans="1:38" ht="18" customHeight="1">
      <c r="A45" s="2738" t="s">
        <v>823</v>
      </c>
      <c r="B45" s="2738"/>
      <c r="C45" s="2738"/>
      <c r="D45" s="602">
        <f>'Exhibit F'!F43</f>
        <v>0</v>
      </c>
      <c r="E45" s="1744"/>
      <c r="F45" s="602">
        <f>'Exhibit F'!AC43</f>
        <v>0</v>
      </c>
      <c r="G45" s="602"/>
      <c r="H45" s="602">
        <f>'Exhibit G'!F34</f>
        <v>39.399999999999991</v>
      </c>
      <c r="I45" s="1744"/>
      <c r="J45" s="602">
        <f>'Exhibit G'!AD34</f>
        <v>76.599999999999994</v>
      </c>
      <c r="K45" s="602"/>
      <c r="L45" s="1742">
        <v>0</v>
      </c>
      <c r="M45" s="1744"/>
      <c r="N45" s="1743">
        <v>0</v>
      </c>
      <c r="O45" s="602"/>
      <c r="P45" s="602">
        <f>'Exhibit I'!G27</f>
        <v>50.199999999999989</v>
      </c>
      <c r="Q45" s="1744"/>
      <c r="R45" s="602">
        <f>'Exhibit I'!AF27</f>
        <v>97.7</v>
      </c>
      <c r="S45" s="602"/>
      <c r="T45" s="2750"/>
      <c r="U45" s="2750"/>
      <c r="V45" s="1744">
        <f t="shared" si="8"/>
        <v>89.59999999999998</v>
      </c>
      <c r="W45" s="1390"/>
      <c r="X45" s="1744">
        <f t="shared" si="9"/>
        <v>174.3</v>
      </c>
      <c r="Y45" s="602"/>
      <c r="Z45" s="2752"/>
      <c r="AA45" s="1390"/>
      <c r="AB45" s="1741">
        <v>90.2</v>
      </c>
      <c r="AC45" s="602"/>
      <c r="AD45" s="1757">
        <f>'Cashflow Governmental'!AE48</f>
        <v>159.1</v>
      </c>
      <c r="AE45" s="1744"/>
      <c r="AF45" s="3423"/>
      <c r="AG45" s="602"/>
      <c r="AH45" s="1744">
        <f t="shared" si="10"/>
        <v>15.2</v>
      </c>
      <c r="AI45" s="2774"/>
      <c r="AJ45" s="1470">
        <f t="shared" si="11"/>
        <v>9.6000000000000002E-2</v>
      </c>
      <c r="AK45" s="1470"/>
      <c r="AL45" s="2722"/>
    </row>
    <row r="46" spans="1:38" ht="18" customHeight="1">
      <c r="A46" s="2737" t="s">
        <v>818</v>
      </c>
      <c r="B46" s="2738"/>
      <c r="C46" s="2738"/>
      <c r="D46" s="1471">
        <f>ROUND(SUM(D40:D45),1)</f>
        <v>111.3</v>
      </c>
      <c r="E46" s="2219"/>
      <c r="F46" s="1754">
        <f>ROUND(SUM(F40:F45),1)</f>
        <v>1271.0999999999999</v>
      </c>
      <c r="G46" s="20"/>
      <c r="H46" s="1754">
        <f>ROUND(SUM(H40:H45),1)</f>
        <v>87.2</v>
      </c>
      <c r="I46" s="1442"/>
      <c r="J46" s="1754">
        <f>ROUND(SUM(J40:J45),1)</f>
        <v>378.1</v>
      </c>
      <c r="K46" s="20"/>
      <c r="L46" s="1756">
        <f>ROUND(SUM(L40:L45),1)</f>
        <v>-24.2</v>
      </c>
      <c r="M46" s="2755"/>
      <c r="N46" s="1756">
        <f>ROUND(SUM(N40:N45),1)</f>
        <v>66.400000000000006</v>
      </c>
      <c r="O46" s="20"/>
      <c r="P46" s="1754">
        <f>ROUND(SUM(P40:P45),1)</f>
        <v>50.2</v>
      </c>
      <c r="Q46" s="1442"/>
      <c r="R46" s="1754">
        <f>ROUND(SUM(R40:R45),1)</f>
        <v>99.3</v>
      </c>
      <c r="S46" s="20"/>
      <c r="T46" s="2756"/>
      <c r="U46" s="2756"/>
      <c r="V46" s="1754">
        <f>ROUND(SUM(V40:V45),1)</f>
        <v>224.5</v>
      </c>
      <c r="W46" s="1442"/>
      <c r="X46" s="1754">
        <f>ROUND(SUM(X40:X45),1)</f>
        <v>1814.9</v>
      </c>
      <c r="Y46" s="3658"/>
      <c r="Z46" s="2245"/>
      <c r="AA46" s="1442"/>
      <c r="AB46" s="1754">
        <f>ROUND(SUM(AB40:AB45),1)</f>
        <v>234.5</v>
      </c>
      <c r="AC46" s="20"/>
      <c r="AD46" s="1754">
        <f>ROUND(SUM(AD40:AD45),1)</f>
        <v>1204.3</v>
      </c>
      <c r="AE46" s="1442"/>
      <c r="AF46" s="3424"/>
      <c r="AG46" s="1442"/>
      <c r="AH46" s="3271">
        <f t="shared" si="10"/>
        <v>610.6</v>
      </c>
      <c r="AI46" s="2191"/>
      <c r="AJ46" s="1472">
        <f t="shared" si="11"/>
        <v>0.50700000000000001</v>
      </c>
      <c r="AK46" s="2775"/>
      <c r="AL46" s="2776"/>
    </row>
    <row r="47" spans="1:38" ht="18" customHeight="1">
      <c r="A47" s="2738"/>
      <c r="B47" s="2738"/>
      <c r="C47" s="2738"/>
      <c r="D47" s="1473"/>
      <c r="E47" s="599"/>
      <c r="F47" s="1755"/>
      <c r="G47" s="602"/>
      <c r="H47" s="1755"/>
      <c r="I47" s="1390"/>
      <c r="J47" s="1755" t="s">
        <v>14</v>
      </c>
      <c r="K47" s="602"/>
      <c r="L47" s="1755"/>
      <c r="M47" s="1390"/>
      <c r="N47" s="1755"/>
      <c r="O47" s="602"/>
      <c r="P47" s="1755"/>
      <c r="Q47" s="1390"/>
      <c r="R47" s="1755"/>
      <c r="S47" s="602"/>
      <c r="T47" s="2750"/>
      <c r="U47" s="2750"/>
      <c r="V47" s="1755"/>
      <c r="W47" s="1390"/>
      <c r="X47" s="1755" t="s">
        <v>14</v>
      </c>
      <c r="Y47" s="1390"/>
      <c r="Z47" s="2752"/>
      <c r="AA47" s="1390"/>
      <c r="AB47" s="1755"/>
      <c r="AC47" s="602"/>
      <c r="AD47" s="1755"/>
      <c r="AE47" s="1390"/>
      <c r="AF47" s="3423"/>
      <c r="AG47" s="1390"/>
      <c r="AH47" s="1390"/>
      <c r="AI47" s="596"/>
      <c r="AJ47" s="2767"/>
      <c r="AK47" s="2768"/>
      <c r="AL47" s="2722"/>
    </row>
    <row r="48" spans="1:38" ht="18" customHeight="1">
      <c r="A48" s="2769" t="s">
        <v>1069</v>
      </c>
      <c r="B48" s="2738"/>
      <c r="C48" s="2738"/>
      <c r="D48" s="598"/>
      <c r="E48" s="598"/>
      <c r="F48" s="602"/>
      <c r="G48" s="602"/>
      <c r="H48" s="602" t="s">
        <v>14</v>
      </c>
      <c r="I48" s="602"/>
      <c r="J48" s="602"/>
      <c r="K48" s="602"/>
      <c r="L48" s="602"/>
      <c r="M48" s="602"/>
      <c r="N48" s="602"/>
      <c r="O48" s="602"/>
      <c r="P48" s="602"/>
      <c r="Q48" s="602"/>
      <c r="R48" s="602"/>
      <c r="S48" s="602"/>
      <c r="T48" s="2750"/>
      <c r="U48" s="2750"/>
      <c r="V48" s="1390"/>
      <c r="W48" s="1390"/>
      <c r="X48" s="602"/>
      <c r="Y48" s="602"/>
      <c r="Z48" s="2752"/>
      <c r="AA48" s="1390"/>
      <c r="AB48" s="1390"/>
      <c r="AC48" s="602"/>
      <c r="AD48" s="602"/>
      <c r="AE48" s="602"/>
      <c r="AF48" s="3423"/>
      <c r="AG48" s="602"/>
      <c r="AH48" s="602"/>
      <c r="AI48" s="2197"/>
      <c r="AJ48" s="1470"/>
      <c r="AK48" s="2768"/>
      <c r="AL48" s="2722"/>
    </row>
    <row r="49" spans="1:38" ht="18" customHeight="1">
      <c r="A49" s="2738" t="s">
        <v>824</v>
      </c>
      <c r="B49" s="2738"/>
      <c r="C49" s="2738"/>
      <c r="D49" s="1742">
        <f>'Exhibit F'!F46</f>
        <v>0</v>
      </c>
      <c r="E49" s="602"/>
      <c r="F49" s="602">
        <f>'Exhibit F'!AC46</f>
        <v>0</v>
      </c>
      <c r="G49" s="602"/>
      <c r="H49" s="1742">
        <v>0</v>
      </c>
      <c r="I49" s="1744"/>
      <c r="J49" s="1743">
        <v>0</v>
      </c>
      <c r="K49" s="602"/>
      <c r="L49" s="1743">
        <v>0</v>
      </c>
      <c r="M49" s="1743"/>
      <c r="N49" s="1743">
        <v>0</v>
      </c>
      <c r="O49" s="602"/>
      <c r="P49" s="1742">
        <v>0</v>
      </c>
      <c r="Q49" s="1744"/>
      <c r="R49" s="1743">
        <v>0</v>
      </c>
      <c r="S49" s="602"/>
      <c r="T49" s="2750"/>
      <c r="U49" s="2750"/>
      <c r="V49" s="1743">
        <f t="shared" ref="V49:V53" si="12">SUM(D49)+SUM(H49)+SUM(L49)+SUM(P49)</f>
        <v>0</v>
      </c>
      <c r="W49" s="1390"/>
      <c r="X49" s="1744">
        <f t="shared" ref="X49:X53" si="13">SUM(F49)+SUM(J49)+SUM(N49)+SUM(R49)</f>
        <v>0</v>
      </c>
      <c r="Y49" s="2751"/>
      <c r="Z49" s="2752"/>
      <c r="AA49" s="1390"/>
      <c r="AB49" s="1741">
        <v>0</v>
      </c>
      <c r="AC49" s="602"/>
      <c r="AD49" s="1757">
        <f>'Cashflow Governmental'!AE51</f>
        <v>0</v>
      </c>
      <c r="AE49" s="1744"/>
      <c r="AF49" s="3423"/>
      <c r="AG49" s="2751"/>
      <c r="AH49" s="1744">
        <f t="shared" ref="AH49:AH55" si="14">ROUND(SUM(X49)-SUM(AD49),1)</f>
        <v>0</v>
      </c>
      <c r="AI49" s="2773"/>
      <c r="AJ49" s="1406">
        <f>ROUND(IF(AD49=0,0,-AH49/(AD49)),3)</f>
        <v>0</v>
      </c>
      <c r="AK49" s="1470"/>
      <c r="AL49" s="2722"/>
    </row>
    <row r="50" spans="1:38" ht="18" customHeight="1">
      <c r="A50" s="2738" t="s">
        <v>825</v>
      </c>
      <c r="B50" s="2738"/>
      <c r="C50" s="2738"/>
      <c r="D50" s="1742">
        <f>'Exhibit F'!F47</f>
        <v>126.00000000000001</v>
      </c>
      <c r="E50" s="602"/>
      <c r="F50" s="602">
        <f>'Exhibit F'!AC47</f>
        <v>253.3</v>
      </c>
      <c r="G50" s="602"/>
      <c r="H50" s="1742">
        <v>0</v>
      </c>
      <c r="I50" s="1744"/>
      <c r="J50" s="1743">
        <v>0</v>
      </c>
      <c r="K50" s="602"/>
      <c r="L50" s="1743">
        <v>0</v>
      </c>
      <c r="M50" s="1743"/>
      <c r="N50" s="1743">
        <v>0</v>
      </c>
      <c r="O50" s="602"/>
      <c r="P50" s="1742">
        <v>0</v>
      </c>
      <c r="Q50" s="1744"/>
      <c r="R50" s="1743">
        <v>0</v>
      </c>
      <c r="S50" s="602"/>
      <c r="T50" s="2750"/>
      <c r="U50" s="2750"/>
      <c r="V50" s="1744">
        <f t="shared" si="12"/>
        <v>126.00000000000001</v>
      </c>
      <c r="W50" s="1390"/>
      <c r="X50" s="1744">
        <f t="shared" si="13"/>
        <v>253.3</v>
      </c>
      <c r="Y50" s="2751"/>
      <c r="Z50" s="2752"/>
      <c r="AA50" s="1390"/>
      <c r="AB50" s="1741">
        <v>117</v>
      </c>
      <c r="AC50" s="602"/>
      <c r="AD50" s="1757">
        <f>'Cashflow Governmental'!AE52</f>
        <v>236.8</v>
      </c>
      <c r="AE50" s="1757"/>
      <c r="AF50" s="3423"/>
      <c r="AG50" s="2751"/>
      <c r="AH50" s="1744">
        <f t="shared" si="14"/>
        <v>16.5</v>
      </c>
      <c r="AI50" s="2773"/>
      <c r="AJ50" s="1470">
        <f>ROUND(AH50/AD50,3)</f>
        <v>7.0000000000000007E-2</v>
      </c>
      <c r="AK50" s="1470"/>
      <c r="AL50" s="2722"/>
    </row>
    <row r="51" spans="1:38" ht="18" customHeight="1">
      <c r="A51" s="2738" t="s">
        <v>826</v>
      </c>
      <c r="B51" s="2738"/>
      <c r="C51" s="2738"/>
      <c r="D51" s="1742">
        <f>'Exhibit F'!F48</f>
        <v>1.1000000000000001</v>
      </c>
      <c r="E51" s="602"/>
      <c r="F51" s="602">
        <f>'Exhibit F'!AC48</f>
        <v>2.6</v>
      </c>
      <c r="G51" s="602"/>
      <c r="H51" s="1742">
        <v>0</v>
      </c>
      <c r="I51" s="1744"/>
      <c r="J51" s="1743">
        <v>0</v>
      </c>
      <c r="K51" s="602"/>
      <c r="L51" s="1743">
        <v>0</v>
      </c>
      <c r="M51" s="1743"/>
      <c r="N51" s="1743">
        <v>0</v>
      </c>
      <c r="O51" s="602"/>
      <c r="P51" s="1742">
        <v>0</v>
      </c>
      <c r="Q51" s="1744"/>
      <c r="R51" s="1743">
        <v>0</v>
      </c>
      <c r="S51" s="602"/>
      <c r="T51" s="2750"/>
      <c r="U51" s="2750"/>
      <c r="V51" s="1744">
        <f t="shared" si="12"/>
        <v>1.1000000000000001</v>
      </c>
      <c r="W51" s="1390"/>
      <c r="X51" s="1744">
        <f t="shared" si="13"/>
        <v>2.6</v>
      </c>
      <c r="Y51" s="2751"/>
      <c r="Z51" s="2752"/>
      <c r="AA51" s="1390"/>
      <c r="AB51" s="1741">
        <v>1.1000000000000001</v>
      </c>
      <c r="AC51" s="602"/>
      <c r="AD51" s="1757">
        <f>'Cashflow Governmental'!AE53</f>
        <v>2.4</v>
      </c>
      <c r="AE51" s="1757"/>
      <c r="AF51" s="3423"/>
      <c r="AG51" s="2751"/>
      <c r="AH51" s="1744">
        <f t="shared" si="14"/>
        <v>0.2</v>
      </c>
      <c r="AI51" s="2773"/>
      <c r="AJ51" s="1470">
        <f>ROUND(AH51/AD51,3)</f>
        <v>8.3000000000000004E-2</v>
      </c>
      <c r="AK51" s="1470"/>
      <c r="AL51" s="2722"/>
    </row>
    <row r="52" spans="1:38" ht="18" customHeight="1">
      <c r="A52" s="2738" t="s">
        <v>827</v>
      </c>
      <c r="B52" s="2738"/>
      <c r="C52" s="2738"/>
      <c r="D52" s="1742">
        <f>'Exhibit F'!F49</f>
        <v>0</v>
      </c>
      <c r="E52" s="1744"/>
      <c r="F52" s="602">
        <f>'Exhibit F'!AC49</f>
        <v>0</v>
      </c>
      <c r="G52" s="602"/>
      <c r="H52" s="1742">
        <v>0</v>
      </c>
      <c r="I52" s="1744"/>
      <c r="J52" s="1743">
        <v>0</v>
      </c>
      <c r="K52" s="602"/>
      <c r="L52" s="1744">
        <f>'Exhibit H'!D25</f>
        <v>129.99999999999997</v>
      </c>
      <c r="M52" s="1744"/>
      <c r="N52" s="1744">
        <f>'Exhibit H'!AA25</f>
        <v>282.39999999999998</v>
      </c>
      <c r="O52" s="602"/>
      <c r="P52" s="1741">
        <f>'Exhibit I'!G30</f>
        <v>0</v>
      </c>
      <c r="Q52" s="1744"/>
      <c r="R52" s="1757">
        <f>'Exhibit I'!AF30</f>
        <v>0</v>
      </c>
      <c r="S52" s="602"/>
      <c r="T52" s="2750"/>
      <c r="U52" s="2750"/>
      <c r="V52" s="1744">
        <f t="shared" si="12"/>
        <v>129.99999999999997</v>
      </c>
      <c r="W52" s="1390"/>
      <c r="X52" s="1744">
        <f t="shared" si="13"/>
        <v>282.39999999999998</v>
      </c>
      <c r="Y52" s="2751"/>
      <c r="Z52" s="2752"/>
      <c r="AA52" s="1390"/>
      <c r="AB52" s="1741">
        <v>110</v>
      </c>
      <c r="AC52" s="602"/>
      <c r="AD52" s="1757">
        <f>'Cashflow Governmental'!AE54</f>
        <v>207.4</v>
      </c>
      <c r="AE52" s="1744"/>
      <c r="AF52" s="3423"/>
      <c r="AG52" s="2751"/>
      <c r="AH52" s="1744">
        <f t="shared" si="14"/>
        <v>75</v>
      </c>
      <c r="AI52" s="2777"/>
      <c r="AJ52" s="1470">
        <f>ROUND(AH52/AD52,3)</f>
        <v>0.36199999999999999</v>
      </c>
      <c r="AK52" s="1470"/>
      <c r="AL52" s="2722"/>
    </row>
    <row r="53" spans="1:38" ht="18" customHeight="1">
      <c r="A53" s="2738" t="s">
        <v>1454</v>
      </c>
      <c r="B53" s="2738"/>
      <c r="C53" s="2738"/>
      <c r="D53" s="1742">
        <f>'Exhibit F'!F50</f>
        <v>0.2</v>
      </c>
      <c r="E53" s="1390"/>
      <c r="F53" s="602">
        <f>'Exhibit F'!AC50</f>
        <v>0.2</v>
      </c>
      <c r="G53" s="602"/>
      <c r="H53" s="1742">
        <v>0</v>
      </c>
      <c r="I53" s="1744"/>
      <c r="J53" s="1743">
        <v>0</v>
      </c>
      <c r="K53" s="602"/>
      <c r="L53" s="1743">
        <v>0</v>
      </c>
      <c r="M53" s="1743"/>
      <c r="N53" s="1743">
        <v>0</v>
      </c>
      <c r="O53" s="602"/>
      <c r="P53" s="1742">
        <v>0</v>
      </c>
      <c r="Q53" s="1744"/>
      <c r="R53" s="1743">
        <v>0</v>
      </c>
      <c r="S53" s="602"/>
      <c r="T53" s="2750"/>
      <c r="U53" s="2750"/>
      <c r="V53" s="1744">
        <f t="shared" si="12"/>
        <v>0.2</v>
      </c>
      <c r="W53" s="1390"/>
      <c r="X53" s="1744">
        <f t="shared" si="13"/>
        <v>0.2</v>
      </c>
      <c r="Y53" s="2751"/>
      <c r="Z53" s="2752"/>
      <c r="AA53" s="1390"/>
      <c r="AB53" s="1741">
        <v>0</v>
      </c>
      <c r="AC53" s="602"/>
      <c r="AD53" s="1757">
        <f>'Cashflow Governmental'!AE55</f>
        <v>0</v>
      </c>
      <c r="AE53" s="1744"/>
      <c r="AF53" s="3423"/>
      <c r="AG53" s="2751"/>
      <c r="AH53" s="1744">
        <f t="shared" si="14"/>
        <v>0.2</v>
      </c>
      <c r="AI53" s="2777"/>
      <c r="AJ53" s="1443">
        <f>ROUND(IF(AD53=0,1,AH53/(AD53)),3)</f>
        <v>1</v>
      </c>
      <c r="AK53" s="1470"/>
      <c r="AL53" s="2722"/>
    </row>
    <row r="54" spans="1:38" ht="18" customHeight="1">
      <c r="A54" s="2683" t="s">
        <v>1258</v>
      </c>
      <c r="B54" s="2739"/>
      <c r="C54" s="2739"/>
      <c r="D54" s="1742">
        <f>'Exhibit F'!F51</f>
        <v>9.9999999999999978E-2</v>
      </c>
      <c r="E54" s="1390"/>
      <c r="F54" s="602">
        <f>'Exhibit F'!AC51</f>
        <v>0.3</v>
      </c>
      <c r="G54" s="602"/>
      <c r="H54" s="602">
        <v>0</v>
      </c>
      <c r="I54" s="1744"/>
      <c r="J54" s="1744">
        <v>0</v>
      </c>
      <c r="K54" s="602"/>
      <c r="L54" s="1742">
        <f>'Exhibit H'!D26</f>
        <v>9.9999999999999978E-2</v>
      </c>
      <c r="M54" s="1744"/>
      <c r="N54" s="1743">
        <f>'Exhibit H'!AA26</f>
        <v>0.3</v>
      </c>
      <c r="O54" s="602"/>
      <c r="P54" s="1742">
        <v>0</v>
      </c>
      <c r="Q54" s="1744"/>
      <c r="R54" s="1743">
        <v>0</v>
      </c>
      <c r="S54" s="602"/>
      <c r="T54" s="2750"/>
      <c r="U54" s="2750"/>
      <c r="V54" s="1744">
        <f t="shared" ref="V54" si="15">SUM(D54)+SUM(H54)+SUM(L54)+SUM(P54)</f>
        <v>0.19999999999999996</v>
      </c>
      <c r="W54" s="1390"/>
      <c r="X54" s="1744">
        <f t="shared" ref="X54" si="16">SUM(F54)+SUM(J54)+SUM(N54)+SUM(R54)</f>
        <v>0.6</v>
      </c>
      <c r="Y54" s="2751"/>
      <c r="Z54" s="2752"/>
      <c r="AA54" s="1390"/>
      <c r="AB54" s="1741">
        <v>0.2</v>
      </c>
      <c r="AC54" s="602"/>
      <c r="AD54" s="1757">
        <f>'Cashflow Governmental'!AE56</f>
        <v>0.4</v>
      </c>
      <c r="AE54" s="1744"/>
      <c r="AF54" s="3423"/>
      <c r="AG54" s="2751"/>
      <c r="AH54" s="1743">
        <f t="shared" ref="AH54" si="17">ROUND(SUM(X54)-SUM(AD54),1)</f>
        <v>0.2</v>
      </c>
      <c r="AI54" s="2777"/>
      <c r="AJ54" s="1406">
        <f>ROUND(IF(AD54=0,1,AH54/(AD54)),3)</f>
        <v>0.5</v>
      </c>
      <c r="AK54" s="1470"/>
      <c r="AL54" s="2722"/>
    </row>
    <row r="55" spans="1:38" ht="18" customHeight="1">
      <c r="A55" s="2737" t="s">
        <v>818</v>
      </c>
      <c r="B55" s="2738"/>
      <c r="C55" s="2738"/>
      <c r="D55" s="1471">
        <f>ROUND(SUM(D49:D54),1)</f>
        <v>127.4</v>
      </c>
      <c r="E55" s="2219"/>
      <c r="F55" s="1754">
        <f>ROUND(SUM(F49:F54),1)</f>
        <v>256.39999999999998</v>
      </c>
      <c r="G55" s="20"/>
      <c r="H55" s="2757">
        <f>ROUND(SUM(H49:H54),1)</f>
        <v>0</v>
      </c>
      <c r="I55" s="2755"/>
      <c r="J55" s="2757">
        <f>ROUND(SUM(J49:J54),1)</f>
        <v>0</v>
      </c>
      <c r="K55" s="20"/>
      <c r="L55" s="1754">
        <f>ROUND(SUM(L49:L54),1)</f>
        <v>130.1</v>
      </c>
      <c r="M55" s="1442"/>
      <c r="N55" s="1754">
        <f>ROUND(SUM(N49:N54),1)</f>
        <v>282.7</v>
      </c>
      <c r="O55" s="20" t="s">
        <v>14</v>
      </c>
      <c r="P55" s="1754">
        <f>ROUND(SUM(P49:P54),1)</f>
        <v>0</v>
      </c>
      <c r="Q55" s="1442"/>
      <c r="R55" s="1754">
        <f>ROUND(SUM(R49:R54),1)</f>
        <v>0</v>
      </c>
      <c r="S55" s="20"/>
      <c r="T55" s="2756"/>
      <c r="U55" s="2756"/>
      <c r="V55" s="2757">
        <f>ROUND(SUM(V49:V54),1)</f>
        <v>257.5</v>
      </c>
      <c r="W55" s="1442"/>
      <c r="X55" s="2757">
        <f>ROUND(SUM(X49:X54),1)</f>
        <v>539.1</v>
      </c>
      <c r="Y55" s="2766"/>
      <c r="Z55" s="2245"/>
      <c r="AA55" s="1442"/>
      <c r="AB55" s="2757">
        <f>ROUND(SUM(AB49:AB54),1)</f>
        <v>228.3</v>
      </c>
      <c r="AC55" s="20"/>
      <c r="AD55" s="2757">
        <f>ROUND(SUM(AD49:AD54),1)</f>
        <v>447</v>
      </c>
      <c r="AE55" s="2755"/>
      <c r="AF55" s="3424"/>
      <c r="AG55" s="2758"/>
      <c r="AH55" s="1786">
        <f t="shared" si="14"/>
        <v>92.1</v>
      </c>
      <c r="AI55" s="2191"/>
      <c r="AJ55" s="1472">
        <f>ROUND(AH55/AD55,3)</f>
        <v>0.20599999999999999</v>
      </c>
      <c r="AK55" s="2775"/>
      <c r="AL55" s="2776"/>
    </row>
    <row r="56" spans="1:38" ht="18" customHeight="1">
      <c r="A56" s="2738"/>
      <c r="B56" s="2738"/>
      <c r="C56" s="2738"/>
      <c r="D56" s="1474"/>
      <c r="E56" s="2191"/>
      <c r="F56" s="3379"/>
      <c r="G56" s="2966"/>
      <c r="H56" s="3379"/>
      <c r="I56" s="2246"/>
      <c r="J56" s="3379"/>
      <c r="K56" s="2966"/>
      <c r="L56" s="3379"/>
      <c r="M56" s="2246"/>
      <c r="N56" s="3379"/>
      <c r="O56" s="2966"/>
      <c r="P56" s="3379"/>
      <c r="Q56" s="2246"/>
      <c r="R56" s="3379"/>
      <c r="S56" s="2966"/>
      <c r="T56" s="3659"/>
      <c r="U56" s="3659"/>
      <c r="V56" s="3379"/>
      <c r="W56" s="3263"/>
      <c r="X56" s="3379"/>
      <c r="Y56" s="2246"/>
      <c r="Z56" s="3660"/>
      <c r="AA56" s="3263"/>
      <c r="AB56" s="3379"/>
      <c r="AC56" s="2966"/>
      <c r="AD56" s="3379"/>
      <c r="AE56" s="2246"/>
      <c r="AF56" s="3425"/>
      <c r="AG56" s="2246"/>
      <c r="AH56" s="3272"/>
      <c r="AI56" s="2191"/>
      <c r="AJ56" s="1475"/>
      <c r="AK56" s="2776"/>
      <c r="AL56" s="2776"/>
    </row>
    <row r="57" spans="1:38" ht="18" customHeight="1" thickBot="1">
      <c r="A57" s="2737" t="s">
        <v>828</v>
      </c>
      <c r="B57" s="2738"/>
      <c r="C57" s="2738"/>
      <c r="D57" s="1476">
        <f>ROUND(SUM(D25)+SUM(D37)+SUM(D46)+SUM(D55),1)</f>
        <v>1974.8</v>
      </c>
      <c r="E57" s="2778"/>
      <c r="F57" s="3661">
        <f>ROUND(SUM(F25)+SUM(F37)+SUM(F46)+SUM(F55),1)</f>
        <v>10994.6</v>
      </c>
      <c r="G57" s="3662"/>
      <c r="H57" s="3661">
        <f>ROUND(SUM(H25)+SUM(H37)+SUM(H46)+SUM(H55),1)</f>
        <v>235.2</v>
      </c>
      <c r="I57" s="2253"/>
      <c r="J57" s="3661">
        <f>ROUND(SUM(J25)+SUM(J37)+SUM(J46)+SUM(J55),1)</f>
        <v>727.7</v>
      </c>
      <c r="K57" s="2253"/>
      <c r="L57" s="3661">
        <f>ROUND(SUM(L25)+SUM(L37)+SUM(L46)+SUM(L55),1)</f>
        <v>2450.1999999999998</v>
      </c>
      <c r="M57" s="2253"/>
      <c r="N57" s="3661">
        <f>ROUND(SUM(N25)+SUM(N37)+SUM(N46)+SUM(N55),1)</f>
        <v>10985.8</v>
      </c>
      <c r="O57" s="2253"/>
      <c r="P57" s="3661">
        <f>ROUND(SUM(P25)+SUM(P37)+SUM(P46)+SUM(P55),1)</f>
        <v>90.3</v>
      </c>
      <c r="Q57" s="2253"/>
      <c r="R57" s="3661">
        <f>ROUND(SUM(R25)+SUM(R37)+SUM(R46)+SUM(R55),1)</f>
        <v>182.2</v>
      </c>
      <c r="S57" s="2251"/>
      <c r="T57" s="3663"/>
      <c r="U57" s="2253"/>
      <c r="V57" s="3380">
        <f>ROUND(SUM(V25)+SUM(V37)+SUM(V46)+SUM(V55),1)</f>
        <v>4750.5</v>
      </c>
      <c r="W57" s="2253"/>
      <c r="X57" s="3380">
        <f>ROUND(SUM(X25)+SUM(X37)+SUM(X46)+SUM(X55),1)</f>
        <v>22890.3</v>
      </c>
      <c r="Y57" s="3664"/>
      <c r="Z57" s="2254"/>
      <c r="AA57" s="2253"/>
      <c r="AB57" s="3380">
        <f>ROUND(SUM(AB25)+SUM(AB37)+SUM(AB46)+SUM(AB55),1)</f>
        <v>11707.6</v>
      </c>
      <c r="AC57" s="2253"/>
      <c r="AD57" s="3380">
        <f>ROUND(SUM(AD25)+SUM(AD37)+SUM(AD46)+SUM(AD55),1)</f>
        <v>20899.599999999999</v>
      </c>
      <c r="AE57" s="2253"/>
      <c r="AF57" s="3426"/>
      <c r="AG57" s="2253"/>
      <c r="AH57" s="22">
        <f>ROUND(SUM(X57)-SUM(AD57),1)</f>
        <v>1990.7</v>
      </c>
      <c r="AI57" s="2191"/>
      <c r="AJ57" s="1477">
        <f>ROUND(AH57/AD57,3)</f>
        <v>9.5000000000000001E-2</v>
      </c>
      <c r="AK57" s="2775"/>
      <c r="AL57" s="2776"/>
    </row>
    <row r="58" spans="1:38" ht="15" customHeight="1" thickTop="1">
      <c r="F58" s="2747" t="s">
        <v>14</v>
      </c>
      <c r="G58" s="2747"/>
      <c r="H58" s="2747"/>
      <c r="I58" s="2747"/>
      <c r="J58" s="2747"/>
      <c r="K58" s="2747"/>
      <c r="L58" s="2747"/>
      <c r="M58" s="2747"/>
      <c r="N58" s="2747" t="s">
        <v>14</v>
      </c>
      <c r="O58" s="2747"/>
      <c r="P58" s="2747"/>
      <c r="Q58" s="2747"/>
      <c r="R58" s="2747" t="s">
        <v>14</v>
      </c>
      <c r="S58" s="2747"/>
      <c r="T58" s="2747"/>
      <c r="U58" s="2747"/>
      <c r="Y58" s="2747"/>
      <c r="Z58" s="2747"/>
      <c r="AA58" s="2747"/>
    </row>
    <row r="59" spans="1:38" ht="15" customHeight="1">
      <c r="F59" s="2747"/>
      <c r="G59" s="2747"/>
      <c r="H59" s="2747"/>
      <c r="I59" s="2747"/>
      <c r="J59" s="2747"/>
      <c r="K59" s="2747"/>
      <c r="L59" s="2747"/>
      <c r="M59" s="2747"/>
      <c r="N59" s="2747"/>
      <c r="O59" s="2747"/>
      <c r="P59" s="2747"/>
      <c r="Q59" s="2747"/>
      <c r="R59" s="2747"/>
      <c r="S59" s="2747"/>
      <c r="T59" s="2747"/>
      <c r="U59" s="2747"/>
      <c r="Y59" s="2747"/>
      <c r="Z59" s="2747"/>
      <c r="AA59" s="2747"/>
    </row>
    <row r="60" spans="1:38">
      <c r="F60" s="2747"/>
      <c r="G60" s="2747"/>
      <c r="H60" s="2747" t="s">
        <v>14</v>
      </c>
      <c r="I60" s="2747"/>
      <c r="J60" s="2747"/>
      <c r="K60" s="2747"/>
      <c r="L60" s="2747"/>
      <c r="M60" s="2747"/>
      <c r="N60" s="2747"/>
      <c r="O60" s="2747"/>
      <c r="P60" s="2747"/>
      <c r="Q60" s="2747"/>
      <c r="R60" s="2747"/>
      <c r="S60" s="2747"/>
      <c r="T60" s="2747"/>
      <c r="U60" s="2747"/>
      <c r="V60" s="2747" t="s">
        <v>14</v>
      </c>
      <c r="Y60" s="2747"/>
      <c r="Z60" s="2747"/>
      <c r="AA60" s="2747"/>
    </row>
    <row r="61" spans="1:38">
      <c r="F61" s="2747"/>
      <c r="G61" s="2747"/>
      <c r="H61" s="2747" t="s">
        <v>14</v>
      </c>
      <c r="I61" s="2747"/>
      <c r="J61" s="2747"/>
      <c r="K61" s="2747"/>
      <c r="L61" s="2747"/>
      <c r="M61" s="2747"/>
      <c r="N61" s="2747"/>
      <c r="O61" s="2747"/>
      <c r="P61" s="2747"/>
      <c r="Q61" s="2747"/>
      <c r="R61" s="2747"/>
      <c r="S61" s="2747"/>
      <c r="T61" s="2747"/>
      <c r="U61" s="2747"/>
      <c r="Y61" s="2747"/>
      <c r="Z61" s="2747"/>
      <c r="AA61" s="2747"/>
    </row>
    <row r="62" spans="1:38">
      <c r="F62" s="2747"/>
      <c r="G62" s="2747"/>
      <c r="H62" s="2747" t="s">
        <v>14</v>
      </c>
      <c r="I62" s="2747"/>
      <c r="J62" s="2747"/>
      <c r="K62" s="2747"/>
      <c r="L62" s="2747"/>
      <c r="M62" s="2747"/>
      <c r="N62" s="2747"/>
      <c r="O62" s="2747"/>
      <c r="P62" s="2747"/>
      <c r="Q62" s="2747"/>
      <c r="R62" s="2747"/>
      <c r="S62" s="2747"/>
      <c r="T62" s="2747"/>
      <c r="U62" s="2747"/>
      <c r="Y62" s="2747"/>
      <c r="Z62" s="2747"/>
      <c r="AA62" s="2747"/>
    </row>
    <row r="64" spans="1:38" ht="15" customHeight="1"/>
  </sheetData>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7 R37 F46 AJ49 AJ22:AJ23" unlockedFormula="1"/>
    <ignoredError sqref="AH24 AJ19 AH19 V31 V21:X22 AJ21 V23" formula="1"/>
    <ignoredError sqref="AJ31" formula="1" unlockedFormula="1"/>
    <ignoredError sqref="AC21 AB23:AD23 AC22:AD22 AB26:AD27 AB37:AD39 AB46:AD48 AC45:AD45 AB56:AD56 AC17:AD20 J43 H46:I46 K46 O46:Q46 V43 X43 V46:X46 V56:X57 E53:R53 D57:E57 G57:Q57 D56:R56 E49:R51 E52:K52 M52:O52 Q52:R52 V49:X53 E55 G55 I55 K55 M55 O55 Q55 W55 AC55 AC28:AD34 AC49:AD53 AC24:AD25 AC57:AD57 AC16 AC40:AD43 M46" evalError="1"/>
    <ignoredError sqref="R46 N46 J46 R57 F57"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2"/>
  <sheetViews>
    <sheetView showGridLines="0" zoomScale="80" zoomScaleNormal="80" workbookViewId="0"/>
  </sheetViews>
  <sheetFormatPr defaultColWidth="8.6640625" defaultRowHeight="16.5" customHeight="1"/>
  <cols>
    <col min="1" max="1" width="43.6640625" style="208" customWidth="1"/>
    <col min="2" max="2" width="1.6640625" style="208" customWidth="1"/>
    <col min="3" max="3" width="13.44140625" style="208" customWidth="1"/>
    <col min="4" max="4" width="1.6640625" style="208" customWidth="1"/>
    <col min="5" max="5" width="13.109375" style="208" customWidth="1"/>
    <col min="6" max="6" width="1.6640625" style="208" customWidth="1"/>
    <col min="7" max="7" width="15.109375" style="208" customWidth="1"/>
    <col min="8" max="8" width="1.6640625" style="208" customWidth="1"/>
    <col min="9" max="9" width="14.6640625" style="208" customWidth="1"/>
    <col min="10" max="10" width="1.6640625" style="208" customWidth="1"/>
    <col min="11" max="11" width="13.109375" style="208" customWidth="1"/>
    <col min="12" max="12" width="1.6640625" style="208" customWidth="1"/>
    <col min="13" max="13" width="13.109375" style="208" customWidth="1"/>
    <col min="14" max="14" width="1.6640625" style="208" customWidth="1"/>
    <col min="15" max="15" width="13.109375" style="291" customWidth="1"/>
    <col min="16" max="16" width="1.6640625" style="208" customWidth="1"/>
    <col min="17" max="17" width="13.44140625" style="291" customWidth="1"/>
    <col min="18" max="18" width="1.6640625" style="208" customWidth="1"/>
    <col min="19" max="19" width="13.109375" style="208" customWidth="1"/>
    <col min="20" max="20" width="1.6640625" style="208" customWidth="1"/>
    <col min="21" max="21" width="13" style="208" customWidth="1"/>
    <col min="22" max="22" width="1.6640625" style="208" customWidth="1"/>
    <col min="23" max="23" width="13.6640625" style="208" customWidth="1"/>
    <col min="24" max="24" width="1.6640625" style="208" customWidth="1"/>
    <col min="25" max="25" width="12.6640625" style="208" customWidth="1"/>
    <col min="26" max="27" width="1.6640625" style="208" customWidth="1"/>
    <col min="28" max="28" width="15.109375" style="291" customWidth="1"/>
    <col min="29" max="30" width="1.6640625" style="291" customWidth="1"/>
    <col min="31" max="31" width="17.44140625" style="291" customWidth="1"/>
    <col min="32" max="32" width="0.6640625" style="291" customWidth="1"/>
    <col min="33" max="33" width="1.6640625" style="291" customWidth="1"/>
    <col min="34" max="34" width="12.6640625" style="291" bestFit="1" customWidth="1"/>
    <col min="35" max="35" width="1.109375" style="291" customWidth="1"/>
    <col min="36" max="36" width="11.109375" style="291" customWidth="1"/>
    <col min="37" max="37" width="8.6640625" style="291"/>
    <col min="38" max="16384" width="8.6640625" style="208"/>
  </cols>
  <sheetData>
    <row r="1" spans="1:37" ht="16.5" customHeight="1">
      <c r="A1" s="625" t="s">
        <v>870</v>
      </c>
    </row>
    <row r="2" spans="1:37" ht="16.5" customHeight="1">
      <c r="A2" s="801"/>
    </row>
    <row r="3" spans="1:37" ht="23.1" customHeight="1">
      <c r="A3" s="216" t="s">
        <v>0</v>
      </c>
      <c r="B3" s="219"/>
      <c r="C3" s="219"/>
      <c r="D3" s="219"/>
      <c r="E3" s="219"/>
      <c r="F3" s="219"/>
      <c r="G3" s="219"/>
      <c r="H3" s="219"/>
      <c r="I3" s="219"/>
      <c r="J3" s="219"/>
      <c r="K3" s="219"/>
      <c r="L3" s="219"/>
      <c r="M3" s="219"/>
      <c r="N3" s="219"/>
      <c r="O3" s="3013"/>
      <c r="P3" s="219"/>
      <c r="Q3" s="3013"/>
      <c r="R3" s="219"/>
      <c r="S3" s="219"/>
      <c r="T3" s="219"/>
      <c r="U3" s="219"/>
      <c r="V3" s="219"/>
      <c r="W3" s="219"/>
      <c r="X3" s="219"/>
      <c r="Y3" s="219"/>
      <c r="Z3" s="219"/>
      <c r="AA3" s="219"/>
      <c r="AB3" s="3013"/>
      <c r="AC3" s="3013"/>
      <c r="AD3" s="3013"/>
      <c r="AE3" s="3013"/>
      <c r="AF3" s="3013"/>
      <c r="AG3" s="3013"/>
      <c r="AI3" s="3013"/>
    </row>
    <row r="4" spans="1:37" ht="23.25" customHeight="1">
      <c r="A4" s="216" t="s">
        <v>120</v>
      </c>
      <c r="B4" s="219"/>
      <c r="C4" s="219"/>
      <c r="D4" s="219"/>
      <c r="E4" s="219"/>
      <c r="F4" s="219"/>
      <c r="G4" s="219"/>
      <c r="H4" s="219"/>
      <c r="I4" s="219" t="s">
        <v>14</v>
      </c>
      <c r="J4" s="219"/>
      <c r="K4" s="219"/>
      <c r="L4" s="219"/>
      <c r="M4" s="219"/>
      <c r="N4" s="219"/>
      <c r="O4" s="3013"/>
      <c r="P4" s="219"/>
      <c r="Q4" s="3013"/>
      <c r="R4" s="219"/>
      <c r="S4" s="219"/>
      <c r="T4" s="219"/>
      <c r="U4" s="219"/>
      <c r="V4" s="219"/>
      <c r="W4" s="219"/>
      <c r="X4" s="219"/>
      <c r="Y4" s="219" t="s">
        <v>14</v>
      </c>
      <c r="Z4" s="219"/>
      <c r="AA4" s="219"/>
      <c r="AB4" s="3013"/>
      <c r="AC4" s="3013"/>
      <c r="AD4" s="3013"/>
      <c r="AE4" s="3013"/>
      <c r="AF4" s="3013"/>
      <c r="AG4" s="3013"/>
      <c r="AI4" s="3013"/>
    </row>
    <row r="5" spans="1:37" ht="23.25" customHeight="1">
      <c r="A5" s="218" t="s">
        <v>121</v>
      </c>
      <c r="B5" s="219"/>
      <c r="C5" s="219"/>
      <c r="D5" s="219"/>
      <c r="E5" s="219"/>
      <c r="F5" s="219"/>
      <c r="G5" s="219"/>
      <c r="H5" s="219"/>
      <c r="I5" s="219"/>
      <c r="J5" s="219"/>
      <c r="K5" s="219"/>
      <c r="L5" s="219"/>
      <c r="M5" s="219"/>
      <c r="N5" s="219"/>
      <c r="O5" s="3013"/>
      <c r="P5" s="219"/>
      <c r="Q5" s="3013"/>
      <c r="R5" s="219"/>
      <c r="S5" s="219"/>
      <c r="T5" s="219"/>
      <c r="U5" s="219"/>
      <c r="V5" s="219"/>
      <c r="W5" s="219"/>
      <c r="X5" s="219"/>
      <c r="Y5" s="219"/>
      <c r="Z5" s="219"/>
      <c r="AA5" s="219"/>
      <c r="AC5" s="3946"/>
      <c r="AD5" s="3947"/>
      <c r="AE5" s="3947"/>
      <c r="AF5" s="3947"/>
      <c r="AG5" s="3947"/>
      <c r="AH5" s="3947"/>
      <c r="AI5" s="3947"/>
      <c r="AJ5" s="3947"/>
    </row>
    <row r="6" spans="1:37" ht="23.25" customHeight="1">
      <c r="A6" s="218" t="s">
        <v>1473</v>
      </c>
      <c r="B6" s="219"/>
      <c r="C6" s="219"/>
      <c r="D6" s="219"/>
      <c r="E6" s="219"/>
      <c r="F6" s="219"/>
      <c r="G6" s="219"/>
      <c r="H6" s="219"/>
      <c r="I6" s="219"/>
      <c r="J6" s="219"/>
      <c r="K6" s="219"/>
      <c r="L6" s="219"/>
      <c r="M6" s="219"/>
      <c r="N6" s="219"/>
      <c r="O6" s="3013"/>
      <c r="P6" s="219"/>
      <c r="Q6" s="3013"/>
      <c r="R6" s="219"/>
      <c r="S6" s="219"/>
      <c r="T6" s="219"/>
      <c r="U6" s="219"/>
      <c r="V6" s="219"/>
      <c r="W6" s="219"/>
      <c r="X6" s="219"/>
      <c r="Y6" s="219"/>
      <c r="Z6" s="219"/>
      <c r="AA6" s="219"/>
      <c r="AB6" s="3013"/>
      <c r="AC6" s="3013"/>
      <c r="AD6" s="3013"/>
      <c r="AE6" s="3013"/>
      <c r="AF6" s="3013"/>
      <c r="AG6" s="3013"/>
      <c r="AI6" s="3013"/>
    </row>
    <row r="7" spans="1:37" ht="23.25" customHeight="1">
      <c r="A7" s="216" t="s">
        <v>1250</v>
      </c>
      <c r="B7" s="219"/>
      <c r="C7" s="219"/>
      <c r="D7" s="219"/>
      <c r="E7" s="219"/>
      <c r="F7" s="219"/>
      <c r="G7" s="219"/>
      <c r="H7" s="219"/>
      <c r="I7" s="219"/>
      <c r="J7" s="219"/>
      <c r="K7" s="219"/>
      <c r="L7" s="219"/>
      <c r="M7" s="219"/>
      <c r="N7" s="219"/>
      <c r="O7" s="3013"/>
      <c r="P7" s="219"/>
      <c r="Q7" s="3013"/>
      <c r="R7" s="219"/>
      <c r="S7" s="219"/>
      <c r="T7" s="219"/>
      <c r="U7" s="219"/>
      <c r="V7" s="219"/>
      <c r="W7" s="219"/>
      <c r="X7" s="219"/>
      <c r="Y7" s="219"/>
      <c r="Z7" s="219"/>
      <c r="AA7" s="219"/>
      <c r="AB7" s="3013"/>
      <c r="AC7" s="3013"/>
      <c r="AD7" s="3013"/>
      <c r="AE7" s="3013"/>
      <c r="AF7" s="3013"/>
      <c r="AG7" s="3013"/>
      <c r="AI7" s="3013"/>
    </row>
    <row r="8" spans="1:37" ht="16.5" customHeight="1">
      <c r="A8" s="219"/>
      <c r="B8" s="219"/>
      <c r="C8" s="219"/>
      <c r="D8" s="219"/>
      <c r="E8" s="219"/>
      <c r="F8" s="219"/>
      <c r="G8" s="219"/>
      <c r="H8" s="219"/>
      <c r="I8" s="219"/>
      <c r="J8" s="219"/>
      <c r="K8" s="219"/>
      <c r="L8" s="219"/>
      <c r="M8" s="219"/>
      <c r="N8" s="219"/>
      <c r="O8" s="3013"/>
      <c r="P8" s="219"/>
      <c r="Q8" s="3013"/>
      <c r="R8" s="219"/>
      <c r="S8" s="219"/>
      <c r="T8" s="219"/>
      <c r="U8" s="219"/>
      <c r="V8" s="219"/>
      <c r="W8" s="219"/>
      <c r="X8" s="219"/>
      <c r="Y8" s="219"/>
      <c r="Z8" s="219"/>
      <c r="AA8" s="219"/>
      <c r="AB8" s="3013"/>
      <c r="AC8" s="3013"/>
      <c r="AD8" s="3013"/>
      <c r="AE8" s="3013"/>
      <c r="AF8" s="3013"/>
      <c r="AG8" s="3013"/>
      <c r="AI8" s="3013"/>
    </row>
    <row r="9" spans="1:37" ht="16.5" customHeight="1">
      <c r="A9" s="219"/>
      <c r="B9" s="219"/>
      <c r="C9" s="219"/>
      <c r="D9" s="219"/>
      <c r="E9" s="219"/>
      <c r="F9" s="219"/>
      <c r="G9" s="219"/>
      <c r="H9" s="219"/>
      <c r="I9" s="219"/>
      <c r="J9" s="219"/>
      <c r="K9" s="219"/>
      <c r="L9" s="219"/>
      <c r="M9" s="219"/>
      <c r="N9" s="219"/>
      <c r="O9" s="3013"/>
      <c r="P9" s="219"/>
      <c r="Q9" s="3013"/>
      <c r="R9" s="219"/>
      <c r="S9" s="219"/>
      <c r="T9" s="219"/>
      <c r="U9" s="219"/>
      <c r="V9" s="219"/>
      <c r="W9" s="219"/>
      <c r="X9" s="219"/>
      <c r="Y9" s="219"/>
      <c r="Z9" s="219"/>
      <c r="AA9" s="219"/>
      <c r="AB9" s="3013"/>
      <c r="AC9" s="3013"/>
      <c r="AD9" s="3013"/>
      <c r="AE9" s="3013"/>
      <c r="AF9" s="3013"/>
      <c r="AG9" s="3013"/>
      <c r="AI9" s="3013"/>
    </row>
    <row r="10" spans="1:37" ht="16.5" customHeight="1">
      <c r="A10" s="219"/>
      <c r="B10" s="219"/>
      <c r="C10" s="219"/>
      <c r="D10" s="219"/>
      <c r="E10" s="219"/>
      <c r="F10" s="219"/>
      <c r="G10" s="219"/>
      <c r="H10" s="219"/>
      <c r="I10" s="219"/>
      <c r="J10" s="219"/>
      <c r="K10" s="219"/>
      <c r="L10" s="219"/>
      <c r="M10" s="219"/>
      <c r="N10" s="219"/>
      <c r="O10" s="3013"/>
      <c r="P10" s="219"/>
      <c r="Q10" s="3013"/>
      <c r="R10" s="219"/>
      <c r="S10" s="219"/>
      <c r="T10" s="219"/>
      <c r="U10" s="219"/>
      <c r="V10" s="219"/>
      <c r="W10" s="219"/>
      <c r="X10" s="219"/>
      <c r="Y10" s="219"/>
      <c r="Z10" s="219"/>
      <c r="AA10" s="219"/>
      <c r="AB10" s="3013"/>
      <c r="AC10" s="3013"/>
      <c r="AD10" s="3013"/>
      <c r="AE10" s="3013"/>
      <c r="AF10" s="3013"/>
      <c r="AG10" s="3013"/>
      <c r="AI10" s="3013"/>
    </row>
    <row r="11" spans="1:37" ht="16.5" customHeight="1">
      <c r="A11" s="219"/>
      <c r="B11" s="219"/>
      <c r="C11" s="219"/>
      <c r="D11" s="219"/>
      <c r="E11" s="219"/>
      <c r="F11" s="219"/>
      <c r="G11" s="219"/>
      <c r="H11" s="219"/>
      <c r="I11" s="219"/>
      <c r="J11" s="219"/>
      <c r="K11" s="219"/>
      <c r="L11" s="219"/>
      <c r="M11" s="219"/>
      <c r="N11" s="219"/>
      <c r="O11" s="3013"/>
      <c r="P11" s="219"/>
      <c r="Q11" s="3013"/>
      <c r="R11" s="219"/>
      <c r="S11" s="219"/>
      <c r="T11" s="219"/>
      <c r="U11" s="219"/>
      <c r="V11" s="219"/>
      <c r="W11" s="219"/>
      <c r="X11" s="219"/>
      <c r="Y11" s="219"/>
      <c r="Z11" s="219"/>
      <c r="AA11" s="219"/>
      <c r="AC11" s="3013"/>
      <c r="AD11" s="3013"/>
      <c r="AE11" s="3013"/>
      <c r="AF11" s="3013"/>
      <c r="AG11" s="3013"/>
      <c r="AI11" s="3013"/>
    </row>
    <row r="12" spans="1:37" ht="16.5" customHeight="1">
      <c r="A12" s="219"/>
      <c r="B12" s="219"/>
      <c r="C12" s="219" t="s">
        <v>14</v>
      </c>
      <c r="D12" s="219" t="s">
        <v>14</v>
      </c>
      <c r="E12" s="219"/>
      <c r="F12" s="219"/>
      <c r="G12" s="219"/>
      <c r="H12" s="219"/>
      <c r="I12" s="219"/>
      <c r="J12" s="219"/>
      <c r="K12" s="219"/>
      <c r="L12" s="219"/>
      <c r="M12" s="219"/>
      <c r="N12" s="219"/>
      <c r="O12" s="3013"/>
      <c r="P12" s="219"/>
      <c r="Q12" s="3013"/>
      <c r="R12" s="219"/>
      <c r="S12" s="219"/>
      <c r="T12" s="219"/>
      <c r="U12" s="219"/>
      <c r="V12" s="219"/>
      <c r="W12" s="219"/>
      <c r="X12" s="219"/>
      <c r="Z12" s="219"/>
      <c r="AA12" s="505"/>
      <c r="AB12" s="3948" t="s">
        <v>1518</v>
      </c>
      <c r="AC12" s="3949"/>
      <c r="AD12" s="3949"/>
      <c r="AE12" s="3949"/>
      <c r="AF12" s="3949"/>
      <c r="AG12" s="3949"/>
      <c r="AH12" s="3949"/>
      <c r="AI12" s="3949"/>
      <c r="AJ12" s="3949"/>
    </row>
    <row r="13" spans="1:37" ht="16.5" customHeight="1">
      <c r="A13" s="219"/>
      <c r="B13" s="219"/>
      <c r="C13" s="1505" t="s">
        <v>1472</v>
      </c>
      <c r="D13" s="503"/>
      <c r="E13" s="503"/>
      <c r="F13" s="503"/>
      <c r="G13" s="503"/>
      <c r="H13" s="503"/>
      <c r="I13" s="503"/>
      <c r="J13" s="503"/>
      <c r="K13" s="503"/>
      <c r="L13" s="503"/>
      <c r="M13" s="503"/>
      <c r="N13" s="503"/>
      <c r="O13" s="3014"/>
      <c r="P13" s="503"/>
      <c r="Q13" s="3014"/>
      <c r="R13" s="503"/>
      <c r="S13" s="503"/>
      <c r="T13" s="503"/>
      <c r="U13" s="1505">
        <v>2023</v>
      </c>
      <c r="V13" s="503"/>
      <c r="W13" s="503"/>
      <c r="X13" s="503"/>
      <c r="Y13" s="503"/>
      <c r="Z13" s="503"/>
      <c r="AA13" s="503"/>
      <c r="AB13" s="3014"/>
      <c r="AC13" s="3015"/>
      <c r="AD13" s="3015"/>
      <c r="AE13" s="3015"/>
      <c r="AF13" s="3014"/>
      <c r="AG13" s="3014"/>
      <c r="AH13" s="3208" t="s">
        <v>7</v>
      </c>
      <c r="AI13" s="3209"/>
      <c r="AJ13" s="3208" t="s">
        <v>8</v>
      </c>
    </row>
    <row r="14" spans="1:37" ht="16.5" customHeight="1">
      <c r="A14" s="219"/>
      <c r="B14" s="219"/>
      <c r="C14" s="724" t="s">
        <v>122</v>
      </c>
      <c r="D14" s="503"/>
      <c r="E14" s="724" t="s">
        <v>123</v>
      </c>
      <c r="F14" s="503"/>
      <c r="G14" s="724" t="s">
        <v>124</v>
      </c>
      <c r="H14" s="503"/>
      <c r="I14" s="724" t="s">
        <v>125</v>
      </c>
      <c r="J14" s="503"/>
      <c r="K14" s="724" t="s">
        <v>126</v>
      </c>
      <c r="L14" s="503"/>
      <c r="M14" s="724" t="s">
        <v>127</v>
      </c>
      <c r="N14" s="503"/>
      <c r="O14" s="3208" t="s">
        <v>128</v>
      </c>
      <c r="P14" s="503"/>
      <c r="Q14" s="3208" t="s">
        <v>129</v>
      </c>
      <c r="R14" s="503"/>
      <c r="S14" s="724" t="s">
        <v>130</v>
      </c>
      <c r="T14" s="503"/>
      <c r="U14" s="724" t="s">
        <v>131</v>
      </c>
      <c r="V14" s="503"/>
      <c r="W14" s="724" t="s">
        <v>132</v>
      </c>
      <c r="X14" s="503"/>
      <c r="Y14" s="724" t="s">
        <v>133</v>
      </c>
      <c r="Z14" s="503"/>
      <c r="AA14" s="503"/>
      <c r="AB14" s="3016">
        <v>2022</v>
      </c>
      <c r="AC14" s="3014"/>
      <c r="AD14" s="3014"/>
      <c r="AE14" s="3016">
        <v>2021</v>
      </c>
      <c r="AF14" s="3014"/>
      <c r="AG14" s="3014"/>
      <c r="AH14" s="3210" t="s">
        <v>11</v>
      </c>
      <c r="AI14" s="3209"/>
      <c r="AJ14" s="3210" t="s">
        <v>12</v>
      </c>
    </row>
    <row r="15" spans="1:37" ht="6" customHeight="1">
      <c r="A15" s="219"/>
      <c r="B15" s="219"/>
      <c r="C15" s="506"/>
      <c r="D15" s="219"/>
      <c r="E15" s="506"/>
      <c r="F15" s="219"/>
      <c r="G15" s="506"/>
      <c r="H15" s="219"/>
      <c r="I15" s="506"/>
      <c r="J15" s="219"/>
      <c r="K15" s="506"/>
      <c r="L15" s="219"/>
      <c r="M15" s="506"/>
      <c r="N15" s="219"/>
      <c r="O15" s="3017" t="s">
        <v>14</v>
      </c>
      <c r="P15" s="219"/>
      <c r="Q15" s="3017"/>
      <c r="R15" s="219"/>
      <c r="S15" s="506"/>
      <c r="T15" s="219"/>
      <c r="U15" s="506" t="s">
        <v>14</v>
      </c>
      <c r="V15" s="219"/>
      <c r="W15" s="506"/>
      <c r="X15" s="219"/>
      <c r="Y15" s="506"/>
      <c r="Z15" s="219"/>
      <c r="AA15" s="219"/>
      <c r="AB15" s="3017"/>
      <c r="AC15" s="3013"/>
      <c r="AD15" s="3013"/>
      <c r="AE15" s="3017"/>
      <c r="AF15" s="3013"/>
      <c r="AG15" s="3013"/>
      <c r="AI15" s="3013"/>
    </row>
    <row r="16" spans="1:37" ht="16.5" customHeight="1">
      <c r="A16" s="504" t="s">
        <v>134</v>
      </c>
      <c r="B16" s="219"/>
      <c r="C16" s="1685">
        <f>'Exhibit F'!D12+'Exhibit G'!D13+'Exhibit H'!B12+'Exhibit I'!E15</f>
        <v>53548.999999999993</v>
      </c>
      <c r="D16" s="507"/>
      <c r="E16" s="507">
        <f>C148</f>
        <v>67121.3</v>
      </c>
      <c r="F16" s="507"/>
      <c r="G16" s="507"/>
      <c r="H16" s="507"/>
      <c r="I16" s="507"/>
      <c r="J16" s="507"/>
      <c r="K16" s="507"/>
      <c r="L16" s="507"/>
      <c r="M16" s="507"/>
      <c r="N16" s="507"/>
      <c r="O16" s="507"/>
      <c r="P16" s="507"/>
      <c r="Q16" s="507"/>
      <c r="R16" s="507"/>
      <c r="S16" s="507"/>
      <c r="T16" s="507"/>
      <c r="U16" s="507"/>
      <c r="V16" s="507"/>
      <c r="W16" s="507"/>
      <c r="X16" s="507"/>
      <c r="Y16" s="507"/>
      <c r="Z16" s="507"/>
      <c r="AA16" s="508"/>
      <c r="AB16" s="1685">
        <f>C16</f>
        <v>53548.999999999993</v>
      </c>
      <c r="AC16" s="1685"/>
      <c r="AD16" s="3211"/>
      <c r="AE16" s="1685">
        <f>'Exhibit F'!AF12+'Exhibit G'!AG13+'Exhibit H'!AD12+'Exhibit I'!AI15</f>
        <v>18751.099999999999</v>
      </c>
      <c r="AF16" s="1685"/>
      <c r="AG16" s="1685"/>
      <c r="AH16" s="1685">
        <f>ROUND(SUM(AB16-AE16),1)</f>
        <v>34797.9</v>
      </c>
      <c r="AI16" s="3014"/>
      <c r="AJ16" s="3212">
        <f>ROUND(SUM(AH16/AE16),3)</f>
        <v>1.8560000000000001</v>
      </c>
      <c r="AK16" s="3213"/>
    </row>
    <row r="17" spans="1:37" ht="16.5" customHeight="1">
      <c r="A17" s="219"/>
      <c r="B17" s="219"/>
      <c r="C17" s="219" t="s">
        <v>14</v>
      </c>
      <c r="D17" s="219"/>
      <c r="E17" s="509"/>
      <c r="F17" s="219"/>
      <c r="G17" s="509"/>
      <c r="H17" s="219"/>
      <c r="I17" s="509"/>
      <c r="J17" s="219"/>
      <c r="K17" s="509"/>
      <c r="L17" s="219"/>
      <c r="M17" s="509"/>
      <c r="N17" s="219"/>
      <c r="O17" s="3217"/>
      <c r="P17" s="219"/>
      <c r="Q17" s="3217"/>
      <c r="R17" s="219"/>
      <c r="S17" s="509"/>
      <c r="T17" s="219"/>
      <c r="U17" s="509"/>
      <c r="V17" s="219"/>
      <c r="W17" s="509"/>
      <c r="X17" s="219"/>
      <c r="Y17" s="509"/>
      <c r="Z17" s="219"/>
      <c r="AA17" s="510"/>
      <c r="AB17" s="3013" t="s">
        <v>14</v>
      </c>
      <c r="AC17" s="3013"/>
      <c r="AD17" s="3214"/>
      <c r="AE17" s="3013" t="s">
        <v>14</v>
      </c>
      <c r="AF17" s="3013"/>
      <c r="AG17" s="3013"/>
      <c r="AH17" s="868"/>
      <c r="AI17" s="3013"/>
      <c r="AJ17" s="868"/>
    </row>
    <row r="18" spans="1:37" ht="16.5" customHeight="1">
      <c r="A18" s="201" t="s">
        <v>13</v>
      </c>
      <c r="B18" s="219"/>
      <c r="C18" s="219"/>
      <c r="D18" s="219"/>
      <c r="E18" s="509"/>
      <c r="F18" s="219"/>
      <c r="G18" s="509"/>
      <c r="H18" s="219"/>
      <c r="I18" s="509"/>
      <c r="J18" s="219"/>
      <c r="K18" s="509"/>
      <c r="L18" s="219"/>
      <c r="M18" s="509"/>
      <c r="N18" s="219"/>
      <c r="O18" s="3217"/>
      <c r="P18" s="219"/>
      <c r="Q18" s="3217"/>
      <c r="R18" s="219"/>
      <c r="S18" s="509"/>
      <c r="T18" s="219"/>
      <c r="U18" s="509"/>
      <c r="V18" s="219"/>
      <c r="W18" s="509"/>
      <c r="X18" s="219"/>
      <c r="Y18" s="509"/>
      <c r="Z18" s="219"/>
      <c r="AA18" s="510"/>
      <c r="AB18" s="3013"/>
      <c r="AC18" s="3013"/>
      <c r="AD18" s="3214"/>
      <c r="AE18" s="3013"/>
      <c r="AF18" s="3013"/>
      <c r="AG18" s="3013"/>
      <c r="AH18" s="868"/>
      <c r="AI18" s="3013"/>
      <c r="AJ18" s="868"/>
    </row>
    <row r="19" spans="1:37" ht="16.5" customHeight="1">
      <c r="A19" s="255" t="s">
        <v>980</v>
      </c>
      <c r="B19" s="219"/>
      <c r="C19" s="219"/>
      <c r="D19" s="219"/>
      <c r="E19" s="509"/>
      <c r="F19" s="219"/>
      <c r="G19" s="509"/>
      <c r="H19" s="219"/>
      <c r="I19" s="509"/>
      <c r="J19" s="219"/>
      <c r="K19" s="509"/>
      <c r="L19" s="219"/>
      <c r="M19" s="509"/>
      <c r="N19" s="219"/>
      <c r="O19" s="3217"/>
      <c r="P19" s="219"/>
      <c r="Q19" s="3217"/>
      <c r="R19" s="219"/>
      <c r="S19" s="509"/>
      <c r="T19" s="219"/>
      <c r="U19" s="509"/>
      <c r="V19" s="219"/>
      <c r="W19" s="509"/>
      <c r="X19" s="219"/>
      <c r="Y19" s="509"/>
      <c r="Z19" s="219"/>
      <c r="AA19" s="510"/>
      <c r="AB19" s="3013"/>
      <c r="AC19" s="3013"/>
      <c r="AD19" s="3214"/>
      <c r="AE19" s="3013"/>
      <c r="AF19" s="3013"/>
      <c r="AG19" s="3013"/>
      <c r="AH19" s="868"/>
      <c r="AI19" s="3013"/>
      <c r="AJ19" s="868"/>
    </row>
    <row r="20" spans="1:37" ht="16.5" customHeight="1">
      <c r="A20" s="1028" t="s">
        <v>1242</v>
      </c>
      <c r="B20" s="651"/>
      <c r="C20" s="595"/>
      <c r="D20" s="595"/>
      <c r="E20" s="595"/>
      <c r="F20" s="595"/>
      <c r="G20" s="595"/>
      <c r="H20" s="219"/>
      <c r="I20" s="509"/>
      <c r="J20" s="219"/>
      <c r="K20" s="509"/>
      <c r="L20" s="219"/>
      <c r="M20" s="509"/>
      <c r="N20" s="219"/>
      <c r="O20" s="3217"/>
      <c r="P20" s="219"/>
      <c r="Q20" s="3217"/>
      <c r="R20" s="219"/>
      <c r="S20" s="509"/>
      <c r="T20" s="219"/>
      <c r="U20" s="509"/>
      <c r="V20" s="219"/>
      <c r="W20" s="509"/>
      <c r="X20" s="219"/>
      <c r="Y20" s="509"/>
      <c r="Z20" s="219"/>
      <c r="AA20" s="937"/>
      <c r="AB20" s="3013"/>
      <c r="AC20" s="3013"/>
      <c r="AD20" s="3214"/>
      <c r="AE20" s="3013"/>
      <c r="AF20" s="3013"/>
      <c r="AG20" s="3013"/>
      <c r="AH20" s="868"/>
      <c r="AI20" s="3013"/>
      <c r="AJ20" s="868"/>
    </row>
    <row r="21" spans="1:37" ht="16.5" customHeight="1">
      <c r="A21" s="651" t="s">
        <v>986</v>
      </c>
      <c r="B21" s="651"/>
      <c r="C21" s="354">
        <f>+'Exhibit F'!D17</f>
        <v>3733.2</v>
      </c>
      <c r="D21" s="597"/>
      <c r="E21" s="354">
        <f>+'Exhibit F'!F17</f>
        <v>3632</v>
      </c>
      <c r="F21" s="597"/>
      <c r="G21" s="354"/>
      <c r="H21" s="511"/>
      <c r="I21" s="354"/>
      <c r="J21" s="511"/>
      <c r="K21" s="354"/>
      <c r="L21" s="219"/>
      <c r="M21" s="354"/>
      <c r="N21" s="219"/>
      <c r="O21" s="354"/>
      <c r="P21" s="219"/>
      <c r="Q21" s="354"/>
      <c r="R21" s="219"/>
      <c r="S21" s="354"/>
      <c r="T21" s="219"/>
      <c r="U21" s="354"/>
      <c r="V21" s="219"/>
      <c r="W21" s="354"/>
      <c r="X21" s="219"/>
      <c r="Y21" s="354"/>
      <c r="Z21" s="219"/>
      <c r="AA21" s="937"/>
      <c r="AB21" s="1589">
        <f>ROUND(SUM(C21:Y21),1)</f>
        <v>7365.2</v>
      </c>
      <c r="AC21" s="3013"/>
      <c r="AD21" s="3214"/>
      <c r="AE21" s="3215">
        <f>+'Exhibit F'!AF17</f>
        <v>6819.5</v>
      </c>
      <c r="AF21" s="3013"/>
      <c r="AG21" s="3013"/>
      <c r="AH21" s="872">
        <f>ROUND(SUM(+AB21-AE21),1)</f>
        <v>545.70000000000005</v>
      </c>
      <c r="AI21" s="3216"/>
      <c r="AJ21" s="1678">
        <f>ROUND(IF(AE21=0,0,AH21/ABS(AE21)),3)</f>
        <v>0.08</v>
      </c>
    </row>
    <row r="22" spans="1:37" ht="16.5" customHeight="1">
      <c r="A22" s="651" t="s">
        <v>1240</v>
      </c>
      <c r="B22" s="655"/>
      <c r="C22" s="354">
        <f>+'Exhibit F'!D18</f>
        <v>10927.5</v>
      </c>
      <c r="D22" s="597"/>
      <c r="E22" s="354">
        <f>+'Exhibit F'!F18</f>
        <v>152.80000000000109</v>
      </c>
      <c r="F22" s="597"/>
      <c r="G22" s="354"/>
      <c r="H22" s="511"/>
      <c r="I22" s="354"/>
      <c r="J22" s="511"/>
      <c r="K22" s="354"/>
      <c r="L22" s="219"/>
      <c r="M22" s="354"/>
      <c r="N22" s="219"/>
      <c r="O22" s="354"/>
      <c r="P22" s="219"/>
      <c r="Q22" s="354"/>
      <c r="R22" s="219"/>
      <c r="S22" s="354"/>
      <c r="T22" s="219"/>
      <c r="U22" s="354"/>
      <c r="V22" s="219"/>
      <c r="W22" s="354"/>
      <c r="X22" s="219"/>
      <c r="Y22" s="354"/>
      <c r="Z22" s="219"/>
      <c r="AA22" s="937"/>
      <c r="AB22" s="1589">
        <f>ROUND(SUM(C22:Y22),1)</f>
        <v>11080.3</v>
      </c>
      <c r="AC22" s="3013"/>
      <c r="AD22" s="3214"/>
      <c r="AE22" s="3215">
        <f>+'Exhibit F'!AF18</f>
        <v>9470.9</v>
      </c>
      <c r="AF22" s="3013"/>
      <c r="AG22" s="3013"/>
      <c r="AH22" s="872">
        <f>ROUND(SUM(+AB22-AE22),1)</f>
        <v>1609.4</v>
      </c>
      <c r="AI22" s="3216"/>
      <c r="AJ22" s="3219">
        <f>ROUND(IF(AE22=0,0,AH22/ABS(AE22)),3)</f>
        <v>0.17</v>
      </c>
    </row>
    <row r="23" spans="1:37" ht="16.5" customHeight="1">
      <c r="A23" s="651" t="s">
        <v>987</v>
      </c>
      <c r="B23" s="651"/>
      <c r="C23" s="354">
        <f>+'Exhibit F'!D19</f>
        <v>3269.8</v>
      </c>
      <c r="D23" s="597"/>
      <c r="E23" s="354">
        <f>+'Exhibit F'!F19</f>
        <v>174.89999999999964</v>
      </c>
      <c r="F23" s="597"/>
      <c r="G23" s="354"/>
      <c r="H23" s="511"/>
      <c r="I23" s="354"/>
      <c r="J23" s="511"/>
      <c r="K23" s="354"/>
      <c r="L23" s="219"/>
      <c r="M23" s="354"/>
      <c r="N23" s="219"/>
      <c r="O23" s="354"/>
      <c r="P23" s="219"/>
      <c r="Q23" s="354"/>
      <c r="R23" s="219"/>
      <c r="S23" s="354"/>
      <c r="T23" s="219"/>
      <c r="U23" s="354"/>
      <c r="V23" s="219"/>
      <c r="W23" s="354"/>
      <c r="X23" s="219"/>
      <c r="Y23" s="354"/>
      <c r="Z23" s="219"/>
      <c r="AA23" s="937"/>
      <c r="AB23" s="1589">
        <f>ROUND(SUM(C23:Y23),1)</f>
        <v>3444.7</v>
      </c>
      <c r="AC23" s="3013"/>
      <c r="AD23" s="3214"/>
      <c r="AE23" s="3215">
        <f>+'Exhibit F'!AF19</f>
        <v>3097.9</v>
      </c>
      <c r="AF23" s="3013"/>
      <c r="AG23" s="3013"/>
      <c r="AH23" s="872">
        <f>ROUND(SUM(+AB23-AE23),1)</f>
        <v>346.8</v>
      </c>
      <c r="AI23" s="3216"/>
      <c r="AJ23" s="1678">
        <f>ROUND(IF(AE23=0,0,AH23/ABS(AE23)),3)</f>
        <v>0.112</v>
      </c>
    </row>
    <row r="24" spans="1:37" ht="16.5" customHeight="1">
      <c r="A24" s="1053" t="s">
        <v>988</v>
      </c>
      <c r="B24" s="651"/>
      <c r="C24" s="354">
        <f>+'Exhibit F'!D20</f>
        <v>-502</v>
      </c>
      <c r="D24" s="597"/>
      <c r="E24" s="354">
        <f>+'Exhibit F'!F20</f>
        <v>-39.100000000000023</v>
      </c>
      <c r="F24" s="597"/>
      <c r="G24" s="354"/>
      <c r="H24" s="511"/>
      <c r="I24" s="354"/>
      <c r="J24" s="511"/>
      <c r="K24" s="354"/>
      <c r="L24" s="219"/>
      <c r="M24" s="354"/>
      <c r="N24" s="219"/>
      <c r="O24" s="354"/>
      <c r="P24" s="219"/>
      <c r="Q24" s="354"/>
      <c r="R24" s="219"/>
      <c r="S24" s="354"/>
      <c r="T24" s="219"/>
      <c r="U24" s="354"/>
      <c r="V24" s="219"/>
      <c r="W24" s="354"/>
      <c r="X24" s="219"/>
      <c r="Y24" s="354"/>
      <c r="Z24" s="219"/>
      <c r="AA24" s="937"/>
      <c r="AB24" s="1589">
        <f t="shared" ref="AB24:AB30" si="0">ROUND(SUM(C24:Y24),1)</f>
        <v>-541.1</v>
      </c>
      <c r="AC24" s="3013"/>
      <c r="AD24" s="3214"/>
      <c r="AE24" s="3215">
        <f>+'Exhibit F'!AF20</f>
        <v>-467.7</v>
      </c>
      <c r="AF24" s="3013"/>
      <c r="AG24" s="3013"/>
      <c r="AH24" s="872">
        <f>-ROUND(SUM(+AB24-AE24),1)</f>
        <v>73.400000000000006</v>
      </c>
      <c r="AI24" s="3216"/>
      <c r="AJ24" s="1677">
        <f>ROUND(IF(AE24=0,0,AH24/ABS(AE24)),3)</f>
        <v>0.157</v>
      </c>
    </row>
    <row r="25" spans="1:37" ht="16.5" customHeight="1">
      <c r="A25" s="1053" t="s">
        <v>1239</v>
      </c>
      <c r="B25" s="651"/>
      <c r="C25" s="354">
        <f>+'Exhibit F'!D21</f>
        <v>220.6</v>
      </c>
      <c r="D25" s="597"/>
      <c r="E25" s="354">
        <f>+'Exhibit F'!F21</f>
        <v>161.79999999999998</v>
      </c>
      <c r="F25" s="597"/>
      <c r="G25" s="354"/>
      <c r="H25" s="511"/>
      <c r="I25" s="354"/>
      <c r="J25" s="511"/>
      <c r="K25" s="354"/>
      <c r="L25" s="219"/>
      <c r="M25" s="354"/>
      <c r="N25" s="219"/>
      <c r="O25" s="354"/>
      <c r="P25" s="219"/>
      <c r="Q25" s="354"/>
      <c r="R25" s="219"/>
      <c r="S25" s="354"/>
      <c r="T25" s="219"/>
      <c r="U25" s="354"/>
      <c r="V25" s="219"/>
      <c r="W25" s="354"/>
      <c r="X25" s="219"/>
      <c r="Y25" s="354"/>
      <c r="Z25" s="219"/>
      <c r="AA25" s="937"/>
      <c r="AB25" s="1589">
        <f t="shared" si="0"/>
        <v>382.4</v>
      </c>
      <c r="AC25" s="3013"/>
      <c r="AD25" s="3214"/>
      <c r="AE25" s="3215">
        <f>+'Exhibit F'!AF21</f>
        <v>241.3</v>
      </c>
      <c r="AF25" s="3013"/>
      <c r="AG25" s="3013"/>
      <c r="AH25" s="872">
        <f>ROUND(SUM(+AB25-AE25),1)</f>
        <v>141.1</v>
      </c>
      <c r="AI25" s="3216"/>
      <c r="AJ25" s="1677">
        <f t="shared" ref="AJ25:AJ30" si="1">ROUND(IF(AE25=0,0,AH25/ABS(AE25)),3)</f>
        <v>0.58499999999999996</v>
      </c>
    </row>
    <row r="26" spans="1:37" ht="16.5" customHeight="1">
      <c r="A26" s="652" t="s">
        <v>989</v>
      </c>
      <c r="B26" s="652"/>
      <c r="C26" s="654">
        <f>ROUND(SUM(C21:C25),1)</f>
        <v>17649.099999999999</v>
      </c>
      <c r="D26" s="23"/>
      <c r="E26" s="654">
        <f>ROUND(SUM(E21:E25),1)</f>
        <v>4082.4</v>
      </c>
      <c r="F26" s="23"/>
      <c r="G26" s="654">
        <f>ROUND(SUM(G21:G25),1)</f>
        <v>0</v>
      </c>
      <c r="H26" s="219"/>
      <c r="I26" s="863">
        <f>ROUND(SUM(I21:I25),1)</f>
        <v>0</v>
      </c>
      <c r="J26" s="219"/>
      <c r="K26" s="863">
        <f>ROUND(SUM(K21:K25),1)</f>
        <v>0</v>
      </c>
      <c r="L26" s="219"/>
      <c r="M26" s="863">
        <f>ROUND(SUM(M21:M25),1)</f>
        <v>0</v>
      </c>
      <c r="N26" s="219"/>
      <c r="O26" s="3019">
        <f>ROUND(SUM(O21:O25),1)</f>
        <v>0</v>
      </c>
      <c r="P26" s="219"/>
      <c r="Q26" s="3019">
        <f>ROUND(SUM(Q21:Q25),1)</f>
        <v>0</v>
      </c>
      <c r="R26" s="219"/>
      <c r="S26" s="863">
        <f>ROUND(SUM(S21:S25),1)</f>
        <v>0</v>
      </c>
      <c r="T26" s="219"/>
      <c r="U26" s="863">
        <f>ROUND(SUM(U21:U25),1)</f>
        <v>0</v>
      </c>
      <c r="V26" s="219"/>
      <c r="W26" s="863">
        <f>ROUND(SUM(W21:W25),1)</f>
        <v>0</v>
      </c>
      <c r="X26" s="219"/>
      <c r="Y26" s="863">
        <f>ROUND(SUM(Y21:Y25),1)</f>
        <v>0</v>
      </c>
      <c r="Z26" s="219"/>
      <c r="AA26" s="937"/>
      <c r="AB26" s="3018">
        <f>ROUND(SUM(C26:Y26),1)</f>
        <v>21731.5</v>
      </c>
      <c r="AC26" s="3013"/>
      <c r="AD26" s="3214"/>
      <c r="AE26" s="3019">
        <f>ROUND(SUM(AE21:AE25),1)</f>
        <v>19161.900000000001</v>
      </c>
      <c r="AF26" s="3013"/>
      <c r="AG26" s="3013"/>
      <c r="AH26" s="1497">
        <f>ROUND(SUM(AB26-AE26),1)</f>
        <v>2569.6</v>
      </c>
      <c r="AI26" s="3216"/>
      <c r="AJ26" s="2136">
        <f t="shared" si="1"/>
        <v>0.13400000000000001</v>
      </c>
      <c r="AK26" s="291" t="s">
        <v>14</v>
      </c>
    </row>
    <row r="27" spans="1:37" ht="16.5" customHeight="1">
      <c r="A27" s="1053" t="s">
        <v>991</v>
      </c>
      <c r="B27" s="651"/>
      <c r="C27" s="1338">
        <v>0</v>
      </c>
      <c r="D27" s="598"/>
      <c r="E27" s="1338">
        <v>0</v>
      </c>
      <c r="F27" s="598"/>
      <c r="G27" s="1338"/>
      <c r="H27" s="1407"/>
      <c r="I27" s="354"/>
      <c r="J27" s="1407"/>
      <c r="K27" s="354"/>
      <c r="L27" s="1408"/>
      <c r="M27" s="354"/>
      <c r="N27" s="1408"/>
      <c r="O27" s="354"/>
      <c r="P27" s="219"/>
      <c r="Q27" s="354"/>
      <c r="R27" s="219"/>
      <c r="S27" s="354"/>
      <c r="T27" s="219"/>
      <c r="U27" s="354"/>
      <c r="V27" s="219"/>
      <c r="W27" s="354"/>
      <c r="X27" s="219"/>
      <c r="Y27" s="1338"/>
      <c r="Z27" s="219"/>
      <c r="AA27" s="937"/>
      <c r="AB27" s="1589">
        <f t="shared" si="0"/>
        <v>0</v>
      </c>
      <c r="AC27" s="3013"/>
      <c r="AD27" s="3214"/>
      <c r="AE27" s="3718">
        <f>+'Exhibit F'!AF23+'Exhibit G'!AG17</f>
        <v>0</v>
      </c>
      <c r="AF27" s="3013"/>
      <c r="AG27" s="3013"/>
      <c r="AH27" s="872">
        <f>ROUND(SUM(+AB27-AE27),1)</f>
        <v>0</v>
      </c>
      <c r="AI27" s="3216"/>
      <c r="AJ27" s="1677">
        <f t="shared" si="1"/>
        <v>0</v>
      </c>
    </row>
    <row r="28" spans="1:37" ht="16.5" customHeight="1">
      <c r="A28" s="1053" t="s">
        <v>992</v>
      </c>
      <c r="B28" s="651"/>
      <c r="C28" s="600">
        <f>'Exhibit F'!D24+'Exhibit H'!B16</f>
        <v>0</v>
      </c>
      <c r="D28" s="598"/>
      <c r="E28" s="600">
        <f>'Exhibit F'!F24+'Exhibit H'!D16</f>
        <v>0</v>
      </c>
      <c r="F28" s="598"/>
      <c r="G28" s="600"/>
      <c r="H28" s="1407"/>
      <c r="I28" s="354"/>
      <c r="J28" s="1407"/>
      <c r="K28" s="354"/>
      <c r="L28" s="1408"/>
      <c r="M28" s="354"/>
      <c r="N28" s="1408"/>
      <c r="O28" s="354"/>
      <c r="P28" s="219"/>
      <c r="Q28" s="354"/>
      <c r="R28" s="219"/>
      <c r="S28" s="354"/>
      <c r="T28" s="219"/>
      <c r="U28" s="354"/>
      <c r="V28" s="219"/>
      <c r="W28" s="354"/>
      <c r="X28" s="219"/>
      <c r="Y28" s="600"/>
      <c r="Z28" s="219"/>
      <c r="AA28" s="937"/>
      <c r="AB28" s="1589">
        <f>ROUND(SUM(C28:Y28),1)</f>
        <v>0</v>
      </c>
      <c r="AC28" s="3013"/>
      <c r="AD28" s="3214"/>
      <c r="AE28" s="1742">
        <f>+'Exhibit F'!AF24+'Exhibit H'!AD16</f>
        <v>0</v>
      </c>
      <c r="AF28" s="3013"/>
      <c r="AG28" s="3013"/>
      <c r="AH28" s="872">
        <f>ROUND(SUM(+AB28-AE28),1)</f>
        <v>0</v>
      </c>
      <c r="AI28" s="3216"/>
      <c r="AJ28" s="1677">
        <f>ROUND(IF(AE28=0,0,AH28/ABS(AE28)),3)</f>
        <v>0</v>
      </c>
    </row>
    <row r="29" spans="1:37" ht="16.5" customHeight="1">
      <c r="A29" s="651" t="s">
        <v>1241</v>
      </c>
      <c r="B29" s="651"/>
      <c r="C29" s="354">
        <f>+'Exhibit F'!D25</f>
        <v>-2927.5</v>
      </c>
      <c r="D29" s="597"/>
      <c r="E29" s="354">
        <f>+'Exhibit F'!F25</f>
        <v>-1358.1999999999998</v>
      </c>
      <c r="F29" s="597"/>
      <c r="G29" s="354"/>
      <c r="H29" s="511"/>
      <c r="I29" s="354"/>
      <c r="J29" s="511"/>
      <c r="K29" s="354"/>
      <c r="L29" s="219"/>
      <c r="M29" s="354"/>
      <c r="N29" s="219"/>
      <c r="O29" s="354"/>
      <c r="P29" s="219"/>
      <c r="Q29" s="354"/>
      <c r="R29" s="219"/>
      <c r="S29" s="354"/>
      <c r="T29" s="219"/>
      <c r="U29" s="354"/>
      <c r="V29" s="219"/>
      <c r="W29" s="354"/>
      <c r="X29" s="219"/>
      <c r="Y29" s="354"/>
      <c r="Z29" s="219"/>
      <c r="AA29" s="937"/>
      <c r="AB29" s="1589">
        <f t="shared" si="0"/>
        <v>-4285.7</v>
      </c>
      <c r="AC29" s="3013"/>
      <c r="AD29" s="3214"/>
      <c r="AE29" s="3215">
        <f>+'Exhibit F'!AF25</f>
        <v>-2803.1</v>
      </c>
      <c r="AF29" s="3013"/>
      <c r="AG29" s="3013"/>
      <c r="AH29" s="872">
        <f>-ROUND(SUM(+AB29-AE29),1)</f>
        <v>1482.6</v>
      </c>
      <c r="AI29" s="3216"/>
      <c r="AJ29" s="1677">
        <f t="shared" si="1"/>
        <v>0.52900000000000003</v>
      </c>
    </row>
    <row r="30" spans="1:37" ht="16.5" customHeight="1">
      <c r="A30" s="304" t="s">
        <v>990</v>
      </c>
      <c r="B30" s="651"/>
      <c r="C30" s="863">
        <f>ROUND(SUM(C26)+SUM(C27)+SUM(C28)+SUM(C29),1)</f>
        <v>14721.6</v>
      </c>
      <c r="D30" s="23"/>
      <c r="E30" s="863">
        <f>ROUND(SUM(E26)+SUM(E27)+SUM(E28)+SUM(E29),1)</f>
        <v>2724.2</v>
      </c>
      <c r="F30" s="23"/>
      <c r="G30" s="863">
        <f>ROUND(SUM(G26)+SUM(G27)+SUM(G28)+SUM(G29),1)</f>
        <v>0</v>
      </c>
      <c r="H30" s="219"/>
      <c r="I30" s="863">
        <f>ROUND(SUM(I26)+SUM(I27)+SUM(I28)+SUM(I29),1)</f>
        <v>0</v>
      </c>
      <c r="J30" s="219"/>
      <c r="K30" s="863">
        <f>ROUND(SUM(K26)+SUM(K27)+SUM(K28)+SUM(K29),1)</f>
        <v>0</v>
      </c>
      <c r="L30" s="219"/>
      <c r="M30" s="863">
        <f>ROUND(SUM(M26)+SUM(M27)+SUM(M28)+SUM(M29),1)</f>
        <v>0</v>
      </c>
      <c r="N30" s="219"/>
      <c r="O30" s="3019">
        <f>ROUND(SUM(O26)+SUM(O27)+SUM(O28)+SUM(O29),1)</f>
        <v>0</v>
      </c>
      <c r="P30" s="219"/>
      <c r="Q30" s="3019">
        <f>ROUND(SUM(Q26)+SUM(Q27)+SUM(Q28)+SUM(Q29),1)</f>
        <v>0</v>
      </c>
      <c r="R30" s="219"/>
      <c r="S30" s="863">
        <f>ROUND(SUM(S26)+SUM(S27)+SUM(S28)+SUM(S29),1)</f>
        <v>0</v>
      </c>
      <c r="T30" s="219"/>
      <c r="U30" s="863">
        <f>ROUND(SUM(U26)+SUM(U27)+SUM(U28)+SUM(U29),1)</f>
        <v>0</v>
      </c>
      <c r="V30" s="219"/>
      <c r="W30" s="863">
        <f>ROUND(SUM(W26)+SUM(W27)+SUM(W28)+SUM(W29),1)</f>
        <v>0</v>
      </c>
      <c r="X30" s="219"/>
      <c r="Y30" s="863">
        <f>ROUND(SUM(Y26)+SUM(Y27)+SUM(Y28)+SUM(Y29),1)</f>
        <v>0</v>
      </c>
      <c r="Z30" s="219"/>
      <c r="AA30" s="937"/>
      <c r="AB30" s="3018">
        <f t="shared" si="0"/>
        <v>17445.8</v>
      </c>
      <c r="AC30" s="3013"/>
      <c r="AD30" s="3214"/>
      <c r="AE30" s="3019">
        <f>ROUND(SUM(AE26)+SUM(AE27)+SUM(AE28)+SUM(AE29),1)</f>
        <v>16358.8</v>
      </c>
      <c r="AF30" s="3013"/>
      <c r="AG30" s="3013"/>
      <c r="AH30" s="1497">
        <f>ROUND(SUM(AH26+AH27+AH28-AH29),1)</f>
        <v>1087</v>
      </c>
      <c r="AI30" s="1001"/>
      <c r="AJ30" s="2136">
        <f t="shared" si="1"/>
        <v>6.6000000000000003E-2</v>
      </c>
      <c r="AK30" s="291" t="s">
        <v>14</v>
      </c>
    </row>
    <row r="31" spans="1:37" ht="16.5" customHeight="1">
      <c r="A31" s="1028" t="s">
        <v>1039</v>
      </c>
      <c r="B31" s="655"/>
      <c r="C31" s="594"/>
      <c r="D31" s="594"/>
      <c r="E31" s="594"/>
      <c r="F31" s="594"/>
      <c r="G31" s="594"/>
      <c r="H31" s="219"/>
      <c r="I31" s="594"/>
      <c r="J31" s="219"/>
      <c r="K31" s="594"/>
      <c r="L31" s="219"/>
      <c r="M31" s="594"/>
      <c r="N31" s="219"/>
      <c r="O31" s="3299"/>
      <c r="P31" s="219"/>
      <c r="Q31" s="3299"/>
      <c r="R31" s="219"/>
      <c r="S31" s="594"/>
      <c r="T31" s="219"/>
      <c r="U31" s="594"/>
      <c r="V31" s="219"/>
      <c r="W31" s="594"/>
      <c r="X31" s="219"/>
      <c r="Y31" s="594"/>
      <c r="Z31" s="219"/>
      <c r="AA31" s="937"/>
      <c r="AB31" s="3013"/>
      <c r="AC31" s="3013"/>
      <c r="AD31" s="3214"/>
      <c r="AE31" s="3217"/>
      <c r="AF31" s="3013"/>
      <c r="AG31" s="3013"/>
      <c r="AH31" s="109"/>
      <c r="AI31" s="1001"/>
      <c r="AJ31" s="3218"/>
    </row>
    <row r="32" spans="1:37" ht="16.5" customHeight="1">
      <c r="A32" s="651" t="s">
        <v>995</v>
      </c>
      <c r="B32" s="655"/>
      <c r="C32" s="354">
        <f>+'Exhibit F'!D28+'Exhibit G'!D20+'Exhibit H'!B19</f>
        <v>1378.7</v>
      </c>
      <c r="D32" s="597"/>
      <c r="E32" s="354">
        <f>+'Exhibit F'!F28+'Exhibit G'!F20+'Exhibit H'!D19</f>
        <v>1397.1999999999998</v>
      </c>
      <c r="F32" s="597"/>
      <c r="G32" s="354"/>
      <c r="H32" s="511"/>
      <c r="I32" s="354"/>
      <c r="J32" s="511"/>
      <c r="K32" s="354"/>
      <c r="L32" s="219"/>
      <c r="M32" s="354"/>
      <c r="N32" s="219"/>
      <c r="O32" s="354"/>
      <c r="P32" s="219"/>
      <c r="Q32" s="354"/>
      <c r="R32" s="219"/>
      <c r="S32" s="354"/>
      <c r="T32" s="219"/>
      <c r="U32" s="354"/>
      <c r="V32" s="219"/>
      <c r="W32" s="354"/>
      <c r="X32" s="219"/>
      <c r="Y32" s="354"/>
      <c r="Z32" s="219"/>
      <c r="AA32" s="937"/>
      <c r="AB32" s="1589">
        <f t="shared" ref="AB32:AB40" si="2">ROUND(SUM(C32:Y32),1)</f>
        <v>2775.9</v>
      </c>
      <c r="AC32" s="3013"/>
      <c r="AD32" s="3214"/>
      <c r="AE32" s="3215">
        <f>+'Exhibit F'!AF28+'Exhibit G'!AG20+'Exhibit H'!AD19</f>
        <v>2558.8000000000002</v>
      </c>
      <c r="AF32" s="3013"/>
      <c r="AG32" s="3013"/>
      <c r="AH32" s="872">
        <f t="shared" ref="AH32:AH38" si="3">ROUND(SUM(+AB32-AE32),1)</f>
        <v>217.1</v>
      </c>
      <c r="AI32" s="1001"/>
      <c r="AJ32" s="1678">
        <f t="shared" ref="AJ32:AJ41" si="4">ROUND(IF(AE32=0,0,AH32/ABS(AE32)),3)</f>
        <v>8.5000000000000006E-2</v>
      </c>
    </row>
    <row r="33" spans="1:36" ht="16.5" customHeight="1">
      <c r="A33" s="651" t="s">
        <v>996</v>
      </c>
      <c r="B33" s="655"/>
      <c r="C33" s="354">
        <f>+'Exhibit F'!D29+'Exhibit G'!D21+'Exhibit I'!E20</f>
        <v>11.200000000000001</v>
      </c>
      <c r="D33" s="597"/>
      <c r="E33" s="354">
        <f>+'Exhibit F'!F29+'Exhibit G'!F21+'Exhibit I'!G20</f>
        <v>9.9999999999999645E-2</v>
      </c>
      <c r="F33" s="597"/>
      <c r="G33" s="354"/>
      <c r="H33" s="511"/>
      <c r="I33" s="354"/>
      <c r="J33" s="511"/>
      <c r="K33" s="354"/>
      <c r="L33" s="219"/>
      <c r="M33" s="354"/>
      <c r="N33" s="219"/>
      <c r="O33" s="354"/>
      <c r="P33" s="219"/>
      <c r="Q33" s="3215"/>
      <c r="R33" s="219"/>
      <c r="S33" s="354"/>
      <c r="T33" s="219"/>
      <c r="U33" s="354"/>
      <c r="V33" s="219"/>
      <c r="W33" s="354"/>
      <c r="X33" s="219"/>
      <c r="Y33" s="354"/>
      <c r="Z33" s="219"/>
      <c r="AA33" s="937"/>
      <c r="AB33" s="1589">
        <f>ROUND(SUM(C33:Y33),1)</f>
        <v>11.3</v>
      </c>
      <c r="AC33" s="3013"/>
      <c r="AD33" s="3214"/>
      <c r="AE33" s="3215">
        <f>+'Exhibit F'!AF29+'Exhibit G'!AG21+'Exhibit I'!AI20</f>
        <v>1.9000000000000001</v>
      </c>
      <c r="AF33" s="3013"/>
      <c r="AG33" s="3013"/>
      <c r="AH33" s="872">
        <f t="shared" si="3"/>
        <v>9.4</v>
      </c>
      <c r="AI33" s="1001"/>
      <c r="AJ33" s="1678">
        <f t="shared" si="4"/>
        <v>4.9470000000000001</v>
      </c>
    </row>
    <row r="34" spans="1:36" ht="16.5" customHeight="1">
      <c r="A34" s="651" t="s">
        <v>997</v>
      </c>
      <c r="B34" s="651"/>
      <c r="C34" s="354">
        <f>+'Exhibit F'!D30+'Exhibit G'!D22</f>
        <v>84.699999999999989</v>
      </c>
      <c r="D34" s="597"/>
      <c r="E34" s="354">
        <f>+'Exhibit F'!F30+'Exhibit G'!F22</f>
        <v>75.200000000000017</v>
      </c>
      <c r="F34" s="597"/>
      <c r="G34" s="354"/>
      <c r="H34" s="511"/>
      <c r="I34" s="354"/>
      <c r="J34" s="511"/>
      <c r="K34" s="354"/>
      <c r="L34" s="219"/>
      <c r="M34" s="354"/>
      <c r="N34" s="219"/>
      <c r="O34" s="354"/>
      <c r="P34" s="219"/>
      <c r="Q34" s="354"/>
      <c r="R34" s="219"/>
      <c r="S34" s="354"/>
      <c r="T34" s="219"/>
      <c r="U34" s="354"/>
      <c r="V34" s="219"/>
      <c r="W34" s="354"/>
      <c r="X34" s="219"/>
      <c r="Y34" s="354"/>
      <c r="Z34" s="219"/>
      <c r="AA34" s="937"/>
      <c r="AB34" s="1589">
        <f t="shared" si="2"/>
        <v>159.9</v>
      </c>
      <c r="AC34" s="3013"/>
      <c r="AD34" s="3214"/>
      <c r="AE34" s="3215">
        <f>+'Exhibit F'!AF30+'Exhibit G'!AG22</f>
        <v>174.9</v>
      </c>
      <c r="AF34" s="3013"/>
      <c r="AG34" s="3013"/>
      <c r="AH34" s="872">
        <f t="shared" si="3"/>
        <v>-15</v>
      </c>
      <c r="AI34" s="1001"/>
      <c r="AJ34" s="1678">
        <f t="shared" si="4"/>
        <v>-8.5999999999999993E-2</v>
      </c>
    </row>
    <row r="35" spans="1:36" ht="16.5" customHeight="1">
      <c r="A35" s="651" t="s">
        <v>1446</v>
      </c>
      <c r="B35" s="651"/>
      <c r="C35" s="354">
        <f>+'Exhibit G'!D23</f>
        <v>1</v>
      </c>
      <c r="D35" s="597"/>
      <c r="E35" s="354">
        <f>+'Exhibit G'!F23</f>
        <v>1.2000000000000002</v>
      </c>
      <c r="F35" s="597"/>
      <c r="G35" s="354"/>
      <c r="H35" s="511"/>
      <c r="I35" s="354"/>
      <c r="J35" s="511"/>
      <c r="K35" s="354"/>
      <c r="L35" s="1491"/>
      <c r="M35" s="354"/>
      <c r="N35" s="1491"/>
      <c r="O35" s="354"/>
      <c r="P35" s="1491"/>
      <c r="Q35" s="354"/>
      <c r="R35" s="1491"/>
      <c r="S35" s="354"/>
      <c r="T35" s="1491"/>
      <c r="U35" s="354"/>
      <c r="V35" s="1491"/>
      <c r="W35" s="354"/>
      <c r="X35" s="1491"/>
      <c r="Y35" s="354"/>
      <c r="Z35" s="1491"/>
      <c r="AA35" s="937"/>
      <c r="AB35" s="1589">
        <f>ROUND(SUM(C35:Y35),1)</f>
        <v>2.2000000000000002</v>
      </c>
      <c r="AC35" s="3013"/>
      <c r="AD35" s="3214"/>
      <c r="AE35" s="3215">
        <f>'Exhibit G'!AG23</f>
        <v>2.6</v>
      </c>
      <c r="AF35" s="3013"/>
      <c r="AG35" s="3013"/>
      <c r="AH35" s="872">
        <f>ROUND(SUM(+AB35-AE35),1)</f>
        <v>-0.4</v>
      </c>
      <c r="AI35" s="1001"/>
      <c r="AJ35" s="1678">
        <f>ROUND(IF(AE35=0,0,AH35/ABS(AE35)),3)</f>
        <v>-0.154</v>
      </c>
    </row>
    <row r="36" spans="1:36" ht="16.5" customHeight="1">
      <c r="A36" s="651" t="s">
        <v>998</v>
      </c>
      <c r="B36" s="651"/>
      <c r="C36" s="354">
        <f>+'Exhibit F'!D31+'Exhibit G'!D24+'Exhibit I'!E21</f>
        <v>27.5</v>
      </c>
      <c r="D36" s="597"/>
      <c r="E36" s="354">
        <f>+'Exhibit F'!F31+'Exhibit G'!F24+'Exhibit I'!G21</f>
        <v>37.5</v>
      </c>
      <c r="F36" s="597"/>
      <c r="G36" s="354"/>
      <c r="H36" s="511"/>
      <c r="I36" s="354"/>
      <c r="J36" s="511"/>
      <c r="K36" s="354"/>
      <c r="L36" s="219"/>
      <c r="M36" s="354"/>
      <c r="N36" s="219"/>
      <c r="O36" s="354"/>
      <c r="P36" s="219"/>
      <c r="Q36" s="354"/>
      <c r="R36" s="219"/>
      <c r="S36" s="354"/>
      <c r="T36" s="219"/>
      <c r="U36" s="354"/>
      <c r="V36" s="219"/>
      <c r="W36" s="354"/>
      <c r="X36" s="219"/>
      <c r="Y36" s="354"/>
      <c r="Z36" s="219"/>
      <c r="AA36" s="937"/>
      <c r="AB36" s="1589">
        <f t="shared" si="2"/>
        <v>65</v>
      </c>
      <c r="AC36" s="3013"/>
      <c r="AD36" s="3214"/>
      <c r="AE36" s="3215">
        <f>+'Exhibit F'!AF31+'Exhibit G'!AG24+'Exhibit I'!AI21</f>
        <v>74.400000000000006</v>
      </c>
      <c r="AF36" s="3013"/>
      <c r="AG36" s="3013"/>
      <c r="AH36" s="872">
        <f t="shared" si="3"/>
        <v>-9.4</v>
      </c>
      <c r="AI36" s="1001"/>
      <c r="AJ36" s="1678">
        <f t="shared" si="4"/>
        <v>-0.126</v>
      </c>
    </row>
    <row r="37" spans="1:36" ht="16.5" customHeight="1">
      <c r="A37" s="651" t="s">
        <v>999</v>
      </c>
      <c r="B37" s="651"/>
      <c r="C37" s="354">
        <f>+'Exhibit F'!D32+'Exhibit G'!D25</f>
        <v>24.8</v>
      </c>
      <c r="D37" s="597"/>
      <c r="E37" s="354">
        <f>+'Exhibit F'!F32+'Exhibit G'!F25</f>
        <v>21.499999999999996</v>
      </c>
      <c r="F37" s="597"/>
      <c r="G37" s="354"/>
      <c r="H37" s="511"/>
      <c r="I37" s="354"/>
      <c r="J37" s="511"/>
      <c r="K37" s="354"/>
      <c r="L37" s="219"/>
      <c r="M37" s="354"/>
      <c r="N37" s="219"/>
      <c r="O37" s="354"/>
      <c r="P37" s="219"/>
      <c r="Q37" s="354"/>
      <c r="R37" s="219"/>
      <c r="S37" s="354"/>
      <c r="T37" s="219"/>
      <c r="U37" s="354"/>
      <c r="V37" s="219"/>
      <c r="W37" s="354"/>
      <c r="X37" s="219"/>
      <c r="Y37" s="354"/>
      <c r="Z37" s="219"/>
      <c r="AA37" s="937"/>
      <c r="AB37" s="1589">
        <f t="shared" si="2"/>
        <v>46.3</v>
      </c>
      <c r="AC37" s="3013"/>
      <c r="AD37" s="3214"/>
      <c r="AE37" s="3215">
        <f>+'Exhibit F'!AF32+'Exhibit G'!AG25</f>
        <v>44.8</v>
      </c>
      <c r="AF37" s="3013"/>
      <c r="AG37" s="3013"/>
      <c r="AH37" s="872">
        <f t="shared" si="3"/>
        <v>1.5</v>
      </c>
      <c r="AI37" s="1001"/>
      <c r="AJ37" s="1678">
        <f t="shared" si="4"/>
        <v>3.3000000000000002E-2</v>
      </c>
    </row>
    <row r="38" spans="1:36" ht="16.5" customHeight="1">
      <c r="A38" s="651" t="s">
        <v>1000</v>
      </c>
      <c r="B38" s="651"/>
      <c r="C38" s="354">
        <f>+'Exhibit F'!D33+'Exhibit G'!D26+'Exhibit I'!E22</f>
        <v>12</v>
      </c>
      <c r="D38" s="597"/>
      <c r="E38" s="354">
        <f>+'Exhibit F'!F33+'Exhibit G'!F26+'Exhibit I'!G22</f>
        <v>10.499999999999998</v>
      </c>
      <c r="F38" s="597"/>
      <c r="G38" s="354"/>
      <c r="H38" s="511"/>
      <c r="I38" s="354"/>
      <c r="J38" s="511"/>
      <c r="K38" s="354"/>
      <c r="L38" s="219"/>
      <c r="M38" s="354"/>
      <c r="N38" s="219"/>
      <c r="O38" s="354"/>
      <c r="P38" s="219"/>
      <c r="Q38" s="354"/>
      <c r="R38" s="219"/>
      <c r="S38" s="354"/>
      <c r="T38" s="219"/>
      <c r="U38" s="354"/>
      <c r="V38" s="219"/>
      <c r="W38" s="354"/>
      <c r="X38" s="219"/>
      <c r="Y38" s="354"/>
      <c r="Z38" s="219"/>
      <c r="AA38" s="937"/>
      <c r="AB38" s="1589">
        <f t="shared" si="2"/>
        <v>22.5</v>
      </c>
      <c r="AC38" s="3013"/>
      <c r="AD38" s="3214"/>
      <c r="AE38" s="3215">
        <f>+'Exhibit F'!AF33+'Exhibit G'!AG26+'Exhibit I'!AI22</f>
        <v>25.1</v>
      </c>
      <c r="AF38" s="3013"/>
      <c r="AG38" s="3013"/>
      <c r="AH38" s="872">
        <f t="shared" si="3"/>
        <v>-2.6</v>
      </c>
      <c r="AI38" s="1001"/>
      <c r="AJ38" s="3219">
        <f t="shared" si="4"/>
        <v>-0.104</v>
      </c>
    </row>
    <row r="39" spans="1:36" ht="16.5" customHeight="1">
      <c r="A39" s="651" t="s">
        <v>1310</v>
      </c>
      <c r="B39" s="651"/>
      <c r="C39" s="354">
        <f>'Exhibit F'!D34+'Exhibit G'!D27</f>
        <v>-0.1</v>
      </c>
      <c r="D39" s="597"/>
      <c r="E39" s="354">
        <f>'Exhibit F'!F34+'Exhibit G'!F27</f>
        <v>0.1</v>
      </c>
      <c r="F39" s="597"/>
      <c r="G39" s="354"/>
      <c r="H39" s="511"/>
      <c r="I39" s="354"/>
      <c r="J39" s="511"/>
      <c r="K39" s="354"/>
      <c r="L39" s="1491"/>
      <c r="M39" s="354"/>
      <c r="N39" s="1491"/>
      <c r="O39" s="354"/>
      <c r="P39" s="1491"/>
      <c r="Q39" s="354"/>
      <c r="R39" s="1491"/>
      <c r="S39" s="354"/>
      <c r="T39" s="1491"/>
      <c r="U39" s="354"/>
      <c r="V39" s="1491"/>
      <c r="W39" s="354"/>
      <c r="X39" s="1491"/>
      <c r="Y39" s="354"/>
      <c r="Z39" s="1491"/>
      <c r="AA39" s="937"/>
      <c r="AB39" s="1589">
        <f>ROUND(SUM(C39:Y39),1)</f>
        <v>0</v>
      </c>
      <c r="AC39" s="3013"/>
      <c r="AD39" s="3214"/>
      <c r="AE39" s="3215">
        <f>+'Exhibit F'!AF34+'Exhibit G'!AG27</f>
        <v>0.2</v>
      </c>
      <c r="AF39" s="3013"/>
      <c r="AG39" s="3013"/>
      <c r="AH39" s="872">
        <f>ROUND(SUM(+AB39-AE39),1)</f>
        <v>-0.2</v>
      </c>
      <c r="AI39" s="1001"/>
      <c r="AJ39" s="3219">
        <f>ROUND(IF(AE39=0,1,AH39/ABS(AE39)),3)</f>
        <v>-1</v>
      </c>
    </row>
    <row r="40" spans="1:36" ht="16.5" customHeight="1">
      <c r="A40" s="651" t="s">
        <v>1312</v>
      </c>
      <c r="B40" s="651"/>
      <c r="C40" s="354">
        <f>'Exhibit F'!D35</f>
        <v>6.4</v>
      </c>
      <c r="D40" s="597"/>
      <c r="E40" s="354">
        <f>'Exhibit F'!F35</f>
        <v>1</v>
      </c>
      <c r="F40" s="597"/>
      <c r="G40" s="354"/>
      <c r="H40" s="511"/>
      <c r="I40" s="354"/>
      <c r="J40" s="511"/>
      <c r="K40" s="354"/>
      <c r="L40" s="1491"/>
      <c r="M40" s="354"/>
      <c r="N40" s="1491"/>
      <c r="O40" s="354"/>
      <c r="P40" s="1491"/>
      <c r="Q40" s="354"/>
      <c r="R40" s="1491"/>
      <c r="S40" s="354"/>
      <c r="T40" s="1491"/>
      <c r="U40" s="354"/>
      <c r="V40" s="1491"/>
      <c r="W40" s="354"/>
      <c r="X40" s="1491"/>
      <c r="Y40" s="354"/>
      <c r="Z40" s="1491"/>
      <c r="AA40" s="510"/>
      <c r="AB40" s="1589">
        <f t="shared" si="2"/>
        <v>7.4</v>
      </c>
      <c r="AC40" s="3013"/>
      <c r="AD40" s="3214"/>
      <c r="AE40" s="3215">
        <f>+'Exhibit F'!AF35</f>
        <v>6.8</v>
      </c>
      <c r="AF40" s="3013"/>
      <c r="AG40" s="3013"/>
      <c r="AH40" s="872">
        <f t="shared" ref="AH40" si="5">ROUND(SUM(+AB40-AE40),1)</f>
        <v>0.6</v>
      </c>
      <c r="AI40" s="1001"/>
      <c r="AJ40" s="3219">
        <f>ROUND(IF(AE40=0,1,AH40/ABS(AE40)),3)</f>
        <v>8.7999999999999995E-2</v>
      </c>
    </row>
    <row r="41" spans="1:36" ht="16.5" customHeight="1">
      <c r="A41" s="304" t="s">
        <v>994</v>
      </c>
      <c r="B41" s="651"/>
      <c r="C41" s="863">
        <f>ROUND(SUM(C32:C40),1)</f>
        <v>1546.2</v>
      </c>
      <c r="D41" s="23"/>
      <c r="E41" s="863">
        <f>ROUND(SUM(E32:E40),1)</f>
        <v>1544.3</v>
      </c>
      <c r="F41" s="23"/>
      <c r="G41" s="863">
        <f>ROUND(SUM(G32:G40),1)</f>
        <v>0</v>
      </c>
      <c r="H41" s="219"/>
      <c r="I41" s="863">
        <f>ROUND(SUM(I32:I40),1)</f>
        <v>0</v>
      </c>
      <c r="J41" s="219"/>
      <c r="K41" s="863">
        <f>ROUND(SUM(K32:K40),1)</f>
        <v>0</v>
      </c>
      <c r="L41" s="219"/>
      <c r="M41" s="863">
        <f>ROUND(SUM(M32:M40),1)</f>
        <v>0</v>
      </c>
      <c r="N41" s="219"/>
      <c r="O41" s="3019">
        <f>ROUND(SUM(O32:O40),1)</f>
        <v>0</v>
      </c>
      <c r="P41" s="219"/>
      <c r="Q41" s="3019">
        <f>ROUND(SUM(Q32:Q40),1)</f>
        <v>0</v>
      </c>
      <c r="R41" s="219"/>
      <c r="S41" s="863">
        <f>ROUND(SUM(S32:S40),1)</f>
        <v>0</v>
      </c>
      <c r="T41" s="219"/>
      <c r="U41" s="863">
        <f>ROUND(SUM(U32:U40),1)</f>
        <v>0</v>
      </c>
      <c r="V41" s="219"/>
      <c r="W41" s="863">
        <f>ROUND(SUM(W32:W40),1)</f>
        <v>0</v>
      </c>
      <c r="X41" s="219"/>
      <c r="Y41" s="863">
        <f>ROUND(SUM(Y32:Y40),1)</f>
        <v>0</v>
      </c>
      <c r="Z41" s="219"/>
      <c r="AA41" s="937"/>
      <c r="AB41" s="3019">
        <f>ROUND(SUM(AB32:AB40),1)</f>
        <v>3090.5</v>
      </c>
      <c r="AC41" s="3013"/>
      <c r="AD41" s="3214"/>
      <c r="AE41" s="3019">
        <f>ROUND(SUM(AE32:AE40),1)</f>
        <v>2889.5</v>
      </c>
      <c r="AF41" s="3013"/>
      <c r="AG41" s="3013"/>
      <c r="AH41" s="1497">
        <f>ROUND(SUM(AH32:AH40),1)</f>
        <v>201</v>
      </c>
      <c r="AI41" s="109"/>
      <c r="AJ41" s="3220">
        <f t="shared" si="4"/>
        <v>7.0000000000000007E-2</v>
      </c>
    </row>
    <row r="42" spans="1:36" ht="16.5" customHeight="1">
      <c r="A42" s="1028" t="s">
        <v>1040</v>
      </c>
      <c r="B42" s="651"/>
      <c r="C42" s="594"/>
      <c r="D42" s="594"/>
      <c r="E42" s="594"/>
      <c r="F42" s="594"/>
      <c r="G42" s="594"/>
      <c r="H42" s="219"/>
      <c r="I42" s="594"/>
      <c r="J42" s="219"/>
      <c r="K42" s="594"/>
      <c r="L42" s="219"/>
      <c r="M42" s="594"/>
      <c r="N42" s="219"/>
      <c r="O42" s="3299"/>
      <c r="P42" s="219"/>
      <c r="Q42" s="3299"/>
      <c r="R42" s="219"/>
      <c r="S42" s="594"/>
      <c r="T42" s="219"/>
      <c r="U42" s="594"/>
      <c r="V42" s="219"/>
      <c r="W42" s="594"/>
      <c r="X42" s="219"/>
      <c r="Y42" s="594"/>
      <c r="Z42" s="219"/>
      <c r="AA42" s="937"/>
      <c r="AB42" s="3013"/>
      <c r="AC42" s="3013"/>
      <c r="AD42" s="3214"/>
      <c r="AE42" s="3217"/>
      <c r="AF42" s="3013"/>
      <c r="AG42" s="3013"/>
      <c r="AH42" s="109"/>
      <c r="AI42" s="109"/>
      <c r="AJ42" s="3218"/>
    </row>
    <row r="43" spans="1:36" ht="16.5" customHeight="1">
      <c r="A43" s="651" t="s">
        <v>1002</v>
      </c>
      <c r="B43" s="651"/>
      <c r="C43" s="354">
        <f>+'Exhibit F'!D38+'Exhibit G'!D30+'Exhibit I'!E25</f>
        <v>1205</v>
      </c>
      <c r="D43" s="597"/>
      <c r="E43" s="354">
        <f>+'Exhibit F'!F38+'Exhibit G'!F30+'Exhibit I'!G25</f>
        <v>141.99999999999986</v>
      </c>
      <c r="F43" s="597"/>
      <c r="G43" s="354"/>
      <c r="H43" s="511"/>
      <c r="I43" s="354"/>
      <c r="J43" s="511"/>
      <c r="K43" s="354"/>
      <c r="L43" s="219"/>
      <c r="M43" s="354"/>
      <c r="N43" s="219"/>
      <c r="O43" s="354"/>
      <c r="P43" s="219"/>
      <c r="Q43" s="354"/>
      <c r="R43" s="219"/>
      <c r="S43" s="354"/>
      <c r="T43" s="219"/>
      <c r="U43" s="354"/>
      <c r="V43" s="219"/>
      <c r="W43" s="354"/>
      <c r="X43" s="219"/>
      <c r="Y43" s="354"/>
      <c r="Z43" s="219"/>
      <c r="AA43" s="937"/>
      <c r="AB43" s="1589">
        <f t="shared" ref="AB43:AB48" si="6">ROUND(SUM(C43:Y43),1)</f>
        <v>1347</v>
      </c>
      <c r="AC43" s="3013"/>
      <c r="AD43" s="3214"/>
      <c r="AE43" s="3215">
        <f>+'Exhibit F'!AF38+'Exhibit G'!AG30+'Exhibit I'!AI25</f>
        <v>874.4</v>
      </c>
      <c r="AF43" s="3013"/>
      <c r="AG43" s="3013"/>
      <c r="AH43" s="872">
        <f t="shared" ref="AH43:AH48" si="7">ROUND(SUM(+AB43-AE43),1)</f>
        <v>472.6</v>
      </c>
      <c r="AI43" s="109"/>
      <c r="AJ43" s="1678">
        <f t="shared" ref="AJ43:AJ49" si="8">ROUND(IF(AE43=0,0,AH43/ABS(AE43)),3)</f>
        <v>0.54</v>
      </c>
    </row>
    <row r="44" spans="1:36" ht="16.5" customHeight="1">
      <c r="A44" s="651" t="s">
        <v>1003</v>
      </c>
      <c r="B44" s="651"/>
      <c r="C44" s="354">
        <f>+'Exhibit F'!D39+'Exhibit G'!D31+'Exhibit I'!E26</f>
        <v>9.7999999999999989</v>
      </c>
      <c r="D44" s="597"/>
      <c r="E44" s="354">
        <f>+'Exhibit F'!F39+'Exhibit G'!F31+'Exhibit I'!G26</f>
        <v>1.1999999999999997</v>
      </c>
      <c r="F44" s="597"/>
      <c r="G44" s="354"/>
      <c r="H44" s="511"/>
      <c r="I44" s="354"/>
      <c r="J44" s="511"/>
      <c r="K44" s="354"/>
      <c r="L44" s="219"/>
      <c r="M44" s="354"/>
      <c r="N44" s="219"/>
      <c r="O44" s="354"/>
      <c r="P44" s="219"/>
      <c r="Q44" s="354"/>
      <c r="R44" s="219"/>
      <c r="S44" s="354"/>
      <c r="T44" s="219"/>
      <c r="U44" s="354"/>
      <c r="V44" s="219"/>
      <c r="W44" s="354"/>
      <c r="X44" s="219"/>
      <c r="Y44" s="354"/>
      <c r="Z44" s="219"/>
      <c r="AA44" s="937"/>
      <c r="AB44" s="1589">
        <f t="shared" si="6"/>
        <v>11</v>
      </c>
      <c r="AC44" s="3013"/>
      <c r="AD44" s="3214"/>
      <c r="AE44" s="3215">
        <f>+'Exhibit F'!AF39+'Exhibit G'!AG31+'Exhibit I'!AI26</f>
        <v>52.1</v>
      </c>
      <c r="AF44" s="3013"/>
      <c r="AG44" s="3013"/>
      <c r="AH44" s="872">
        <f t="shared" si="7"/>
        <v>-41.1</v>
      </c>
      <c r="AI44" s="109"/>
      <c r="AJ44" s="3219">
        <f t="shared" si="8"/>
        <v>-0.78900000000000003</v>
      </c>
    </row>
    <row r="45" spans="1:36" ht="16.5" customHeight="1">
      <c r="A45" s="651" t="s">
        <v>1004</v>
      </c>
      <c r="B45" s="651"/>
      <c r="C45" s="354">
        <f>+'Exhibit F'!D40+'Exhibit G'!D32</f>
        <v>109.7</v>
      </c>
      <c r="D45" s="597"/>
      <c r="E45" s="354">
        <f>+'Exhibit F'!F40+'Exhibit G'!F32</f>
        <v>40.100000000000009</v>
      </c>
      <c r="F45" s="597"/>
      <c r="G45" s="354"/>
      <c r="H45" s="511"/>
      <c r="I45" s="354"/>
      <c r="J45" s="511"/>
      <c r="K45" s="354"/>
      <c r="L45" s="219"/>
      <c r="M45" s="354"/>
      <c r="N45" s="219"/>
      <c r="O45" s="354"/>
      <c r="P45" s="219"/>
      <c r="Q45" s="354"/>
      <c r="R45" s="219"/>
      <c r="S45" s="354"/>
      <c r="T45" s="219"/>
      <c r="U45" s="354"/>
      <c r="V45" s="219"/>
      <c r="W45" s="354"/>
      <c r="X45" s="219"/>
      <c r="Y45" s="354"/>
      <c r="Z45" s="219"/>
      <c r="AA45" s="937"/>
      <c r="AB45" s="1589">
        <f t="shared" si="6"/>
        <v>149.80000000000001</v>
      </c>
      <c r="AC45" s="3013"/>
      <c r="AD45" s="3214"/>
      <c r="AE45" s="3215">
        <f>+'Exhibit F'!AF40+'Exhibit G'!AG32</f>
        <v>121.5</v>
      </c>
      <c r="AF45" s="3013"/>
      <c r="AG45" s="3013"/>
      <c r="AH45" s="872">
        <f t="shared" si="7"/>
        <v>28.3</v>
      </c>
      <c r="AI45" s="109"/>
      <c r="AJ45" s="1678">
        <f t="shared" si="8"/>
        <v>0.23300000000000001</v>
      </c>
    </row>
    <row r="46" spans="1:36" ht="16.5" customHeight="1">
      <c r="A46" s="651" t="s">
        <v>1005</v>
      </c>
      <c r="B46" s="651"/>
      <c r="C46" s="354">
        <f>+'Exhibit F'!D41+'Exhibit G'!D33</f>
        <v>0</v>
      </c>
      <c r="D46" s="597"/>
      <c r="E46" s="354">
        <f>+'Exhibit F'!F41+'Exhibit G'!F33</f>
        <v>0</v>
      </c>
      <c r="F46" s="597"/>
      <c r="G46" s="354"/>
      <c r="H46" s="511"/>
      <c r="I46" s="354"/>
      <c r="J46" s="511"/>
      <c r="K46" s="354"/>
      <c r="L46" s="219"/>
      <c r="M46" s="354"/>
      <c r="N46" s="219"/>
      <c r="O46" s="354"/>
      <c r="P46" s="219"/>
      <c r="Q46" s="354"/>
      <c r="R46" s="219"/>
      <c r="S46" s="354"/>
      <c r="T46" s="219"/>
      <c r="U46" s="354"/>
      <c r="V46" s="219"/>
      <c r="W46" s="354"/>
      <c r="X46" s="219"/>
      <c r="Y46" s="354"/>
      <c r="Z46" s="219"/>
      <c r="AA46" s="937"/>
      <c r="AB46" s="1589">
        <f t="shared" si="6"/>
        <v>0</v>
      </c>
      <c r="AC46" s="3013"/>
      <c r="AD46" s="3214"/>
      <c r="AE46" s="3215">
        <f>+'Exhibit F'!AF41+'Exhibit G'!AG33</f>
        <v>-2.8</v>
      </c>
      <c r="AF46" s="3013"/>
      <c r="AG46" s="3013"/>
      <c r="AH46" s="872">
        <f t="shared" si="7"/>
        <v>2.8</v>
      </c>
      <c r="AI46" s="109"/>
      <c r="AJ46" s="1682">
        <f>ROUND(IF(AE46=0,0,AH46/ABS(AE46)),3)</f>
        <v>1</v>
      </c>
    </row>
    <row r="47" spans="1:36" ht="16.5" customHeight="1">
      <c r="A47" s="651" t="s">
        <v>1452</v>
      </c>
      <c r="B47" s="651"/>
      <c r="C47" s="354">
        <f>+'Exhibit F'!D42+'Exhibit H'!B22</f>
        <v>181.2</v>
      </c>
      <c r="D47" s="597"/>
      <c r="E47" s="354">
        <f>+'Exhibit F'!F42+'Exhibit H'!D22</f>
        <v>-48.399999999999977</v>
      </c>
      <c r="F47" s="597"/>
      <c r="G47" s="354"/>
      <c r="H47" s="511"/>
      <c r="I47" s="354"/>
      <c r="J47" s="511"/>
      <c r="K47" s="354"/>
      <c r="L47" s="1491"/>
      <c r="M47" s="354"/>
      <c r="N47" s="1491"/>
      <c r="O47" s="354"/>
      <c r="P47" s="1491"/>
      <c r="Q47" s="354"/>
      <c r="R47" s="1491"/>
      <c r="S47" s="354"/>
      <c r="T47" s="1491"/>
      <c r="U47" s="354"/>
      <c r="V47" s="1491"/>
      <c r="W47" s="354"/>
      <c r="X47" s="1491"/>
      <c r="Y47" s="354"/>
      <c r="Z47" s="1491"/>
      <c r="AA47" s="937"/>
      <c r="AB47" s="1589">
        <f t="shared" si="6"/>
        <v>132.80000000000001</v>
      </c>
      <c r="AC47" s="3013"/>
      <c r="AD47" s="3214"/>
      <c r="AE47" s="3215">
        <f>+'Exhibit F'!AF42</f>
        <v>0</v>
      </c>
      <c r="AF47" s="3013"/>
      <c r="AG47" s="3013"/>
      <c r="AH47" s="872">
        <f t="shared" si="7"/>
        <v>132.80000000000001</v>
      </c>
      <c r="AI47" s="109"/>
      <c r="AJ47" s="1682">
        <f>ROUND(IF(AE47=0,1,AH47/ABS(AE47)),3)</f>
        <v>1</v>
      </c>
    </row>
    <row r="48" spans="1:36" ht="16.5" customHeight="1">
      <c r="A48" s="651" t="s">
        <v>1006</v>
      </c>
      <c r="B48" s="651"/>
      <c r="C48" s="354">
        <f>+'Exhibit F'!D43+'Exhibit G'!D34+'Exhibit I'!E27</f>
        <v>84.7</v>
      </c>
      <c r="D48" s="597"/>
      <c r="E48" s="354">
        <f>+'Exhibit F'!F43+'Exhibit G'!F34+'Exhibit I'!G27</f>
        <v>89.59999999999998</v>
      </c>
      <c r="F48" s="597"/>
      <c r="G48" s="354"/>
      <c r="H48" s="511"/>
      <c r="I48" s="354"/>
      <c r="J48" s="511"/>
      <c r="K48" s="354"/>
      <c r="L48" s="219"/>
      <c r="M48" s="354"/>
      <c r="N48" s="219"/>
      <c r="O48" s="354"/>
      <c r="P48" s="219"/>
      <c r="Q48" s="354"/>
      <c r="R48" s="219"/>
      <c r="S48" s="354"/>
      <c r="T48" s="219"/>
      <c r="U48" s="354"/>
      <c r="V48" s="219"/>
      <c r="W48" s="354"/>
      <c r="X48" s="219"/>
      <c r="Y48" s="354"/>
      <c r="Z48" s="219"/>
      <c r="AA48" s="937"/>
      <c r="AB48" s="1589">
        <f t="shared" si="6"/>
        <v>174.3</v>
      </c>
      <c r="AC48" s="3013"/>
      <c r="AD48" s="3214"/>
      <c r="AE48" s="3215">
        <f>+'Exhibit F'!AF43+'Exhibit G'!AG34+'Exhibit I'!AI27</f>
        <v>159.1</v>
      </c>
      <c r="AF48" s="3013"/>
      <c r="AG48" s="3013"/>
      <c r="AH48" s="872">
        <f t="shared" si="7"/>
        <v>15.2</v>
      </c>
      <c r="AI48" s="109"/>
      <c r="AJ48" s="1678">
        <f t="shared" si="8"/>
        <v>9.6000000000000002E-2</v>
      </c>
    </row>
    <row r="49" spans="1:36" ht="16.5" customHeight="1">
      <c r="A49" s="304" t="s">
        <v>1001</v>
      </c>
      <c r="B49" s="651"/>
      <c r="C49" s="863">
        <f>ROUND(SUM(C43:C48),1)</f>
        <v>1590.4</v>
      </c>
      <c r="D49" s="23"/>
      <c r="E49" s="863">
        <f>ROUND(SUM(E43:E48),1)</f>
        <v>224.5</v>
      </c>
      <c r="F49" s="23"/>
      <c r="G49" s="863">
        <f>ROUND(SUM(G43:G48),1)</f>
        <v>0</v>
      </c>
      <c r="H49" s="219"/>
      <c r="I49" s="863">
        <f>ROUND(SUM(I43:I48),1)</f>
        <v>0</v>
      </c>
      <c r="J49" s="219"/>
      <c r="K49" s="863">
        <f>ROUND(SUM(K43:K48),1)</f>
        <v>0</v>
      </c>
      <c r="L49" s="219"/>
      <c r="M49" s="863">
        <f>ROUND(SUM(M43:M48),1)</f>
        <v>0</v>
      </c>
      <c r="N49" s="219"/>
      <c r="O49" s="3019">
        <f>ROUND(SUM(O43:O48),1)</f>
        <v>0</v>
      </c>
      <c r="P49" s="219"/>
      <c r="Q49" s="3019">
        <f>ROUND(SUM(Q43:Q48),1)</f>
        <v>0</v>
      </c>
      <c r="R49" s="219"/>
      <c r="S49" s="863">
        <f>ROUND(SUM(S43:S48),1)</f>
        <v>0</v>
      </c>
      <c r="T49" s="219"/>
      <c r="U49" s="863">
        <f>ROUND(SUM(U43:U48),1)</f>
        <v>0</v>
      </c>
      <c r="V49" s="219"/>
      <c r="W49" s="863">
        <f>ROUND(SUM(W43:W48),1)</f>
        <v>0</v>
      </c>
      <c r="X49" s="219"/>
      <c r="Y49" s="863">
        <f>ROUND(SUM(Y43:Y48),1)</f>
        <v>0</v>
      </c>
      <c r="Z49" s="219"/>
      <c r="AA49" s="937"/>
      <c r="AB49" s="3019">
        <f>ROUND(SUM(AB43:AB48),1)</f>
        <v>1814.9</v>
      </c>
      <c r="AC49" s="3013"/>
      <c r="AD49" s="3214"/>
      <c r="AE49" s="3019">
        <f>ROUND(SUM(AE43:AE48),1)</f>
        <v>1204.3</v>
      </c>
      <c r="AF49" s="3013"/>
      <c r="AG49" s="3013"/>
      <c r="AH49" s="3019">
        <f>ROUND(SUM(AH43:AH48),1)</f>
        <v>610.6</v>
      </c>
      <c r="AI49" s="109"/>
      <c r="AJ49" s="3220">
        <f t="shared" si="8"/>
        <v>0.50700000000000001</v>
      </c>
    </row>
    <row r="50" spans="1:36" ht="16.5" customHeight="1">
      <c r="A50" s="1028" t="s">
        <v>1041</v>
      </c>
      <c r="B50" s="651"/>
      <c r="C50" s="594"/>
      <c r="D50" s="594"/>
      <c r="E50" s="594"/>
      <c r="F50" s="594"/>
      <c r="G50" s="594"/>
      <c r="H50" s="219"/>
      <c r="I50" s="594"/>
      <c r="J50" s="219"/>
      <c r="K50" s="594"/>
      <c r="L50" s="219"/>
      <c r="M50" s="594"/>
      <c r="N50" s="219"/>
      <c r="O50" s="3299"/>
      <c r="P50" s="219"/>
      <c r="Q50" s="3299"/>
      <c r="R50" s="219"/>
      <c r="S50" s="594"/>
      <c r="T50" s="219"/>
      <c r="U50" s="594"/>
      <c r="V50" s="219"/>
      <c r="W50" s="594"/>
      <c r="X50" s="219"/>
      <c r="Y50" s="594"/>
      <c r="Z50" s="219"/>
      <c r="AA50" s="937"/>
      <c r="AB50" s="3013"/>
      <c r="AC50" s="3013"/>
      <c r="AD50" s="3214"/>
      <c r="AE50" s="3217"/>
      <c r="AF50" s="3013"/>
      <c r="AG50" s="3013"/>
      <c r="AH50" s="109"/>
      <c r="AI50" s="109"/>
      <c r="AJ50" s="3218"/>
    </row>
    <row r="51" spans="1:36" ht="16.5" customHeight="1">
      <c r="A51" s="651" t="s">
        <v>1009</v>
      </c>
      <c r="B51" s="651"/>
      <c r="C51" s="1337">
        <f>+'Exhibit F'!D46</f>
        <v>0</v>
      </c>
      <c r="D51" s="597"/>
      <c r="E51" s="1337">
        <f>+'Exhibit F'!F46</f>
        <v>0</v>
      </c>
      <c r="F51" s="597"/>
      <c r="G51" s="1337"/>
      <c r="H51" s="511"/>
      <c r="I51" s="1337"/>
      <c r="J51" s="511"/>
      <c r="K51" s="1337"/>
      <c r="L51" s="219"/>
      <c r="M51" s="1337"/>
      <c r="N51" s="219"/>
      <c r="O51" s="1337"/>
      <c r="P51" s="219"/>
      <c r="Q51" s="1337"/>
      <c r="R51" s="219"/>
      <c r="S51" s="1337"/>
      <c r="T51" s="219"/>
      <c r="U51" s="1337"/>
      <c r="V51" s="219"/>
      <c r="W51" s="1337"/>
      <c r="X51" s="219"/>
      <c r="Y51" s="1337"/>
      <c r="Z51" s="219"/>
      <c r="AA51" s="937"/>
      <c r="AB51" s="1589">
        <f t="shared" ref="AB51:AB55" si="9">ROUND(SUM(C51:Y51),1)</f>
        <v>0</v>
      </c>
      <c r="AC51" s="3013"/>
      <c r="AD51" s="3214"/>
      <c r="AE51" s="1741">
        <f>+'Exhibit F'!AF46</f>
        <v>0</v>
      </c>
      <c r="AF51" s="2992"/>
      <c r="AG51" s="2992"/>
      <c r="AH51" s="1943">
        <f t="shared" ref="AH51:AH55" si="10">ROUND(SUM(+AB51-AE51),1)</f>
        <v>0</v>
      </c>
      <c r="AI51" s="1430"/>
      <c r="AJ51" s="1677">
        <f>-ROUND(IF(AE51=0,0,AH51/ABS(AE51)),3)</f>
        <v>0</v>
      </c>
    </row>
    <row r="52" spans="1:36" ht="16.5" customHeight="1">
      <c r="A52" s="651" t="s">
        <v>1010</v>
      </c>
      <c r="B52" s="651"/>
      <c r="C52" s="354">
        <f>+'Exhibit F'!D47</f>
        <v>127.3</v>
      </c>
      <c r="D52" s="597"/>
      <c r="E52" s="354">
        <f>+'Exhibit F'!F47</f>
        <v>126.00000000000001</v>
      </c>
      <c r="F52" s="597"/>
      <c r="G52" s="354"/>
      <c r="H52" s="511"/>
      <c r="I52" s="354"/>
      <c r="J52" s="511"/>
      <c r="K52" s="354"/>
      <c r="L52" s="511"/>
      <c r="M52" s="354"/>
      <c r="N52" s="219"/>
      <c r="O52" s="354"/>
      <c r="P52" s="219"/>
      <c r="Q52" s="354"/>
      <c r="R52" s="219"/>
      <c r="S52" s="354"/>
      <c r="T52" s="219"/>
      <c r="U52" s="354"/>
      <c r="V52" s="219"/>
      <c r="W52" s="354"/>
      <c r="X52" s="219"/>
      <c r="Y52" s="354"/>
      <c r="Z52" s="219"/>
      <c r="AA52" s="937"/>
      <c r="AB52" s="1589">
        <f t="shared" si="9"/>
        <v>253.3</v>
      </c>
      <c r="AC52" s="3013"/>
      <c r="AD52" s="3214"/>
      <c r="AE52" s="3215">
        <f>+'Exhibit F'!AF47</f>
        <v>236.8</v>
      </c>
      <c r="AF52" s="3013"/>
      <c r="AG52" s="3013"/>
      <c r="AH52" s="872">
        <f t="shared" si="10"/>
        <v>16.5</v>
      </c>
      <c r="AI52" s="109"/>
      <c r="AJ52" s="1678">
        <f t="shared" ref="AJ52:AJ57" si="11">ROUND(IF(AE52=0,0,AH52/ABS(AE52)),3)</f>
        <v>7.0000000000000007E-2</v>
      </c>
    </row>
    <row r="53" spans="1:36" ht="16.5" customHeight="1">
      <c r="A53" s="651" t="s">
        <v>1011</v>
      </c>
      <c r="B53" s="651"/>
      <c r="C53" s="354">
        <f>+'Exhibit F'!D48</f>
        <v>1.5</v>
      </c>
      <c r="D53" s="597"/>
      <c r="E53" s="354">
        <f>+'Exhibit F'!F48</f>
        <v>1.1000000000000001</v>
      </c>
      <c r="F53" s="597"/>
      <c r="G53" s="354"/>
      <c r="H53" s="511"/>
      <c r="I53" s="354"/>
      <c r="J53" s="511"/>
      <c r="K53" s="354"/>
      <c r="L53" s="511"/>
      <c r="M53" s="354"/>
      <c r="N53" s="219"/>
      <c r="O53" s="354"/>
      <c r="P53" s="219"/>
      <c r="Q53" s="354"/>
      <c r="R53" s="219"/>
      <c r="S53" s="354"/>
      <c r="T53" s="219"/>
      <c r="U53" s="354"/>
      <c r="V53" s="219"/>
      <c r="W53" s="354"/>
      <c r="X53" s="219"/>
      <c r="Y53" s="354"/>
      <c r="Z53" s="219"/>
      <c r="AA53" s="937"/>
      <c r="AB53" s="1589">
        <f t="shared" si="9"/>
        <v>2.6</v>
      </c>
      <c r="AC53" s="3013"/>
      <c r="AD53" s="3214"/>
      <c r="AE53" s="3215">
        <f>+'Exhibit F'!AF48</f>
        <v>2.4</v>
      </c>
      <c r="AF53" s="3013"/>
      <c r="AG53" s="3013"/>
      <c r="AH53" s="872">
        <f t="shared" si="10"/>
        <v>0.2</v>
      </c>
      <c r="AI53" s="109"/>
      <c r="AJ53" s="1678">
        <f t="shared" si="11"/>
        <v>8.3000000000000004E-2</v>
      </c>
    </row>
    <row r="54" spans="1:36" ht="16.5" customHeight="1">
      <c r="A54" s="651" t="s">
        <v>1012</v>
      </c>
      <c r="B54" s="651"/>
      <c r="C54" s="354">
        <f>+'Exhibit F'!D49+'Exhibit H'!B25+'Exhibit I'!E30</f>
        <v>152.4</v>
      </c>
      <c r="D54" s="597"/>
      <c r="E54" s="354">
        <f>+'Exhibit F'!F49+'Exhibit H'!D25+'Exhibit I'!G30</f>
        <v>129.99999999999997</v>
      </c>
      <c r="F54" s="597"/>
      <c r="G54" s="354"/>
      <c r="H54" s="511"/>
      <c r="I54" s="354"/>
      <c r="J54" s="511"/>
      <c r="K54" s="354"/>
      <c r="L54" s="511"/>
      <c r="M54" s="354"/>
      <c r="N54" s="219"/>
      <c r="O54" s="354"/>
      <c r="P54" s="219"/>
      <c r="Q54" s="354"/>
      <c r="R54" s="219"/>
      <c r="S54" s="354"/>
      <c r="T54" s="219"/>
      <c r="U54" s="354"/>
      <c r="V54" s="219"/>
      <c r="W54" s="354"/>
      <c r="X54" s="219"/>
      <c r="Y54" s="354"/>
      <c r="Z54" s="219"/>
      <c r="AA54" s="937"/>
      <c r="AB54" s="1589">
        <f t="shared" si="9"/>
        <v>282.39999999999998</v>
      </c>
      <c r="AC54" s="3013"/>
      <c r="AD54" s="3214"/>
      <c r="AE54" s="3215">
        <f>+'Exhibit F'!AF49+'Exhibit H'!AD25+'Exhibit I'!AI30</f>
        <v>207.4</v>
      </c>
      <c r="AF54" s="3013"/>
      <c r="AG54" s="3013"/>
      <c r="AH54" s="872">
        <f t="shared" si="10"/>
        <v>75</v>
      </c>
      <c r="AI54" s="109"/>
      <c r="AJ54" s="1678">
        <f t="shared" si="11"/>
        <v>0.36199999999999999</v>
      </c>
    </row>
    <row r="55" spans="1:36" ht="16.5" customHeight="1">
      <c r="A55" s="651" t="s">
        <v>1455</v>
      </c>
      <c r="B55" s="651"/>
      <c r="C55" s="354">
        <f>+'Exhibit F'!D50</f>
        <v>0</v>
      </c>
      <c r="D55" s="597"/>
      <c r="E55" s="354">
        <f>+'Exhibit F'!F50</f>
        <v>0.2</v>
      </c>
      <c r="F55" s="597"/>
      <c r="G55" s="354"/>
      <c r="H55" s="511"/>
      <c r="I55" s="354"/>
      <c r="J55" s="511"/>
      <c r="K55" s="354"/>
      <c r="L55" s="511"/>
      <c r="M55" s="354"/>
      <c r="N55" s="219"/>
      <c r="O55" s="354"/>
      <c r="P55" s="219"/>
      <c r="Q55" s="354"/>
      <c r="R55" s="219"/>
      <c r="S55" s="354"/>
      <c r="T55" s="219"/>
      <c r="U55" s="354"/>
      <c r="V55" s="219"/>
      <c r="W55" s="354"/>
      <c r="X55" s="219"/>
      <c r="Y55" s="354"/>
      <c r="Z55" s="219"/>
      <c r="AA55" s="937"/>
      <c r="AB55" s="1589">
        <f t="shared" si="9"/>
        <v>0.2</v>
      </c>
      <c r="AC55" s="3013"/>
      <c r="AD55" s="3214"/>
      <c r="AE55" s="3215">
        <f>+'Exhibit F'!AF50</f>
        <v>0</v>
      </c>
      <c r="AF55" s="3013"/>
      <c r="AG55" s="3013"/>
      <c r="AH55" s="872">
        <f t="shared" si="10"/>
        <v>0.2</v>
      </c>
      <c r="AI55" s="109"/>
      <c r="AJ55" s="1682">
        <f>ROUND(IF(AE55=0,1,AH55/ABS(AE55)),3)</f>
        <v>1</v>
      </c>
    </row>
    <row r="56" spans="1:36" ht="16.5" customHeight="1">
      <c r="A56" s="2683" t="s">
        <v>1257</v>
      </c>
      <c r="B56" s="651"/>
      <c r="C56" s="354">
        <f>+'Exhibit F'!D51+'Exhibit H'!B26</f>
        <v>0.4</v>
      </c>
      <c r="D56" s="597"/>
      <c r="E56" s="354">
        <f>+'Exhibit F'!F51+'Exhibit H'!D26</f>
        <v>0.19999999999999996</v>
      </c>
      <c r="F56" s="597"/>
      <c r="G56" s="354"/>
      <c r="H56" s="511"/>
      <c r="I56" s="354"/>
      <c r="J56" s="511"/>
      <c r="K56" s="354"/>
      <c r="L56" s="1491"/>
      <c r="M56" s="354"/>
      <c r="N56" s="1491"/>
      <c r="O56" s="354"/>
      <c r="P56" s="1491"/>
      <c r="Q56" s="354"/>
      <c r="R56" s="1491"/>
      <c r="S56" s="354"/>
      <c r="T56" s="1491"/>
      <c r="U56" s="354"/>
      <c r="V56" s="1491"/>
      <c r="W56" s="354"/>
      <c r="X56" s="1491"/>
      <c r="Y56" s="354"/>
      <c r="Z56" s="1491"/>
      <c r="AA56" s="937"/>
      <c r="AB56" s="1589">
        <f t="shared" ref="AB56" si="12">ROUND(SUM(C56:Y56),1)</f>
        <v>0.6</v>
      </c>
      <c r="AC56" s="3013"/>
      <c r="AD56" s="3214"/>
      <c r="AE56" s="3215">
        <f>+'Exhibit F'!AF51+'Exhibit H'!AD26</f>
        <v>0.4</v>
      </c>
      <c r="AF56" s="3013"/>
      <c r="AG56" s="3013"/>
      <c r="AH56" s="872">
        <f>ROUND(SUM(+AB56-AE56),1)</f>
        <v>0.2</v>
      </c>
      <c r="AI56" s="3216"/>
      <c r="AJ56" s="1764">
        <f>ROUND(IF(AE56=0,1,AH56/ABS(AE56)),3)</f>
        <v>0.5</v>
      </c>
    </row>
    <row r="57" spans="1:36" ht="16.5" customHeight="1">
      <c r="A57" s="304" t="s">
        <v>1007</v>
      </c>
      <c r="B57" s="651"/>
      <c r="C57" s="863">
        <f>ROUND(SUM(C51:C56),1)</f>
        <v>281.60000000000002</v>
      </c>
      <c r="D57" s="23"/>
      <c r="E57" s="863">
        <f>ROUND(SUM(E51:E56),1)</f>
        <v>257.5</v>
      </c>
      <c r="F57" s="23"/>
      <c r="G57" s="863">
        <f>ROUND(SUM(G51:G56),1)</f>
        <v>0</v>
      </c>
      <c r="H57" s="219"/>
      <c r="I57" s="863">
        <f>ROUND(SUM(I51:I56),1)</f>
        <v>0</v>
      </c>
      <c r="J57" s="219"/>
      <c r="K57" s="863">
        <f>ROUND(SUM(K51:K56),1)</f>
        <v>0</v>
      </c>
      <c r="L57" s="219"/>
      <c r="M57" s="863">
        <f>ROUND(SUM(M51:M56),1)</f>
        <v>0</v>
      </c>
      <c r="N57" s="219"/>
      <c r="O57" s="3019">
        <f>ROUND(SUM(O51:O56),1)</f>
        <v>0</v>
      </c>
      <c r="P57" s="219"/>
      <c r="Q57" s="3019">
        <f>ROUND(SUM(Q51:Q56),1)</f>
        <v>0</v>
      </c>
      <c r="R57" s="219"/>
      <c r="S57" s="863">
        <f>ROUND(SUM(S51:S56),1)</f>
        <v>0</v>
      </c>
      <c r="T57" s="219"/>
      <c r="U57" s="863">
        <f>ROUND(SUM(U51:U56),1)</f>
        <v>0</v>
      </c>
      <c r="V57" s="219"/>
      <c r="W57" s="863">
        <f>ROUND(SUM(W51:W56),1)</f>
        <v>0</v>
      </c>
      <c r="X57" s="219"/>
      <c r="Y57" s="863">
        <f>ROUND(SUM(Y51:Y56),1)</f>
        <v>0</v>
      </c>
      <c r="Z57" s="219"/>
      <c r="AA57" s="937"/>
      <c r="AB57" s="3019">
        <f>ROUND(SUM(AB51:AB56),1)</f>
        <v>539.1</v>
      </c>
      <c r="AC57" s="3013"/>
      <c r="AD57" s="3214"/>
      <c r="AE57" s="3019">
        <f>ROUND(SUM(AE51:AE56),1)</f>
        <v>447</v>
      </c>
      <c r="AF57" s="3013"/>
      <c r="AG57" s="3013"/>
      <c r="AH57" s="3019">
        <f>ROUND(SUM(AH51:AH56),1)</f>
        <v>92.1</v>
      </c>
      <c r="AI57" s="109"/>
      <c r="AJ57" s="3220">
        <f t="shared" si="11"/>
        <v>0.20599999999999999</v>
      </c>
    </row>
    <row r="58" spans="1:36" ht="16.5" customHeight="1">
      <c r="A58" s="304"/>
      <c r="B58" s="651"/>
      <c r="C58" s="24"/>
      <c r="D58" s="24"/>
      <c r="E58" s="24"/>
      <c r="F58" s="24"/>
      <c r="G58" s="24"/>
      <c r="H58" s="1052"/>
      <c r="I58" s="24"/>
      <c r="J58" s="1052"/>
      <c r="K58" s="24"/>
      <c r="L58" s="1052"/>
      <c r="M58" s="24"/>
      <c r="N58" s="1052"/>
      <c r="O58" s="3300"/>
      <c r="P58" s="1052"/>
      <c r="Q58" s="3300"/>
      <c r="R58" s="1052"/>
      <c r="S58" s="24"/>
      <c r="T58" s="1052"/>
      <c r="U58" s="24"/>
      <c r="V58" s="1052"/>
      <c r="W58" s="24"/>
      <c r="X58" s="1052"/>
      <c r="Y58" s="24"/>
      <c r="Z58" s="219"/>
      <c r="AA58" s="510"/>
      <c r="AB58" s="3020"/>
      <c r="AC58" s="3013"/>
      <c r="AD58" s="3214"/>
      <c r="AE58" s="3020"/>
      <c r="AF58" s="3013"/>
      <c r="AG58" s="3013"/>
      <c r="AH58" s="630"/>
      <c r="AI58" s="3013"/>
      <c r="AJ58" s="630"/>
    </row>
    <row r="59" spans="1:36" ht="16.5" customHeight="1">
      <c r="A59" s="304" t="s">
        <v>1008</v>
      </c>
      <c r="B59" s="27"/>
      <c r="C59" s="25">
        <f>ROUND(SUM(C57+C49+C41+C30),1)</f>
        <v>18139.8</v>
      </c>
      <c r="D59" s="61"/>
      <c r="E59" s="25">
        <f>ROUND(SUM(E57+E49+E41+E30),1)</f>
        <v>4750.5</v>
      </c>
      <c r="F59" s="61"/>
      <c r="G59" s="25">
        <f>ROUND(SUM(G57+G49+G41+G30),1)</f>
        <v>0</v>
      </c>
      <c r="H59" s="61"/>
      <c r="I59" s="25">
        <f>ROUND(SUM(I57+I49+I41+I30),1)</f>
        <v>0</v>
      </c>
      <c r="J59" s="61"/>
      <c r="K59" s="25">
        <f>ROUND(SUM(K57+K49+K41+K30),1)</f>
        <v>0</v>
      </c>
      <c r="L59" s="61"/>
      <c r="M59" s="25">
        <f>ROUND(SUM(M57+M49+M41+M30),1)</f>
        <v>0</v>
      </c>
      <c r="N59" s="61"/>
      <c r="O59" s="3301">
        <f>ROUND(SUM(O57+O49+O41+O30),1)</f>
        <v>0</v>
      </c>
      <c r="P59" s="61"/>
      <c r="Q59" s="3301">
        <f>ROUND(SUM(Q57+Q49+Q41+Q30),1)</f>
        <v>0</v>
      </c>
      <c r="R59" s="61"/>
      <c r="S59" s="25">
        <f>ROUND(SUM(S57+S49+S41+S30),1)</f>
        <v>0</v>
      </c>
      <c r="T59" s="61"/>
      <c r="U59" s="25">
        <f>ROUND(SUM(U57+U49+U41+U30),1)</f>
        <v>0</v>
      </c>
      <c r="V59" s="61"/>
      <c r="W59" s="25">
        <f>ROUND(SUM(W57+W49+W41+W30),1)</f>
        <v>0</v>
      </c>
      <c r="X59" s="159"/>
      <c r="Y59" s="25">
        <f>ROUND(SUM(Y57+Y49+Y41+Y30),1)</f>
        <v>0</v>
      </c>
      <c r="Z59" s="159"/>
      <c r="AA59" s="42"/>
      <c r="AB59" s="307">
        <f>ROUND(+AB57+AB49+AB41+AB30,1)</f>
        <v>22890.3</v>
      </c>
      <c r="AC59" s="112"/>
      <c r="AD59" s="658"/>
      <c r="AE59" s="307">
        <f>ROUND(+AE57+AE49+AE41+AE30,1)</f>
        <v>20899.599999999999</v>
      </c>
      <c r="AF59" s="62"/>
      <c r="AG59" s="3221"/>
      <c r="AH59" s="307">
        <f>ROUND(+AH57+AH49+AH41+AH30,1)</f>
        <v>1990.7</v>
      </c>
      <c r="AI59" s="1001"/>
      <c r="AJ59" s="3222">
        <f>ROUND(IF(AE59=0,0,AH59/ABS(AE59)),3)</f>
        <v>9.5000000000000001E-2</v>
      </c>
    </row>
    <row r="60" spans="1:36" ht="16.5" customHeight="1">
      <c r="A60" s="219"/>
      <c r="B60" s="219"/>
      <c r="C60" s="511"/>
      <c r="D60" s="511"/>
      <c r="E60" s="511"/>
      <c r="F60" s="511"/>
      <c r="G60" s="511"/>
      <c r="H60" s="511"/>
      <c r="I60" s="511"/>
      <c r="J60" s="511"/>
      <c r="K60" s="511"/>
      <c r="L60" s="511"/>
      <c r="M60" s="511"/>
      <c r="N60" s="511"/>
      <c r="O60" s="1589"/>
      <c r="P60" s="511"/>
      <c r="Q60" s="1589"/>
      <c r="R60" s="511"/>
      <c r="S60" s="511"/>
      <c r="T60" s="511"/>
      <c r="U60" s="511"/>
      <c r="V60" s="511"/>
      <c r="W60" s="511"/>
      <c r="X60" s="511"/>
      <c r="Y60" s="511"/>
      <c r="Z60" s="511"/>
      <c r="AA60" s="512"/>
      <c r="AB60" s="1589"/>
      <c r="AC60" s="1589"/>
      <c r="AD60" s="3223"/>
      <c r="AE60" s="1589"/>
      <c r="AF60" s="1589"/>
      <c r="AG60" s="1589"/>
      <c r="AH60" s="1589"/>
      <c r="AI60" s="3013"/>
      <c r="AJ60" s="3224"/>
    </row>
    <row r="61" spans="1:36" ht="16.5" customHeight="1">
      <c r="A61" s="255" t="s">
        <v>918</v>
      </c>
      <c r="B61" s="867"/>
      <c r="C61" s="511"/>
      <c r="D61" s="511"/>
      <c r="E61" s="511"/>
      <c r="F61" s="511"/>
      <c r="G61" s="511" t="s">
        <v>14</v>
      </c>
      <c r="H61" s="511"/>
      <c r="I61" s="511" t="s">
        <v>14</v>
      </c>
      <c r="J61" s="511"/>
      <c r="K61" s="511" t="s">
        <v>14</v>
      </c>
      <c r="L61" s="511"/>
      <c r="M61" s="511"/>
      <c r="N61" s="511"/>
      <c r="O61" s="1589"/>
      <c r="P61" s="511"/>
      <c r="Q61" s="1589"/>
      <c r="R61" s="511"/>
      <c r="S61" s="511"/>
      <c r="T61" s="511"/>
      <c r="U61" s="511"/>
      <c r="V61" s="511"/>
      <c r="W61" s="511"/>
      <c r="X61" s="511"/>
      <c r="Y61" s="511"/>
      <c r="Z61" s="511"/>
      <c r="AA61" s="512"/>
      <c r="AB61" s="1589"/>
      <c r="AC61" s="1589"/>
      <c r="AD61" s="3223"/>
      <c r="AE61" s="1589"/>
      <c r="AF61" s="1589"/>
      <c r="AG61" s="1589"/>
      <c r="AH61" s="1589"/>
      <c r="AI61" s="3013"/>
      <c r="AJ61" s="3224"/>
    </row>
    <row r="62" spans="1:36" ht="16.5" customHeight="1">
      <c r="A62" s="869" t="s">
        <v>1033</v>
      </c>
      <c r="B62" s="867"/>
      <c r="C62" s="511"/>
      <c r="D62" s="511"/>
      <c r="E62" s="511"/>
      <c r="F62" s="511"/>
      <c r="G62" s="511"/>
      <c r="H62" s="511"/>
      <c r="I62" s="511"/>
      <c r="J62" s="511"/>
      <c r="K62" s="511"/>
      <c r="L62" s="511"/>
      <c r="M62" s="511"/>
      <c r="N62" s="511"/>
      <c r="O62" s="1589"/>
      <c r="P62" s="511"/>
      <c r="Q62" s="1589"/>
      <c r="R62" s="511"/>
      <c r="S62" s="511"/>
      <c r="T62" s="511"/>
      <c r="U62" s="511"/>
      <c r="V62" s="511"/>
      <c r="W62" s="511"/>
      <c r="X62" s="511"/>
      <c r="Y62" s="511"/>
      <c r="Z62" s="511"/>
      <c r="AA62" s="512"/>
      <c r="AB62" s="1589"/>
      <c r="AC62" s="1589"/>
      <c r="AD62" s="3223"/>
      <c r="AE62" s="1589"/>
      <c r="AF62" s="1589"/>
      <c r="AG62" s="1589"/>
      <c r="AH62" s="1589"/>
      <c r="AI62" s="3013"/>
      <c r="AJ62" s="3224"/>
    </row>
    <row r="63" spans="1:36" ht="16.5" customHeight="1">
      <c r="A63" s="869" t="s">
        <v>916</v>
      </c>
      <c r="B63" s="869"/>
      <c r="C63" s="511">
        <f>+'Exhibit F'!D58+'Exhibit G'!D41</f>
        <v>1.9</v>
      </c>
      <c r="D63" s="511"/>
      <c r="E63" s="511">
        <f>+'Exhibit F'!F58+'Exhibit G'!F41</f>
        <v>0.9</v>
      </c>
      <c r="F63" s="511"/>
      <c r="G63" s="511"/>
      <c r="H63" s="511"/>
      <c r="I63" s="511"/>
      <c r="J63" s="511"/>
      <c r="K63" s="511"/>
      <c r="L63" s="511"/>
      <c r="M63" s="511"/>
      <c r="N63" s="511"/>
      <c r="O63" s="511"/>
      <c r="P63" s="511"/>
      <c r="Q63" s="511"/>
      <c r="R63" s="511"/>
      <c r="S63" s="511"/>
      <c r="T63" s="511"/>
      <c r="U63" s="511"/>
      <c r="V63" s="511"/>
      <c r="W63" s="511"/>
      <c r="X63" s="511"/>
      <c r="Y63" s="511"/>
      <c r="Z63" s="511"/>
      <c r="AA63" s="512"/>
      <c r="AB63" s="1589">
        <f t="shared" ref="AB63:AB104" si="13">ROUND(SUM(C63:Y63),1)</f>
        <v>2.8</v>
      </c>
      <c r="AC63" s="1589"/>
      <c r="AD63" s="3223"/>
      <c r="AE63" s="1589">
        <f>+'Exhibit F'!AF58+'Exhibit G'!AG41</f>
        <v>2.2999999999999998</v>
      </c>
      <c r="AF63" s="1589"/>
      <c r="AG63" s="1589"/>
      <c r="AH63" s="1589">
        <f t="shared" ref="AH63:AH104" si="14">ROUND(SUM(AB63-AE63),1)</f>
        <v>0.5</v>
      </c>
      <c r="AI63" s="3013"/>
      <c r="AJ63" s="1678">
        <f>ROUND(IF(AE63=0,0,AH63/ABS(AE63)),3)</f>
        <v>0.217</v>
      </c>
    </row>
    <row r="64" spans="1:36" ht="16.5" customHeight="1">
      <c r="A64" s="869" t="s">
        <v>917</v>
      </c>
      <c r="B64" s="869"/>
      <c r="C64" s="511">
        <f>+'Exhibit F'!D59+'Exhibit I'!E37</f>
        <v>0.2</v>
      </c>
      <c r="D64" s="511"/>
      <c r="E64" s="511">
        <f>+'Exhibit F'!F59+'Exhibit I'!G37</f>
        <v>0.2</v>
      </c>
      <c r="F64" s="511"/>
      <c r="G64" s="511"/>
      <c r="H64" s="511"/>
      <c r="I64" s="511"/>
      <c r="J64" s="511"/>
      <c r="K64" s="511"/>
      <c r="L64" s="511"/>
      <c r="M64" s="511"/>
      <c r="N64" s="511"/>
      <c r="O64" s="511"/>
      <c r="P64" s="511"/>
      <c r="Q64" s="511"/>
      <c r="R64" s="511"/>
      <c r="S64" s="511"/>
      <c r="T64" s="511"/>
      <c r="U64" s="511"/>
      <c r="V64" s="511"/>
      <c r="W64" s="511"/>
      <c r="X64" s="511"/>
      <c r="Y64" s="511"/>
      <c r="Z64" s="511"/>
      <c r="AA64" s="512"/>
      <c r="AB64" s="1589">
        <f t="shared" si="13"/>
        <v>0.4</v>
      </c>
      <c r="AC64" s="1589"/>
      <c r="AD64" s="3223"/>
      <c r="AE64" s="1589">
        <f>+'Exhibit F'!AF59+'Exhibit I'!AI37</f>
        <v>1.3</v>
      </c>
      <c r="AF64" s="1589"/>
      <c r="AG64" s="1589"/>
      <c r="AH64" s="1589">
        <f t="shared" si="14"/>
        <v>-0.9</v>
      </c>
      <c r="AI64" s="3013"/>
      <c r="AJ64" s="1678">
        <f>ROUND(IF(AE64=0,0,AH64/ABS(AE64)),3)</f>
        <v>-0.69199999999999995</v>
      </c>
    </row>
    <row r="65" spans="1:36" ht="16.5" customHeight="1">
      <c r="A65" s="869" t="s">
        <v>1034</v>
      </c>
      <c r="B65" s="869"/>
      <c r="C65" s="511"/>
      <c r="D65" s="511"/>
      <c r="E65" s="511"/>
      <c r="F65" s="511"/>
      <c r="G65" s="511"/>
      <c r="H65" s="511"/>
      <c r="I65" s="511"/>
      <c r="J65" s="511"/>
      <c r="K65" s="511"/>
      <c r="L65" s="511"/>
      <c r="M65" s="511"/>
      <c r="N65" s="511"/>
      <c r="O65" s="511"/>
      <c r="P65" s="511"/>
      <c r="Q65" s="511"/>
      <c r="R65" s="511"/>
      <c r="S65" s="511"/>
      <c r="T65" s="511"/>
      <c r="U65" s="511"/>
      <c r="V65" s="511"/>
      <c r="W65" s="511"/>
      <c r="X65" s="511"/>
      <c r="Y65" s="511"/>
      <c r="Z65" s="511"/>
      <c r="AA65" s="512"/>
      <c r="AB65" s="1589"/>
      <c r="AC65" s="1589"/>
      <c r="AD65" s="3223"/>
      <c r="AE65" s="1589"/>
      <c r="AF65" s="1589"/>
      <c r="AG65" s="1589"/>
      <c r="AH65" s="1589"/>
      <c r="AI65" s="3013"/>
      <c r="AJ65" s="1678"/>
    </row>
    <row r="66" spans="1:36" ht="16.5" customHeight="1">
      <c r="A66" s="869" t="s">
        <v>921</v>
      </c>
      <c r="B66" s="869"/>
      <c r="C66" s="511">
        <f>+'Exhibit F'!D61+'Exhibit G'!D43+'Exhibit I'!E39</f>
        <v>140.6</v>
      </c>
      <c r="D66" s="511"/>
      <c r="E66" s="511">
        <f>+'Exhibit F'!F61+'Exhibit G'!F43+'Exhibit I'!G39</f>
        <v>45.500000000000007</v>
      </c>
      <c r="F66" s="511"/>
      <c r="G66" s="511"/>
      <c r="H66" s="511"/>
      <c r="I66" s="511"/>
      <c r="J66" s="511"/>
      <c r="K66" s="511"/>
      <c r="L66" s="511"/>
      <c r="M66" s="511"/>
      <c r="N66" s="511"/>
      <c r="O66" s="511"/>
      <c r="P66" s="511"/>
      <c r="Q66" s="511"/>
      <c r="R66" s="511"/>
      <c r="S66" s="511"/>
      <c r="T66" s="511"/>
      <c r="U66" s="511"/>
      <c r="V66" s="511"/>
      <c r="W66" s="511"/>
      <c r="X66" s="511"/>
      <c r="Y66" s="511"/>
      <c r="Z66" s="511"/>
      <c r="AA66" s="512"/>
      <c r="AB66" s="1589">
        <f>ROUND(SUM(C66:Y66),1)</f>
        <v>186.1</v>
      </c>
      <c r="AC66" s="1589"/>
      <c r="AD66" s="3223"/>
      <c r="AE66" s="1589">
        <f>+'Exhibit F'!AF61+'Exhibit G'!AG43+'Exhibit I'!AI39</f>
        <v>127.5</v>
      </c>
      <c r="AF66" s="1589"/>
      <c r="AG66" s="1589"/>
      <c r="AH66" s="1589">
        <f t="shared" si="14"/>
        <v>58.6</v>
      </c>
      <c r="AI66" s="3013"/>
      <c r="AJ66" s="1678">
        <f>ROUND(IF(AE66=0,0,AH66/ABS(AE66)),3)</f>
        <v>0.46</v>
      </c>
    </row>
    <row r="67" spans="1:36" ht="16.5" customHeight="1">
      <c r="A67" s="869" t="s">
        <v>922</v>
      </c>
      <c r="B67" s="869"/>
      <c r="C67" s="511">
        <f>+'Exhibit F'!D62+'Exhibit G'!D44</f>
        <v>536.9</v>
      </c>
      <c r="D67" s="511"/>
      <c r="E67" s="511">
        <f>+'Exhibit F'!F62+'Exhibit G'!F44</f>
        <v>533.80000000000018</v>
      </c>
      <c r="F67" s="511"/>
      <c r="G67" s="511"/>
      <c r="H67" s="511"/>
      <c r="I67" s="511"/>
      <c r="J67" s="511"/>
      <c r="K67" s="511"/>
      <c r="L67" s="511"/>
      <c r="M67" s="511"/>
      <c r="N67" s="511"/>
      <c r="O67" s="511"/>
      <c r="P67" s="511"/>
      <c r="Q67" s="511"/>
      <c r="R67" s="511"/>
      <c r="S67" s="511"/>
      <c r="T67" s="511"/>
      <c r="U67" s="511"/>
      <c r="V67" s="511"/>
      <c r="W67" s="511"/>
      <c r="X67" s="511"/>
      <c r="Y67" s="511"/>
      <c r="Z67" s="511"/>
      <c r="AA67" s="512"/>
      <c r="AB67" s="1589">
        <f t="shared" si="13"/>
        <v>1070.7</v>
      </c>
      <c r="AC67" s="1589"/>
      <c r="AD67" s="3223"/>
      <c r="AE67" s="1589">
        <f>+'Exhibit F'!AF62+'Exhibit G'!AG44+'Exhibit H'!AD33</f>
        <v>1018.4</v>
      </c>
      <c r="AF67" s="1589"/>
      <c r="AG67" s="1589"/>
      <c r="AH67" s="1589">
        <f t="shared" si="14"/>
        <v>52.3</v>
      </c>
      <c r="AI67" s="3013"/>
      <c r="AJ67" s="1678">
        <f>ROUND(IF(AE67=0,0,AH67/ABS(AE67)),3)</f>
        <v>5.0999999999999997E-2</v>
      </c>
    </row>
    <row r="68" spans="1:36" ht="16.5" customHeight="1">
      <c r="A68" s="869" t="s">
        <v>923</v>
      </c>
      <c r="B68" s="869"/>
      <c r="C68" s="511">
        <f>+'Exhibit F'!D63+'Exhibit G'!D45</f>
        <v>4.5999999999999996</v>
      </c>
      <c r="D68" s="511"/>
      <c r="E68" s="511">
        <f>+'Exhibit F'!F63+'Exhibit G'!F45</f>
        <v>0</v>
      </c>
      <c r="F68" s="511"/>
      <c r="G68" s="511"/>
      <c r="H68" s="511"/>
      <c r="I68" s="511"/>
      <c r="J68" s="511"/>
      <c r="K68" s="511"/>
      <c r="L68" s="511"/>
      <c r="M68" s="511"/>
      <c r="N68" s="511"/>
      <c r="O68" s="511"/>
      <c r="P68" s="511"/>
      <c r="Q68" s="511"/>
      <c r="R68" s="511"/>
      <c r="S68" s="511"/>
      <c r="T68" s="511"/>
      <c r="U68" s="511"/>
      <c r="V68" s="511"/>
      <c r="W68" s="511"/>
      <c r="X68" s="511"/>
      <c r="Y68" s="511"/>
      <c r="Z68" s="511"/>
      <c r="AA68" s="512"/>
      <c r="AB68" s="1589">
        <f t="shared" si="13"/>
        <v>4.5999999999999996</v>
      </c>
      <c r="AC68" s="1589"/>
      <c r="AD68" s="3223"/>
      <c r="AE68" s="1589">
        <f>+'Exhibit F'!AF63+'Exhibit G'!AG45</f>
        <v>1.5</v>
      </c>
      <c r="AF68" s="1589"/>
      <c r="AG68" s="1589"/>
      <c r="AH68" s="1589">
        <f t="shared" si="14"/>
        <v>3.1</v>
      </c>
      <c r="AI68" s="3013"/>
      <c r="AJ68" s="3219">
        <f>ROUND(IF(AE68=0,0,AH68/ABS(AE68)),3)</f>
        <v>2.0670000000000002</v>
      </c>
    </row>
    <row r="69" spans="1:36" ht="16.5" customHeight="1">
      <c r="A69" s="869" t="s">
        <v>924</v>
      </c>
      <c r="B69" s="869"/>
      <c r="C69" s="511">
        <f>+'Exhibit F'!D64+'Exhibit G'!D46</f>
        <v>0</v>
      </c>
      <c r="D69" s="511"/>
      <c r="E69" s="511">
        <f>+'Exhibit F'!F64+'Exhibit G'!F46</f>
        <v>0</v>
      </c>
      <c r="F69" s="511"/>
      <c r="G69" s="511"/>
      <c r="H69" s="511"/>
      <c r="I69" s="511"/>
      <c r="J69" s="511"/>
      <c r="K69" s="511"/>
      <c r="L69" s="511"/>
      <c r="M69" s="511"/>
      <c r="N69" s="511"/>
      <c r="O69" s="511"/>
      <c r="P69" s="511"/>
      <c r="Q69" s="511"/>
      <c r="R69" s="511"/>
      <c r="S69" s="511"/>
      <c r="T69" s="511"/>
      <c r="U69" s="511"/>
      <c r="V69" s="511"/>
      <c r="W69" s="511"/>
      <c r="X69" s="511"/>
      <c r="Y69" s="511"/>
      <c r="Z69" s="511"/>
      <c r="AA69" s="512"/>
      <c r="AB69" s="1589">
        <f t="shared" si="13"/>
        <v>0</v>
      </c>
      <c r="AC69" s="1589"/>
      <c r="AD69" s="3223"/>
      <c r="AE69" s="1589">
        <f>+'Exhibit F'!AF64+'Exhibit G'!AG46</f>
        <v>0.1</v>
      </c>
      <c r="AF69" s="1589"/>
      <c r="AG69" s="1589"/>
      <c r="AH69" s="1589">
        <f t="shared" si="14"/>
        <v>-0.1</v>
      </c>
      <c r="AI69" s="3013"/>
      <c r="AJ69" s="1678">
        <f>ROUND(IF(AE69=0,0,AH69/ABS(AE69)),3)</f>
        <v>-1</v>
      </c>
    </row>
    <row r="70" spans="1:36" ht="16.5" customHeight="1">
      <c r="A70" s="869" t="s">
        <v>1038</v>
      </c>
      <c r="B70" s="869"/>
      <c r="C70" s="511"/>
      <c r="D70" s="511"/>
      <c r="E70" s="511"/>
      <c r="F70" s="511"/>
      <c r="G70" s="511"/>
      <c r="H70" s="511"/>
      <c r="I70" s="511"/>
      <c r="J70" s="511"/>
      <c r="K70" s="511"/>
      <c r="L70" s="511"/>
      <c r="M70" s="511"/>
      <c r="N70" s="511"/>
      <c r="O70" s="511"/>
      <c r="P70" s="511"/>
      <c r="Q70" s="511"/>
      <c r="R70" s="511"/>
      <c r="S70" s="511"/>
      <c r="T70" s="511"/>
      <c r="U70" s="511"/>
      <c r="V70" s="511"/>
      <c r="W70" s="511"/>
      <c r="X70" s="511"/>
      <c r="Y70" s="511"/>
      <c r="Z70" s="511"/>
      <c r="AA70" s="512"/>
      <c r="AB70" s="1589"/>
      <c r="AC70" s="1589"/>
      <c r="AD70" s="3223"/>
      <c r="AE70" s="1589"/>
      <c r="AF70" s="1589"/>
      <c r="AG70" s="1589"/>
      <c r="AH70" s="1589"/>
      <c r="AI70" s="3013"/>
      <c r="AJ70" s="1678"/>
    </row>
    <row r="71" spans="1:36" ht="16.5" customHeight="1">
      <c r="A71" s="869" t="s">
        <v>925</v>
      </c>
      <c r="B71" s="869"/>
      <c r="C71" s="511">
        <f>+'Exhibit F'!D66+'Exhibit H'!B35</f>
        <v>5.4</v>
      </c>
      <c r="D71" s="511"/>
      <c r="E71" s="511">
        <f>+'Exhibit F'!F66+'Exhibit H'!D35</f>
        <v>5.6999999999999993</v>
      </c>
      <c r="F71" s="511"/>
      <c r="G71" s="511"/>
      <c r="H71" s="511"/>
      <c r="I71" s="511"/>
      <c r="J71" s="511"/>
      <c r="K71" s="511"/>
      <c r="L71" s="511"/>
      <c r="M71" s="511"/>
      <c r="N71" s="511"/>
      <c r="O71" s="511"/>
      <c r="P71" s="511"/>
      <c r="Q71" s="511"/>
      <c r="R71" s="511"/>
      <c r="S71" s="511"/>
      <c r="T71" s="511"/>
      <c r="U71" s="511"/>
      <c r="V71" s="511"/>
      <c r="W71" s="511"/>
      <c r="X71" s="511"/>
      <c r="Y71" s="511"/>
      <c r="Z71" s="511"/>
      <c r="AA71" s="512"/>
      <c r="AB71" s="1589">
        <f t="shared" si="13"/>
        <v>11.1</v>
      </c>
      <c r="AC71" s="1589"/>
      <c r="AD71" s="3223"/>
      <c r="AE71" s="1589">
        <f>+'Exhibit F'!AF66+'Exhibit H'!AD35</f>
        <v>10.8</v>
      </c>
      <c r="AF71" s="1589"/>
      <c r="AG71" s="1589"/>
      <c r="AH71" s="1589">
        <f t="shared" si="14"/>
        <v>0.3</v>
      </c>
      <c r="AI71" s="3013"/>
      <c r="AJ71" s="1678">
        <f t="shared" ref="AJ71:AJ78" si="15">ROUND(IF(AE71=0,0,AH71/ABS(AE71)),3)</f>
        <v>2.8000000000000001E-2</v>
      </c>
    </row>
    <row r="72" spans="1:36" ht="16.5" customHeight="1">
      <c r="A72" s="869" t="s">
        <v>1128</v>
      </c>
      <c r="B72" s="869"/>
      <c r="C72" s="511">
        <f>'Exhibit G'!D48</f>
        <v>0</v>
      </c>
      <c r="D72" s="511"/>
      <c r="E72" s="511">
        <f>'Exhibit G'!F48</f>
        <v>0.2</v>
      </c>
      <c r="F72" s="511"/>
      <c r="G72" s="511"/>
      <c r="H72" s="511"/>
      <c r="I72" s="511"/>
      <c r="J72" s="511"/>
      <c r="K72" s="511"/>
      <c r="L72" s="511"/>
      <c r="M72" s="511"/>
      <c r="N72" s="511"/>
      <c r="O72" s="511"/>
      <c r="P72" s="511"/>
      <c r="Q72" s="511"/>
      <c r="R72" s="511"/>
      <c r="S72" s="511"/>
      <c r="T72" s="511"/>
      <c r="U72" s="511"/>
      <c r="V72" s="511"/>
      <c r="W72" s="511"/>
      <c r="X72" s="511"/>
      <c r="Y72" s="511"/>
      <c r="Z72" s="511"/>
      <c r="AA72" s="938"/>
      <c r="AB72" s="1589">
        <f t="shared" si="13"/>
        <v>0.2</v>
      </c>
      <c r="AC72" s="1589"/>
      <c r="AD72" s="3223"/>
      <c r="AE72" s="1589">
        <f>'Exhibit G'!AG48</f>
        <v>0</v>
      </c>
      <c r="AF72" s="1589"/>
      <c r="AG72" s="1589"/>
      <c r="AH72" s="1589">
        <f>ROUND(SUM(AB72-AE72),1)</f>
        <v>0.2</v>
      </c>
      <c r="AI72" s="3013"/>
      <c r="AJ72" s="1677">
        <f>ROUND(IF(AE72=0,1,AH72/ABS(AE72)),3)</f>
        <v>1</v>
      </c>
    </row>
    <row r="73" spans="1:36" ht="16.5" customHeight="1">
      <c r="A73" s="869" t="s">
        <v>926</v>
      </c>
      <c r="B73" s="869"/>
      <c r="C73" s="511">
        <f>+'Exhibit F'!D68+'Exhibit G'!D49+'Exhibit I'!E41+'Exhibit H'!B36</f>
        <v>50.399999999999991</v>
      </c>
      <c r="D73" s="511"/>
      <c r="E73" s="511">
        <f>+'Exhibit F'!F68+'Exhibit G'!F49+'Exhibit I'!G41+'Exhibit H'!D36</f>
        <v>49.000000000000007</v>
      </c>
      <c r="F73" s="511"/>
      <c r="G73" s="511"/>
      <c r="H73" s="511"/>
      <c r="I73" s="511"/>
      <c r="J73" s="511"/>
      <c r="K73" s="511"/>
      <c r="L73" s="511"/>
      <c r="M73" s="511"/>
      <c r="N73" s="511"/>
      <c r="O73" s="511"/>
      <c r="P73" s="511"/>
      <c r="Q73" s="511"/>
      <c r="R73" s="511"/>
      <c r="S73" s="511"/>
      <c r="T73" s="511"/>
      <c r="U73" s="511"/>
      <c r="V73" s="511"/>
      <c r="W73" s="511"/>
      <c r="X73" s="511"/>
      <c r="Y73" s="511"/>
      <c r="Z73" s="511"/>
      <c r="AA73" s="512"/>
      <c r="AB73" s="1589">
        <f t="shared" si="13"/>
        <v>99.4</v>
      </c>
      <c r="AC73" s="1589"/>
      <c r="AD73" s="3223"/>
      <c r="AE73" s="1589">
        <f>+'Exhibit F'!AF68+'Exhibit G'!AG49+'Exhibit I'!AI41+'Exhibit H'!AD36</f>
        <v>103</v>
      </c>
      <c r="AF73" s="1589"/>
      <c r="AG73" s="1589"/>
      <c r="AH73" s="1589">
        <f>ROUND(SUM(AB73-AE73),1)</f>
        <v>-3.6</v>
      </c>
      <c r="AI73" s="3013"/>
      <c r="AJ73" s="1678">
        <f>ROUND(IF(AE73=0,0,AH73/ABS(AE73)),3)</f>
        <v>-3.5000000000000003E-2</v>
      </c>
    </row>
    <row r="74" spans="1:36" ht="16.5" customHeight="1">
      <c r="A74" s="869" t="s">
        <v>927</v>
      </c>
      <c r="B74" s="869"/>
      <c r="C74" s="511">
        <f>+'Exhibit F'!D69+'Exhibit G'!D50+'Exhibit H'!B37</f>
        <v>8.1</v>
      </c>
      <c r="D74" s="511"/>
      <c r="E74" s="511">
        <f>+'Exhibit F'!F69+'Exhibit G'!F50+'Exhibit H'!D37</f>
        <v>32.799999999999997</v>
      </c>
      <c r="F74" s="511"/>
      <c r="G74" s="511"/>
      <c r="H74" s="511"/>
      <c r="I74" s="511"/>
      <c r="J74" s="511"/>
      <c r="K74" s="511"/>
      <c r="L74" s="511"/>
      <c r="M74" s="511"/>
      <c r="N74" s="511"/>
      <c r="O74" s="511"/>
      <c r="P74" s="511"/>
      <c r="Q74" s="511"/>
      <c r="R74" s="511"/>
      <c r="S74" s="511"/>
      <c r="T74" s="511"/>
      <c r="U74" s="511"/>
      <c r="V74" s="511"/>
      <c r="W74" s="511"/>
      <c r="X74" s="511"/>
      <c r="Y74" s="511"/>
      <c r="Z74" s="511"/>
      <c r="AA74" s="512"/>
      <c r="AB74" s="1589">
        <f t="shared" si="13"/>
        <v>40.9</v>
      </c>
      <c r="AC74" s="1589"/>
      <c r="AD74" s="3223"/>
      <c r="AE74" s="1589">
        <f>+'Exhibit F'!AF69+'Exhibit G'!AG50+'Exhibit H'!AD37+'Exhibit I'!AI42</f>
        <v>54.1</v>
      </c>
      <c r="AF74" s="1589"/>
      <c r="AG74" s="1589"/>
      <c r="AH74" s="1589">
        <f t="shared" si="14"/>
        <v>-13.2</v>
      </c>
      <c r="AI74" s="3013"/>
      <c r="AJ74" s="1678">
        <f t="shared" si="15"/>
        <v>-0.24399999999999999</v>
      </c>
    </row>
    <row r="75" spans="1:36" ht="16.5" customHeight="1">
      <c r="A75" s="869" t="s">
        <v>928</v>
      </c>
      <c r="B75" s="869"/>
      <c r="C75" s="511">
        <f>+'Exhibit F'!D70+'Exhibit G'!D51+'Exhibit H'!B38</f>
        <v>0.7</v>
      </c>
      <c r="D75" s="511"/>
      <c r="E75" s="511">
        <f>+'Exhibit F'!F70+'Exhibit G'!F51+'Exhibit H'!D38</f>
        <v>0.40000000000000008</v>
      </c>
      <c r="F75" s="511"/>
      <c r="G75" s="511"/>
      <c r="H75" s="511"/>
      <c r="I75" s="511"/>
      <c r="J75" s="511"/>
      <c r="K75" s="511"/>
      <c r="L75" s="511"/>
      <c r="M75" s="511"/>
      <c r="N75" s="511"/>
      <c r="O75" s="511"/>
      <c r="P75" s="511"/>
      <c r="Q75" s="511"/>
      <c r="R75" s="511"/>
      <c r="S75" s="511"/>
      <c r="T75" s="511"/>
      <c r="U75" s="511"/>
      <c r="V75" s="511"/>
      <c r="W75" s="511"/>
      <c r="X75" s="511"/>
      <c r="Y75" s="511"/>
      <c r="Z75" s="511"/>
      <c r="AA75" s="512"/>
      <c r="AB75" s="1589">
        <f t="shared" si="13"/>
        <v>1.1000000000000001</v>
      </c>
      <c r="AC75" s="1589"/>
      <c r="AD75" s="3223"/>
      <c r="AE75" s="1589">
        <f>+'Exhibit F'!AF70+'Exhibit G'!AG51+'Exhibit H'!AD38</f>
        <v>1.3</v>
      </c>
      <c r="AF75" s="1589"/>
      <c r="AG75" s="1589"/>
      <c r="AH75" s="1589">
        <f t="shared" si="14"/>
        <v>-0.2</v>
      </c>
      <c r="AI75" s="3013"/>
      <c r="AJ75" s="1677">
        <f>ROUND(IF(AE75=0,0,AH75/ABS(AE75)),3)</f>
        <v>-0.154</v>
      </c>
    </row>
    <row r="76" spans="1:36" ht="16.5" customHeight="1">
      <c r="A76" s="869" t="s">
        <v>929</v>
      </c>
      <c r="B76" s="869"/>
      <c r="C76" s="511">
        <f>+'Exhibit F'!D71+'Exhibit G'!D52+'Exhibit I'!E43+'Exhibit H'!B39</f>
        <v>94.4</v>
      </c>
      <c r="D76" s="511"/>
      <c r="E76" s="511">
        <f>+'Exhibit F'!F71+'Exhibit G'!F52+'Exhibit I'!G43+'Exhibit H'!D39</f>
        <v>99.4</v>
      </c>
      <c r="F76" s="511"/>
      <c r="G76" s="511"/>
      <c r="H76" s="511"/>
      <c r="I76" s="511"/>
      <c r="J76" s="511"/>
      <c r="K76" s="511"/>
      <c r="L76" s="511"/>
      <c r="M76" s="511"/>
      <c r="N76" s="511"/>
      <c r="O76" s="511"/>
      <c r="P76" s="511"/>
      <c r="Q76" s="511"/>
      <c r="R76" s="511"/>
      <c r="S76" s="511"/>
      <c r="T76" s="511"/>
      <c r="U76" s="511"/>
      <c r="V76" s="511"/>
      <c r="W76" s="511"/>
      <c r="X76" s="511"/>
      <c r="Y76" s="511"/>
      <c r="Z76" s="511"/>
      <c r="AA76" s="512"/>
      <c r="AB76" s="1589">
        <f t="shared" si="13"/>
        <v>193.8</v>
      </c>
      <c r="AC76" s="1589"/>
      <c r="AD76" s="3223"/>
      <c r="AE76" s="1589">
        <f>+'Exhibit F'!AF71+'Exhibit G'!AG52+'Exhibit I'!AI43+'Exhibit H'!AD39</f>
        <v>241.5</v>
      </c>
      <c r="AF76" s="1589"/>
      <c r="AG76" s="1589"/>
      <c r="AH76" s="1589">
        <f t="shared" si="14"/>
        <v>-47.7</v>
      </c>
      <c r="AI76" s="3013"/>
      <c r="AJ76" s="1677">
        <f t="shared" si="15"/>
        <v>-0.19800000000000001</v>
      </c>
    </row>
    <row r="77" spans="1:36" ht="16.5" customHeight="1">
      <c r="A77" s="869" t="s">
        <v>930</v>
      </c>
      <c r="B77" s="869"/>
      <c r="C77" s="511">
        <f>+'Exhibit F'!D72+'Exhibit G'!D53+'Exhibit I'!E44+'Exhibit H'!B40</f>
        <v>40.4</v>
      </c>
      <c r="D77" s="511"/>
      <c r="E77" s="511">
        <f>+'Exhibit F'!F72+'Exhibit G'!F53+'Exhibit I'!G44+'Exhibit H'!D40</f>
        <v>87.9</v>
      </c>
      <c r="F77" s="511"/>
      <c r="G77" s="511"/>
      <c r="H77" s="511"/>
      <c r="I77" s="511"/>
      <c r="J77" s="511"/>
      <c r="K77" s="511"/>
      <c r="L77" s="511"/>
      <c r="M77" s="511"/>
      <c r="N77" s="511"/>
      <c r="O77" s="511"/>
      <c r="P77" s="511"/>
      <c r="Q77" s="511"/>
      <c r="R77" s="511"/>
      <c r="S77" s="511"/>
      <c r="T77" s="511"/>
      <c r="U77" s="511"/>
      <c r="V77" s="511"/>
      <c r="W77" s="511"/>
      <c r="X77" s="511"/>
      <c r="Y77" s="511"/>
      <c r="Z77" s="511"/>
      <c r="AA77" s="512"/>
      <c r="AB77" s="1589">
        <f t="shared" si="13"/>
        <v>128.30000000000001</v>
      </c>
      <c r="AC77" s="1589"/>
      <c r="AD77" s="3223"/>
      <c r="AE77" s="1589">
        <f>+'Exhibit F'!AF72+'Exhibit G'!AG53+'Exhibit I'!AI44+'Exhibit H'!AD40</f>
        <v>121.7</v>
      </c>
      <c r="AF77" s="1589"/>
      <c r="AG77" s="1589"/>
      <c r="AH77" s="1589">
        <f t="shared" si="14"/>
        <v>6.6</v>
      </c>
      <c r="AI77" s="3013"/>
      <c r="AJ77" s="1677">
        <f t="shared" si="15"/>
        <v>5.3999999999999999E-2</v>
      </c>
    </row>
    <row r="78" spans="1:36" ht="16.5" customHeight="1">
      <c r="A78" s="869" t="s">
        <v>919</v>
      </c>
      <c r="B78" s="869"/>
      <c r="C78" s="511">
        <f>+'Exhibit F'!D73+'Exhibit G'!D54+'Exhibit I'!E45</f>
        <v>31.000000000000004</v>
      </c>
      <c r="D78" s="511"/>
      <c r="E78" s="511">
        <f>+'Exhibit F'!F73+'Exhibit G'!F54+'Exhibit I'!G45</f>
        <v>19.299999999999997</v>
      </c>
      <c r="F78" s="511"/>
      <c r="G78" s="511"/>
      <c r="H78" s="511"/>
      <c r="I78" s="511"/>
      <c r="J78" s="511"/>
      <c r="K78" s="511"/>
      <c r="L78" s="511"/>
      <c r="M78" s="511"/>
      <c r="N78" s="511"/>
      <c r="O78" s="511"/>
      <c r="P78" s="511"/>
      <c r="Q78" s="511"/>
      <c r="R78" s="511"/>
      <c r="S78" s="511"/>
      <c r="T78" s="511"/>
      <c r="U78" s="511"/>
      <c r="V78" s="511"/>
      <c r="W78" s="511"/>
      <c r="X78" s="511"/>
      <c r="Y78" s="511"/>
      <c r="Z78" s="511"/>
      <c r="AA78" s="512"/>
      <c r="AB78" s="1589">
        <f t="shared" si="13"/>
        <v>50.3</v>
      </c>
      <c r="AC78" s="1589"/>
      <c r="AD78" s="3223"/>
      <c r="AE78" s="1589">
        <f>+'Exhibit F'!AF73+'Exhibit G'!AG54+'Exhibit I'!AI45</f>
        <v>92.999999999999986</v>
      </c>
      <c r="AF78" s="1589"/>
      <c r="AG78" s="1589"/>
      <c r="AH78" s="1589">
        <f t="shared" si="14"/>
        <v>-42.7</v>
      </c>
      <c r="AI78" s="3013"/>
      <c r="AJ78" s="1677">
        <f t="shared" si="15"/>
        <v>-0.45900000000000002</v>
      </c>
    </row>
    <row r="79" spans="1:36" ht="16.5" customHeight="1">
      <c r="A79" s="869" t="s">
        <v>1035</v>
      </c>
      <c r="B79" s="869"/>
      <c r="C79" s="511"/>
      <c r="D79" s="511"/>
      <c r="E79" s="511"/>
      <c r="F79" s="511"/>
      <c r="G79" s="511"/>
      <c r="H79" s="511"/>
      <c r="I79" s="511"/>
      <c r="J79" s="511"/>
      <c r="K79" s="511"/>
      <c r="L79" s="511"/>
      <c r="M79" s="511"/>
      <c r="N79" s="511"/>
      <c r="O79" s="511"/>
      <c r="P79" s="511"/>
      <c r="Q79" s="511"/>
      <c r="R79" s="511"/>
      <c r="S79" s="511"/>
      <c r="T79" s="511"/>
      <c r="U79" s="511"/>
      <c r="V79" s="511"/>
      <c r="W79" s="511"/>
      <c r="X79" s="511"/>
      <c r="Y79" s="511"/>
      <c r="Z79" s="511"/>
      <c r="AA79" s="512"/>
      <c r="AB79" s="1589"/>
      <c r="AC79" s="1589"/>
      <c r="AD79" s="3223"/>
      <c r="AE79" s="1589"/>
      <c r="AF79" s="1589"/>
      <c r="AG79" s="1589"/>
      <c r="AH79" s="1589"/>
      <c r="AI79" s="3013"/>
      <c r="AJ79" s="1677"/>
    </row>
    <row r="80" spans="1:36" ht="16.5" customHeight="1">
      <c r="A80" s="869" t="s">
        <v>931</v>
      </c>
      <c r="B80" s="869"/>
      <c r="C80" s="511">
        <f>+'Exhibit G'!D56+'Exhibit F'!D75</f>
        <v>44.6</v>
      </c>
      <c r="D80" s="511"/>
      <c r="E80" s="511">
        <f>+'Exhibit G'!F56+'Exhibit F'!F75</f>
        <v>11.5</v>
      </c>
      <c r="F80" s="511"/>
      <c r="G80" s="511"/>
      <c r="H80" s="511"/>
      <c r="I80" s="511"/>
      <c r="J80" s="511"/>
      <c r="K80" s="511"/>
      <c r="L80" s="511"/>
      <c r="M80" s="511"/>
      <c r="N80" s="511"/>
      <c r="O80" s="511"/>
      <c r="P80" s="511"/>
      <c r="Q80" s="511"/>
      <c r="R80" s="511"/>
      <c r="S80" s="511"/>
      <c r="T80" s="511"/>
      <c r="U80" s="511"/>
      <c r="V80" s="511"/>
      <c r="W80" s="511"/>
      <c r="X80" s="511"/>
      <c r="Y80" s="511"/>
      <c r="Z80" s="511"/>
      <c r="AA80" s="512"/>
      <c r="AB80" s="1589">
        <f t="shared" ref="AB80:AB85" si="16">ROUND(SUM(C80:Y80),1)</f>
        <v>56.1</v>
      </c>
      <c r="AC80" s="1589"/>
      <c r="AD80" s="3223"/>
      <c r="AE80" s="1589">
        <f>+'Exhibit G'!AG56</f>
        <v>48.4</v>
      </c>
      <c r="AF80" s="1589"/>
      <c r="AG80" s="1589"/>
      <c r="AH80" s="1589">
        <f t="shared" ref="AH80:AH85" si="17">ROUND(SUM(AB80-AE80),1)</f>
        <v>7.7</v>
      </c>
      <c r="AI80" s="3013"/>
      <c r="AJ80" s="1682">
        <f>ROUND(IF(AE80=0,1,AH80/ABS(AE80)),3)</f>
        <v>0.159</v>
      </c>
    </row>
    <row r="81" spans="1:36" ht="16.5" customHeight="1">
      <c r="A81" s="869" t="s">
        <v>1500</v>
      </c>
      <c r="B81" s="869"/>
      <c r="C81" s="511">
        <f>+'Exhibit G'!D57</f>
        <v>186.3</v>
      </c>
      <c r="D81" s="511"/>
      <c r="E81" s="511">
        <f>+'Exhibit G'!F57</f>
        <v>189.59999999999997</v>
      </c>
      <c r="F81" s="511"/>
      <c r="G81" s="511"/>
      <c r="H81" s="511"/>
      <c r="I81" s="511"/>
      <c r="J81" s="511"/>
      <c r="K81" s="511"/>
      <c r="L81" s="511"/>
      <c r="M81" s="511"/>
      <c r="N81" s="511"/>
      <c r="O81" s="511"/>
      <c r="P81" s="511"/>
      <c r="Q81" s="511"/>
      <c r="R81" s="511"/>
      <c r="S81" s="511"/>
      <c r="T81" s="511"/>
      <c r="U81" s="511"/>
      <c r="V81" s="511"/>
      <c r="W81" s="511"/>
      <c r="X81" s="511"/>
      <c r="Y81" s="511"/>
      <c r="Z81" s="511"/>
      <c r="AA81" s="512"/>
      <c r="AB81" s="1589">
        <f t="shared" si="16"/>
        <v>375.9</v>
      </c>
      <c r="AC81" s="1589"/>
      <c r="AD81" s="3223"/>
      <c r="AE81" s="1589">
        <f>+'Exhibit G'!AG57</f>
        <v>413</v>
      </c>
      <c r="AF81" s="1589"/>
      <c r="AG81" s="1589"/>
      <c r="AH81" s="1589">
        <f t="shared" si="17"/>
        <v>-37.1</v>
      </c>
      <c r="AI81" s="3013"/>
      <c r="AJ81" s="1682">
        <f>ROUND(IF(AE81=0,0,AH81/ABS(AE81)),3)</f>
        <v>-0.09</v>
      </c>
    </row>
    <row r="82" spans="1:36" ht="16.5" customHeight="1">
      <c r="A82" s="2401" t="s">
        <v>1501</v>
      </c>
      <c r="B82" s="869"/>
      <c r="C82" s="511">
        <f>+'Exhibit G'!D58</f>
        <v>38.6</v>
      </c>
      <c r="D82" s="511"/>
      <c r="E82" s="511">
        <f>+'Exhibit G'!F58</f>
        <v>53.4</v>
      </c>
      <c r="F82" s="511"/>
      <c r="G82" s="511"/>
      <c r="H82" s="511"/>
      <c r="I82" s="511"/>
      <c r="J82" s="511"/>
      <c r="K82" s="511"/>
      <c r="L82" s="511"/>
      <c r="M82" s="511"/>
      <c r="N82" s="511"/>
      <c r="O82" s="511"/>
      <c r="P82" s="511"/>
      <c r="Q82" s="511"/>
      <c r="R82" s="511"/>
      <c r="S82" s="511"/>
      <c r="T82" s="511"/>
      <c r="U82" s="511"/>
      <c r="V82" s="511"/>
      <c r="W82" s="511"/>
      <c r="X82" s="511"/>
      <c r="Y82" s="511"/>
      <c r="Z82" s="511"/>
      <c r="AA82" s="512"/>
      <c r="AB82" s="1589">
        <f t="shared" si="16"/>
        <v>92</v>
      </c>
      <c r="AC82" s="1589"/>
      <c r="AD82" s="3223"/>
      <c r="AE82" s="1589">
        <f>+'Exhibit G'!AG58</f>
        <v>0</v>
      </c>
      <c r="AF82" s="1589"/>
      <c r="AG82" s="1589"/>
      <c r="AH82" s="1589">
        <f t="shared" si="17"/>
        <v>92</v>
      </c>
      <c r="AI82" s="3013"/>
      <c r="AJ82" s="1682">
        <f>ROUND(IF(AE82=0,1,AH82/ABS(AE82)),3)</f>
        <v>1</v>
      </c>
    </row>
    <row r="83" spans="1:36" ht="16.5" customHeight="1">
      <c r="A83" s="869" t="s">
        <v>932</v>
      </c>
      <c r="B83" s="869"/>
      <c r="C83" s="511">
        <f>+'Exhibit G'!D59</f>
        <v>73.400000000000006</v>
      </c>
      <c r="D83" s="511"/>
      <c r="E83" s="511">
        <f>+'Exhibit G'!F59</f>
        <v>71.299999999999983</v>
      </c>
      <c r="F83" s="511"/>
      <c r="G83" s="511"/>
      <c r="H83" s="511"/>
      <c r="I83" s="511"/>
      <c r="J83" s="511"/>
      <c r="K83" s="511"/>
      <c r="L83" s="511"/>
      <c r="M83" s="511"/>
      <c r="N83" s="511"/>
      <c r="O83" s="511"/>
      <c r="P83" s="511"/>
      <c r="Q83" s="511"/>
      <c r="R83" s="511"/>
      <c r="S83" s="511"/>
      <c r="T83" s="511"/>
      <c r="U83" s="511"/>
      <c r="V83" s="511"/>
      <c r="W83" s="511"/>
      <c r="X83" s="511"/>
      <c r="Y83" s="511"/>
      <c r="Z83" s="511"/>
      <c r="AA83" s="512"/>
      <c r="AB83" s="1589">
        <f t="shared" si="16"/>
        <v>144.69999999999999</v>
      </c>
      <c r="AC83" s="1589"/>
      <c r="AD83" s="3223"/>
      <c r="AE83" s="1589">
        <f>+'Exhibit G'!AG59</f>
        <v>153.79999999999998</v>
      </c>
      <c r="AF83" s="1589"/>
      <c r="AG83" s="1589"/>
      <c r="AH83" s="1589">
        <f t="shared" si="17"/>
        <v>-9.1</v>
      </c>
      <c r="AI83" s="3013"/>
      <c r="AJ83" s="1682">
        <f>ROUND(IF(AE83=0,1,AH83/ABS(AE83)),3)</f>
        <v>-5.8999999999999997E-2</v>
      </c>
    </row>
    <row r="84" spans="1:36" ht="16.5" customHeight="1">
      <c r="A84" s="869" t="s">
        <v>920</v>
      </c>
      <c r="B84" s="869"/>
      <c r="C84" s="511">
        <f>+'Exhibit F'!D76+'Exhibit G'!D60+'Exhibit H'!B41+'Exhibit I'!E46</f>
        <v>14.999999999999998</v>
      </c>
      <c r="D84" s="511"/>
      <c r="E84" s="511">
        <f>+'Exhibit F'!F76+'Exhibit G'!F60+'Exhibit H'!D41+'Exhibit I'!G46</f>
        <v>23.400000000000002</v>
      </c>
      <c r="F84" s="511"/>
      <c r="G84" s="511"/>
      <c r="H84" s="511"/>
      <c r="I84" s="511"/>
      <c r="J84" s="511"/>
      <c r="K84" s="511"/>
      <c r="L84" s="511"/>
      <c r="M84" s="511"/>
      <c r="N84" s="511"/>
      <c r="O84" s="511"/>
      <c r="P84" s="511"/>
      <c r="Q84" s="511"/>
      <c r="R84" s="511"/>
      <c r="S84" s="511"/>
      <c r="T84" s="511"/>
      <c r="U84" s="511"/>
      <c r="V84" s="511"/>
      <c r="W84" s="511"/>
      <c r="X84" s="511"/>
      <c r="Y84" s="511"/>
      <c r="Z84" s="511"/>
      <c r="AA84" s="512"/>
      <c r="AB84" s="1589">
        <f t="shared" si="16"/>
        <v>38.4</v>
      </c>
      <c r="AC84" s="1589"/>
      <c r="AD84" s="3223"/>
      <c r="AE84" s="1589">
        <f>+'Exhibit F'!AF76+'Exhibit G'!AG60+'Exhibit H'!AD41+'Exhibit I'!AI46</f>
        <v>10</v>
      </c>
      <c r="AF84" s="1589"/>
      <c r="AG84" s="1589"/>
      <c r="AH84" s="1589">
        <f t="shared" si="17"/>
        <v>28.4</v>
      </c>
      <c r="AI84" s="3013"/>
      <c r="AJ84" s="3219">
        <f>ROUND(IF(AE84=0,0,AH84/ABS(AE84)),3)</f>
        <v>2.84</v>
      </c>
    </row>
    <row r="85" spans="1:36" ht="16.5" customHeight="1">
      <c r="A85" s="869" t="s">
        <v>937</v>
      </c>
      <c r="B85" s="869"/>
      <c r="C85" s="511">
        <f>+'Exhibit F'!D77+'Exhibit G'!D61+'Exhibit H'!B42+'Exhibit I'!E47</f>
        <v>7.2</v>
      </c>
      <c r="D85" s="511"/>
      <c r="E85" s="511">
        <f>+'Exhibit F'!F77+'Exhibit G'!F61+'Exhibit H'!D42+'Exhibit I'!G47</f>
        <v>2.0999999999999996</v>
      </c>
      <c r="F85" s="511"/>
      <c r="G85" s="511"/>
      <c r="H85" s="511"/>
      <c r="I85" s="511"/>
      <c r="J85" s="511"/>
      <c r="K85" s="511"/>
      <c r="L85" s="511"/>
      <c r="M85" s="511"/>
      <c r="N85" s="511"/>
      <c r="O85" s="511"/>
      <c r="P85" s="511"/>
      <c r="Q85" s="511"/>
      <c r="R85" s="511"/>
      <c r="S85" s="511"/>
      <c r="T85" s="511"/>
      <c r="U85" s="511"/>
      <c r="V85" s="511"/>
      <c r="W85" s="511"/>
      <c r="X85" s="511"/>
      <c r="Y85" s="511"/>
      <c r="Z85" s="511"/>
      <c r="AA85" s="512"/>
      <c r="AB85" s="1589">
        <f t="shared" si="16"/>
        <v>9.3000000000000007</v>
      </c>
      <c r="AC85" s="1589"/>
      <c r="AD85" s="3223"/>
      <c r="AE85" s="1589">
        <f>+'Exhibit F'!AF77+'Exhibit G'!AG61+'Exhibit H'!AD42+'Exhibit I'!AI47</f>
        <v>8.9</v>
      </c>
      <c r="AF85" s="1589"/>
      <c r="AG85" s="1589"/>
      <c r="AH85" s="1589">
        <f t="shared" si="17"/>
        <v>0.4</v>
      </c>
      <c r="AI85" s="3013"/>
      <c r="AJ85" s="1677">
        <f>ROUND(IF(AE85=0,0,AH85/ABS(AE85)),3)</f>
        <v>4.4999999999999998E-2</v>
      </c>
    </row>
    <row r="86" spans="1:36" ht="16.5" customHeight="1">
      <c r="A86" s="869" t="s">
        <v>1036</v>
      </c>
      <c r="B86" s="869"/>
      <c r="C86" s="511"/>
      <c r="D86" s="511"/>
      <c r="E86" s="511"/>
      <c r="F86" s="511"/>
      <c r="G86" s="511"/>
      <c r="H86" s="511"/>
      <c r="I86" s="511"/>
      <c r="J86" s="511"/>
      <c r="K86" s="511"/>
      <c r="L86" s="511"/>
      <c r="M86" s="511"/>
      <c r="N86" s="511"/>
      <c r="O86" s="511"/>
      <c r="P86" s="511"/>
      <c r="Q86" s="511"/>
      <c r="R86" s="511"/>
      <c r="S86" s="511"/>
      <c r="T86" s="511"/>
      <c r="U86" s="511"/>
      <c r="V86" s="511"/>
      <c r="W86" s="511"/>
      <c r="X86" s="511"/>
      <c r="Y86" s="511"/>
      <c r="Z86" s="511"/>
      <c r="AA86" s="512"/>
      <c r="AB86" s="1589"/>
      <c r="AC86" s="1589"/>
      <c r="AD86" s="3223"/>
      <c r="AE86" s="1589"/>
      <c r="AF86" s="1589"/>
      <c r="AG86" s="1589"/>
      <c r="AH86" s="1589"/>
      <c r="AI86" s="3013"/>
      <c r="AJ86" s="1678"/>
    </row>
    <row r="87" spans="1:36" ht="16.5" customHeight="1">
      <c r="A87" s="869" t="s">
        <v>933</v>
      </c>
      <c r="B87" s="869"/>
      <c r="C87" s="511">
        <f>+'Exhibit G'!D63+'Exhibit I'!E49</f>
        <v>882.7</v>
      </c>
      <c r="D87" s="511"/>
      <c r="E87" s="511">
        <f>+'Exhibit G'!F63+'Exhibit I'!G49</f>
        <v>972.59999999999991</v>
      </c>
      <c r="F87" s="511"/>
      <c r="G87" s="511"/>
      <c r="H87" s="511"/>
      <c r="I87" s="511"/>
      <c r="J87" s="511"/>
      <c r="K87" s="511"/>
      <c r="L87" s="511"/>
      <c r="M87" s="511"/>
      <c r="N87" s="511"/>
      <c r="O87" s="511"/>
      <c r="P87" s="511"/>
      <c r="Q87" s="511"/>
      <c r="R87" s="511"/>
      <c r="S87" s="511"/>
      <c r="T87" s="511"/>
      <c r="U87" s="511"/>
      <c r="V87" s="511"/>
      <c r="W87" s="511"/>
      <c r="X87" s="511"/>
      <c r="Y87" s="511"/>
      <c r="Z87" s="511"/>
      <c r="AA87" s="512"/>
      <c r="AB87" s="1589">
        <f t="shared" si="13"/>
        <v>1855.3</v>
      </c>
      <c r="AC87" s="1589"/>
      <c r="AD87" s="3223"/>
      <c r="AE87" s="1589">
        <f>+'Exhibit G'!AG63+'Exhibit I'!AI49+'Exhibit H'!AD44+'Exhibit F'!AF79</f>
        <v>78.900000000000006</v>
      </c>
      <c r="AF87" s="1589"/>
      <c r="AG87" s="1589"/>
      <c r="AH87" s="1589">
        <f t="shared" si="14"/>
        <v>1776.4</v>
      </c>
      <c r="AI87" s="3013"/>
      <c r="AJ87" s="1682">
        <f>ROUND(IF(AE87=0,1,AH87/ABS(AE87)),3)</f>
        <v>22.515000000000001</v>
      </c>
    </row>
    <row r="88" spans="1:36" ht="16.5" customHeight="1">
      <c r="A88" s="869" t="s">
        <v>934</v>
      </c>
      <c r="B88" s="869"/>
      <c r="C88" s="511">
        <f>+'Exhibit F'!D80+'Exhibit G'!D64</f>
        <v>14.2</v>
      </c>
      <c r="D88" s="511"/>
      <c r="E88" s="511">
        <f>+'Exhibit F'!F80+'Exhibit G'!F64</f>
        <v>0</v>
      </c>
      <c r="F88" s="511"/>
      <c r="G88" s="511"/>
      <c r="H88" s="511"/>
      <c r="I88" s="511"/>
      <c r="J88" s="511"/>
      <c r="K88" s="511"/>
      <c r="L88" s="511"/>
      <c r="M88" s="511"/>
      <c r="N88" s="511"/>
      <c r="O88" s="511"/>
      <c r="P88" s="511"/>
      <c r="Q88" s="511"/>
      <c r="R88" s="511"/>
      <c r="S88" s="511"/>
      <c r="T88" s="511"/>
      <c r="U88" s="511"/>
      <c r="V88" s="511"/>
      <c r="W88" s="511"/>
      <c r="X88" s="511"/>
      <c r="Y88" s="511"/>
      <c r="Z88" s="511"/>
      <c r="AA88" s="512"/>
      <c r="AB88" s="1589">
        <f t="shared" si="13"/>
        <v>14.2</v>
      </c>
      <c r="AC88" s="1589"/>
      <c r="AD88" s="3223"/>
      <c r="AE88" s="1589">
        <f>+'Exhibit F'!AF80+'Exhibit G'!AG64</f>
        <v>0</v>
      </c>
      <c r="AF88" s="1589"/>
      <c r="AG88" s="1589"/>
      <c r="AH88" s="1589">
        <f t="shared" si="14"/>
        <v>14.2</v>
      </c>
      <c r="AI88" s="3013"/>
      <c r="AJ88" s="1677">
        <f>ROUND(IF(AE88=0,1,AH88/ABS(AE88)),3)</f>
        <v>1</v>
      </c>
    </row>
    <row r="89" spans="1:36" ht="16.5" customHeight="1">
      <c r="A89" s="869" t="s">
        <v>935</v>
      </c>
      <c r="B89" s="869"/>
      <c r="C89" s="511">
        <f>+'Exhibit F'!D81+'Exhibit G'!D65</f>
        <v>2.8</v>
      </c>
      <c r="D89" s="511"/>
      <c r="E89" s="511">
        <f>+'Exhibit F'!F81+'Exhibit G'!F65</f>
        <v>3.7</v>
      </c>
      <c r="F89" s="511"/>
      <c r="G89" s="511"/>
      <c r="H89" s="511"/>
      <c r="I89" s="511"/>
      <c r="J89" s="511"/>
      <c r="K89" s="511"/>
      <c r="L89" s="511"/>
      <c r="M89" s="511"/>
      <c r="N89" s="511"/>
      <c r="O89" s="511"/>
      <c r="P89" s="511"/>
      <c r="Q89" s="511"/>
      <c r="R89" s="511"/>
      <c r="S89" s="511"/>
      <c r="T89" s="511"/>
      <c r="U89" s="511"/>
      <c r="V89" s="511"/>
      <c r="W89" s="511"/>
      <c r="X89" s="511"/>
      <c r="Y89" s="511"/>
      <c r="Z89" s="511"/>
      <c r="AA89" s="512"/>
      <c r="AB89" s="1589">
        <f t="shared" si="13"/>
        <v>6.5</v>
      </c>
      <c r="AC89" s="1589"/>
      <c r="AD89" s="3223"/>
      <c r="AE89" s="1589">
        <f>+'Exhibit F'!AF81+'Exhibit G'!AG65</f>
        <v>5</v>
      </c>
      <c r="AF89" s="1589"/>
      <c r="AG89" s="1589"/>
      <c r="AH89" s="1589">
        <f t="shared" si="14"/>
        <v>1.5</v>
      </c>
      <c r="AI89" s="3013"/>
      <c r="AJ89" s="1682">
        <f t="shared" ref="AJ89:AJ91" si="18">ROUND(IF(AE89=0,0,AH89/ABS(AE89)),3)</f>
        <v>0.3</v>
      </c>
    </row>
    <row r="90" spans="1:36" ht="16.5" customHeight="1">
      <c r="A90" s="869" t="s">
        <v>936</v>
      </c>
      <c r="B90" s="869"/>
      <c r="C90" s="511">
        <f>+'Exhibit F'!D82+'Exhibit G'!D66+'Exhibit I'!E51</f>
        <v>5.3000000000000007</v>
      </c>
      <c r="D90" s="511"/>
      <c r="E90" s="511">
        <f>+'Exhibit F'!F82+'Exhibit G'!F66+'Exhibit I'!G51</f>
        <v>11.100000000000001</v>
      </c>
      <c r="F90" s="511"/>
      <c r="G90" s="511"/>
      <c r="H90" s="511"/>
      <c r="I90" s="511"/>
      <c r="J90" s="511"/>
      <c r="K90" s="511"/>
      <c r="L90" s="511"/>
      <c r="M90" s="511"/>
      <c r="N90" s="511"/>
      <c r="O90" s="511"/>
      <c r="P90" s="511"/>
      <c r="Q90" s="511"/>
      <c r="R90" s="511"/>
      <c r="S90" s="511"/>
      <c r="T90" s="511"/>
      <c r="U90" s="511"/>
      <c r="V90" s="511"/>
      <c r="W90" s="511"/>
      <c r="X90" s="511"/>
      <c r="Y90" s="511"/>
      <c r="Z90" s="511"/>
      <c r="AA90" s="512"/>
      <c r="AB90" s="1589">
        <f t="shared" si="13"/>
        <v>16.399999999999999</v>
      </c>
      <c r="AC90" s="1589"/>
      <c r="AD90" s="3223"/>
      <c r="AE90" s="1589">
        <f>+'Exhibit F'!AF82+'Exhibit G'!AG66+'Exhibit I'!AI51</f>
        <v>3.2</v>
      </c>
      <c r="AF90" s="1589"/>
      <c r="AG90" s="1589"/>
      <c r="AH90" s="1589">
        <f t="shared" si="14"/>
        <v>13.2</v>
      </c>
      <c r="AI90" s="3013"/>
      <c r="AJ90" s="1677">
        <f t="shared" si="18"/>
        <v>4.125</v>
      </c>
    </row>
    <row r="91" spans="1:36" ht="16.5" customHeight="1">
      <c r="A91" s="869" t="s">
        <v>938</v>
      </c>
      <c r="B91" s="869"/>
      <c r="C91" s="511">
        <f>+'Exhibit F'!D83+'Exhibit G'!D67+'Exhibit H'!B45+'Exhibit I'!E52</f>
        <v>36</v>
      </c>
      <c r="D91" s="511"/>
      <c r="E91" s="511">
        <f>+'Exhibit F'!F83+'Exhibit G'!F67+'Exhibit H'!D45+'Exhibit I'!G52</f>
        <v>31.300000000000004</v>
      </c>
      <c r="F91" s="511"/>
      <c r="G91" s="511"/>
      <c r="H91" s="511"/>
      <c r="I91" s="511"/>
      <c r="J91" s="511"/>
      <c r="K91" s="511"/>
      <c r="L91" s="511"/>
      <c r="M91" s="511"/>
      <c r="N91" s="511"/>
      <c r="O91" s="511"/>
      <c r="P91" s="511"/>
      <c r="Q91" s="511"/>
      <c r="R91" s="511"/>
      <c r="S91" s="511"/>
      <c r="T91" s="511"/>
      <c r="U91" s="511"/>
      <c r="V91" s="511"/>
      <c r="W91" s="511"/>
      <c r="X91" s="511"/>
      <c r="Y91" s="511"/>
      <c r="Z91" s="511"/>
      <c r="AA91" s="512"/>
      <c r="AB91" s="1589">
        <f t="shared" si="13"/>
        <v>67.3</v>
      </c>
      <c r="AC91" s="1589"/>
      <c r="AD91" s="3223"/>
      <c r="AE91" s="1589">
        <f>+'Exhibit F'!AF83+'Exhibit G'!AG67+'Exhibit H'!AD45+'Exhibit I'!AI52</f>
        <v>48.1</v>
      </c>
      <c r="AF91" s="1589"/>
      <c r="AG91" s="1589"/>
      <c r="AH91" s="1589">
        <f t="shared" si="14"/>
        <v>19.2</v>
      </c>
      <c r="AI91" s="3013"/>
      <c r="AJ91" s="1682">
        <f t="shared" si="18"/>
        <v>0.39900000000000002</v>
      </c>
    </row>
    <row r="92" spans="1:36" ht="16.5" customHeight="1">
      <c r="A92" s="869" t="s">
        <v>1037</v>
      </c>
      <c r="B92" s="869"/>
      <c r="C92" s="511"/>
      <c r="D92" s="511"/>
      <c r="E92" s="511"/>
      <c r="F92" s="511"/>
      <c r="G92" s="511"/>
      <c r="H92" s="511"/>
      <c r="I92" s="511"/>
      <c r="J92" s="511"/>
      <c r="K92" s="511"/>
      <c r="L92" s="511"/>
      <c r="M92" s="511"/>
      <c r="N92" s="511"/>
      <c r="O92" s="511"/>
      <c r="P92" s="511"/>
      <c r="Q92" s="511"/>
      <c r="R92" s="511"/>
      <c r="S92" s="511"/>
      <c r="T92" s="511"/>
      <c r="U92" s="511"/>
      <c r="V92" s="511"/>
      <c r="W92" s="511"/>
      <c r="X92" s="511"/>
      <c r="Y92" s="511"/>
      <c r="Z92" s="511"/>
      <c r="AA92" s="512"/>
      <c r="AB92" s="1589"/>
      <c r="AC92" s="1589"/>
      <c r="AD92" s="3223"/>
      <c r="AE92" s="1589"/>
      <c r="AF92" s="1589"/>
      <c r="AG92" s="1589"/>
      <c r="AH92" s="1589"/>
      <c r="AI92" s="3013"/>
      <c r="AJ92" s="1677"/>
    </row>
    <row r="93" spans="1:36" ht="16.5" customHeight="1">
      <c r="A93" s="869" t="s">
        <v>939</v>
      </c>
      <c r="B93" s="869"/>
      <c r="C93" s="511">
        <f>+'Exhibit F'!D85+'Exhibit G'!D69+'Exhibit I'!E54</f>
        <v>32.4</v>
      </c>
      <c r="D93" s="511"/>
      <c r="E93" s="511">
        <f>+'Exhibit F'!F85+'Exhibit G'!F69+'Exhibit I'!G54</f>
        <v>9.1000000000000014</v>
      </c>
      <c r="F93" s="511"/>
      <c r="G93" s="511"/>
      <c r="H93" s="511"/>
      <c r="I93" s="511"/>
      <c r="J93" s="511"/>
      <c r="K93" s="511"/>
      <c r="L93" s="511"/>
      <c r="M93" s="511"/>
      <c r="N93" s="511"/>
      <c r="O93" s="511"/>
      <c r="P93" s="511"/>
      <c r="Q93" s="511"/>
      <c r="R93" s="511"/>
      <c r="S93" s="511"/>
      <c r="T93" s="511"/>
      <c r="U93" s="511"/>
      <c r="V93" s="511"/>
      <c r="W93" s="511"/>
      <c r="X93" s="511"/>
      <c r="Y93" s="511"/>
      <c r="Z93" s="511"/>
      <c r="AA93" s="512"/>
      <c r="AB93" s="1589">
        <f t="shared" si="13"/>
        <v>41.5</v>
      </c>
      <c r="AC93" s="1589"/>
      <c r="AD93" s="3223"/>
      <c r="AE93" s="1589">
        <f>+'Exhibit F'!AF85+'Exhibit G'!AG69+'Exhibit I'!AI54</f>
        <v>55</v>
      </c>
      <c r="AF93" s="1589"/>
      <c r="AG93" s="1589"/>
      <c r="AH93" s="1589">
        <f t="shared" si="14"/>
        <v>-13.5</v>
      </c>
      <c r="AI93" s="3013"/>
      <c r="AJ93" s="1682">
        <f>ROUND(IF(AE93=0,0,AH93/ABS(AE93)),3)</f>
        <v>-0.245</v>
      </c>
    </row>
    <row r="94" spans="1:36" ht="16.5" customHeight="1">
      <c r="A94" s="869" t="s">
        <v>940</v>
      </c>
      <c r="B94" s="869"/>
      <c r="C94" s="511">
        <f>+'Exhibit G'!D70+'Exhibit F'!D86</f>
        <v>6.8999999999999968</v>
      </c>
      <c r="D94" s="511"/>
      <c r="E94" s="511">
        <f>+'Exhibit G'!F70+'Exhibit F'!F86</f>
        <v>0</v>
      </c>
      <c r="F94" s="511"/>
      <c r="G94" s="511"/>
      <c r="H94" s="511"/>
      <c r="I94" s="511"/>
      <c r="J94" s="511"/>
      <c r="K94" s="511"/>
      <c r="L94" s="511"/>
      <c r="M94" s="511"/>
      <c r="N94" s="511"/>
      <c r="O94" s="511"/>
      <c r="P94" s="511"/>
      <c r="Q94" s="511"/>
      <c r="R94" s="511"/>
      <c r="S94" s="511"/>
      <c r="T94" s="511"/>
      <c r="U94" s="511"/>
      <c r="V94" s="511"/>
      <c r="W94" s="511"/>
      <c r="X94" s="511"/>
      <c r="Y94" s="511"/>
      <c r="Z94" s="511"/>
      <c r="AA94" s="512"/>
      <c r="AB94" s="1589">
        <f t="shared" si="13"/>
        <v>6.9</v>
      </c>
      <c r="AC94" s="1589"/>
      <c r="AD94" s="3223"/>
      <c r="AE94" s="1589">
        <f>+'Exhibit G'!AG70+'Exhibit F'!AF86</f>
        <v>1.7000000000000002</v>
      </c>
      <c r="AF94" s="1589"/>
      <c r="AG94" s="1589"/>
      <c r="AH94" s="1589">
        <f t="shared" si="14"/>
        <v>5.2</v>
      </c>
      <c r="AI94" s="3013"/>
      <c r="AJ94" s="1677">
        <f>ROUND(IF(AE94=0,0,AH94/ABS(AE94)),3)</f>
        <v>3.0590000000000002</v>
      </c>
    </row>
    <row r="95" spans="1:36" ht="16.5" customHeight="1">
      <c r="A95" s="869" t="s">
        <v>1260</v>
      </c>
      <c r="B95" s="869"/>
      <c r="C95" s="511">
        <v>0</v>
      </c>
      <c r="D95" s="511"/>
      <c r="E95" s="511">
        <v>0</v>
      </c>
      <c r="F95" s="511"/>
      <c r="G95" s="511"/>
      <c r="H95" s="511"/>
      <c r="I95" s="511"/>
      <c r="J95" s="511"/>
      <c r="K95" s="511"/>
      <c r="L95" s="511"/>
      <c r="M95" s="511"/>
      <c r="N95" s="511"/>
      <c r="O95" s="511"/>
      <c r="P95" s="511"/>
      <c r="Q95" s="511"/>
      <c r="R95" s="511"/>
      <c r="S95" s="511"/>
      <c r="T95" s="511"/>
      <c r="U95" s="511"/>
      <c r="V95" s="511"/>
      <c r="W95" s="511"/>
      <c r="X95" s="511"/>
      <c r="Y95" s="511"/>
      <c r="Z95" s="511"/>
      <c r="AA95" s="938"/>
      <c r="AB95" s="1589">
        <f t="shared" si="13"/>
        <v>0</v>
      </c>
      <c r="AC95" s="1589"/>
      <c r="AD95" s="3223"/>
      <c r="AE95" s="1589">
        <f>'Exhibit G'!AG71</f>
        <v>0</v>
      </c>
      <c r="AF95" s="1589"/>
      <c r="AG95" s="1589"/>
      <c r="AH95" s="1589">
        <f t="shared" ref="AH95" si="19">ROUND(SUM(AB95-AE95),1)</f>
        <v>0</v>
      </c>
      <c r="AI95" s="3013"/>
      <c r="AJ95" s="1677">
        <f>ROUND(IF(AE95=0,0,AH95/ABS(AE95)),3)</f>
        <v>0</v>
      </c>
    </row>
    <row r="96" spans="1:36" ht="16.5" customHeight="1">
      <c r="A96" s="869" t="s">
        <v>941</v>
      </c>
      <c r="B96" s="869"/>
      <c r="C96" s="511">
        <f>+'Exhibit F'!D87+'Exhibit G'!D72+'Exhibit I'!E55</f>
        <v>2.2999999999999998</v>
      </c>
      <c r="D96" s="511"/>
      <c r="E96" s="511">
        <f>+'Exhibit F'!F87+'Exhibit G'!F72+'Exhibit I'!G55</f>
        <v>2.1</v>
      </c>
      <c r="F96" s="511"/>
      <c r="G96" s="511"/>
      <c r="H96" s="511"/>
      <c r="I96" s="511"/>
      <c r="J96" s="511"/>
      <c r="K96" s="511"/>
      <c r="L96" s="511"/>
      <c r="M96" s="511"/>
      <c r="N96" s="511"/>
      <c r="O96" s="511"/>
      <c r="P96" s="511"/>
      <c r="Q96" s="511"/>
      <c r="R96" s="511"/>
      <c r="S96" s="511"/>
      <c r="T96" s="511"/>
      <c r="U96" s="511"/>
      <c r="V96" s="511"/>
      <c r="W96" s="511"/>
      <c r="X96" s="511"/>
      <c r="Y96" s="511"/>
      <c r="Z96" s="511"/>
      <c r="AA96" s="512"/>
      <c r="AB96" s="1589">
        <f t="shared" si="13"/>
        <v>4.4000000000000004</v>
      </c>
      <c r="AC96" s="1589"/>
      <c r="AD96" s="3223"/>
      <c r="AE96" s="1589">
        <f>+'Exhibit F'!AF87+'Exhibit G'!AG72+'Exhibit I'!AI55</f>
        <v>4.5999999999999996</v>
      </c>
      <c r="AF96" s="1589"/>
      <c r="AG96" s="1589"/>
      <c r="AH96" s="1589">
        <f t="shared" si="14"/>
        <v>-0.2</v>
      </c>
      <c r="AI96" s="3013"/>
      <c r="AJ96" s="1678">
        <f t="shared" ref="AJ96:AJ103" si="20">ROUND(IF(AE96=0,0,AH96/ABS(AE96)),3)</f>
        <v>-4.2999999999999997E-2</v>
      </c>
    </row>
    <row r="97" spans="1:45" ht="16.5" customHeight="1">
      <c r="A97" s="869" t="s">
        <v>942</v>
      </c>
      <c r="B97" s="869"/>
      <c r="C97" s="511">
        <f>+'Exhibit F'!D88+'Exhibit G'!D73+'Exhibit I'!E56</f>
        <v>11</v>
      </c>
      <c r="D97" s="511"/>
      <c r="E97" s="511">
        <f>+'Exhibit F'!F88+'Exhibit G'!F73+'Exhibit I'!G56</f>
        <v>10.5</v>
      </c>
      <c r="F97" s="511"/>
      <c r="G97" s="511"/>
      <c r="H97" s="511"/>
      <c r="I97" s="511"/>
      <c r="J97" s="511"/>
      <c r="K97" s="511"/>
      <c r="L97" s="511"/>
      <c r="M97" s="511"/>
      <c r="N97" s="511"/>
      <c r="O97" s="511"/>
      <c r="P97" s="511"/>
      <c r="Q97" s="511"/>
      <c r="R97" s="511"/>
      <c r="S97" s="511"/>
      <c r="T97" s="511"/>
      <c r="U97" s="511"/>
      <c r="V97" s="511"/>
      <c r="W97" s="511"/>
      <c r="X97" s="511"/>
      <c r="Y97" s="511"/>
      <c r="Z97" s="511"/>
      <c r="AA97" s="512"/>
      <c r="AB97" s="1589">
        <f>ROUND(SUM(C97:Y97),1)</f>
        <v>21.5</v>
      </c>
      <c r="AC97" s="1589"/>
      <c r="AD97" s="3223"/>
      <c r="AE97" s="1589">
        <f>+'Exhibit F'!AF88+'Exhibit G'!AG73+'Exhibit I'!AI56</f>
        <v>10.6</v>
      </c>
      <c r="AF97" s="1589"/>
      <c r="AG97" s="1589"/>
      <c r="AH97" s="1589">
        <f t="shared" si="14"/>
        <v>10.9</v>
      </c>
      <c r="AI97" s="3013"/>
      <c r="AJ97" s="1678">
        <f t="shared" si="20"/>
        <v>1.028</v>
      </c>
    </row>
    <row r="98" spans="1:45" ht="16.5" customHeight="1">
      <c r="A98" s="869" t="s">
        <v>943</v>
      </c>
      <c r="B98" s="869"/>
      <c r="C98" s="511">
        <f>+'Exhibit F'!D89+'Exhibit G'!D74+'Exhibit H'!B47</f>
        <v>268.2</v>
      </c>
      <c r="D98" s="511"/>
      <c r="E98" s="511">
        <f>+'Exhibit F'!F89+'Exhibit G'!F74+'Exhibit H'!D47</f>
        <v>234.7</v>
      </c>
      <c r="F98" s="511"/>
      <c r="G98" s="511"/>
      <c r="H98" s="511"/>
      <c r="I98" s="511"/>
      <c r="J98" s="511"/>
      <c r="K98" s="511"/>
      <c r="L98" s="511"/>
      <c r="M98" s="511"/>
      <c r="N98" s="511"/>
      <c r="O98" s="511"/>
      <c r="P98" s="511"/>
      <c r="Q98" s="511"/>
      <c r="R98" s="511"/>
      <c r="S98" s="511"/>
      <c r="T98" s="511"/>
      <c r="U98" s="511"/>
      <c r="V98" s="511"/>
      <c r="W98" s="511"/>
      <c r="X98" s="511"/>
      <c r="Y98" s="511"/>
      <c r="Z98" s="511"/>
      <c r="AA98" s="512"/>
      <c r="AB98" s="1589">
        <f t="shared" si="13"/>
        <v>502.9</v>
      </c>
      <c r="AC98" s="1589"/>
      <c r="AD98" s="3223"/>
      <c r="AE98" s="1589">
        <f>+'Exhibit F'!AF89+'Exhibit G'!AG74+'Exhibit H'!AD47</f>
        <v>519.4</v>
      </c>
      <c r="AF98" s="1589"/>
      <c r="AG98" s="1589"/>
      <c r="AH98" s="1589">
        <f t="shared" si="14"/>
        <v>-16.5</v>
      </c>
      <c r="AI98" s="3013"/>
      <c r="AJ98" s="1678">
        <f t="shared" si="20"/>
        <v>-3.2000000000000001E-2</v>
      </c>
    </row>
    <row r="99" spans="1:45" ht="16.5" customHeight="1">
      <c r="A99" s="869" t="s">
        <v>944</v>
      </c>
      <c r="B99" s="869"/>
      <c r="C99" s="511">
        <f>+'Exhibit G'!D75+'Exhibit F'!D90+'Exhibit I'!E57</f>
        <v>9.6</v>
      </c>
      <c r="D99" s="511"/>
      <c r="E99" s="511">
        <f>+'Exhibit G'!F75+'Exhibit F'!F90+'Exhibit I'!G57</f>
        <v>10.3</v>
      </c>
      <c r="F99" s="511"/>
      <c r="G99" s="511"/>
      <c r="H99" s="511"/>
      <c r="I99" s="511"/>
      <c r="J99" s="511"/>
      <c r="K99" s="511"/>
      <c r="L99" s="511"/>
      <c r="M99" s="511"/>
      <c r="N99" s="511"/>
      <c r="O99" s="511"/>
      <c r="P99" s="511"/>
      <c r="Q99" s="511"/>
      <c r="R99" s="511"/>
      <c r="S99" s="511"/>
      <c r="T99" s="511"/>
      <c r="U99" s="511"/>
      <c r="V99" s="511"/>
      <c r="W99" s="511"/>
      <c r="X99" s="511"/>
      <c r="Y99" s="511"/>
      <c r="Z99" s="511"/>
      <c r="AA99" s="512"/>
      <c r="AB99" s="1589">
        <f t="shared" si="13"/>
        <v>19.899999999999999</v>
      </c>
      <c r="AC99" s="1589"/>
      <c r="AD99" s="3223"/>
      <c r="AE99" s="1589">
        <f>+'Exhibit G'!AG75+'Exhibit F'!AF90+'Exhibit I'!AI57</f>
        <v>20.8</v>
      </c>
      <c r="AF99" s="1589"/>
      <c r="AG99" s="1589"/>
      <c r="AH99" s="1589">
        <f t="shared" si="14"/>
        <v>-0.9</v>
      </c>
      <c r="AI99" s="3013"/>
      <c r="AJ99" s="1678">
        <f t="shared" si="20"/>
        <v>-4.2999999999999997E-2</v>
      </c>
    </row>
    <row r="100" spans="1:45" ht="16.5" customHeight="1">
      <c r="A100" s="869" t="s">
        <v>945</v>
      </c>
      <c r="B100" s="869"/>
      <c r="C100" s="511">
        <f>+'Exhibit F'!D91+'Exhibit G'!D76+'Exhibit I'!E58</f>
        <v>8</v>
      </c>
      <c r="D100" s="511"/>
      <c r="E100" s="511">
        <f>+'Exhibit F'!F91+'Exhibit G'!F76+'Exhibit I'!G58</f>
        <v>4.1999999999999993</v>
      </c>
      <c r="F100" s="511"/>
      <c r="G100" s="511"/>
      <c r="H100" s="511"/>
      <c r="I100" s="511"/>
      <c r="J100" s="511"/>
      <c r="K100" s="511"/>
      <c r="L100" s="511"/>
      <c r="M100" s="511"/>
      <c r="N100" s="511"/>
      <c r="O100" s="511"/>
      <c r="P100" s="511"/>
      <c r="Q100" s="511"/>
      <c r="R100" s="511"/>
      <c r="S100" s="511"/>
      <c r="T100" s="511"/>
      <c r="U100" s="511"/>
      <c r="V100" s="511"/>
      <c r="W100" s="511"/>
      <c r="X100" s="511"/>
      <c r="Y100" s="511"/>
      <c r="Z100" s="511"/>
      <c r="AA100" s="512"/>
      <c r="AB100" s="1589">
        <f t="shared" si="13"/>
        <v>12.2</v>
      </c>
      <c r="AC100" s="1589"/>
      <c r="AD100" s="3223"/>
      <c r="AE100" s="1589">
        <f>+'Exhibit F'!AF91+'Exhibit G'!AG76+'Exhibit I'!AI58</f>
        <v>12.6</v>
      </c>
      <c r="AF100" s="1589"/>
      <c r="AG100" s="1589"/>
      <c r="AH100" s="1589">
        <f t="shared" si="14"/>
        <v>-0.4</v>
      </c>
      <c r="AI100" s="3013"/>
      <c r="AJ100" s="3219">
        <f t="shared" si="20"/>
        <v>-3.2000000000000001E-2</v>
      </c>
    </row>
    <row r="101" spans="1:45" ht="16.5" customHeight="1">
      <c r="A101" s="869" t="s">
        <v>946</v>
      </c>
      <c r="B101" s="869"/>
      <c r="C101" s="511">
        <f>+'Exhibit F'!D92+'Exhibit G'!D77</f>
        <v>1.9</v>
      </c>
      <c r="D101" s="511"/>
      <c r="E101" s="511">
        <f>+'Exhibit F'!F92+'Exhibit G'!F77</f>
        <v>1.4</v>
      </c>
      <c r="F101" s="511"/>
      <c r="G101" s="511"/>
      <c r="H101" s="511"/>
      <c r="I101" s="511"/>
      <c r="J101" s="511"/>
      <c r="K101" s="511"/>
      <c r="L101" s="511"/>
      <c r="M101" s="511"/>
      <c r="N101" s="511"/>
      <c r="O101" s="511"/>
      <c r="P101" s="511"/>
      <c r="Q101" s="511"/>
      <c r="R101" s="511"/>
      <c r="S101" s="511"/>
      <c r="T101" s="511"/>
      <c r="U101" s="511"/>
      <c r="V101" s="511"/>
      <c r="W101" s="511"/>
      <c r="X101" s="511"/>
      <c r="Y101" s="511"/>
      <c r="Z101" s="511"/>
      <c r="AA101" s="512"/>
      <c r="AB101" s="1589">
        <f t="shared" si="13"/>
        <v>3.3</v>
      </c>
      <c r="AC101" s="1589"/>
      <c r="AD101" s="3223"/>
      <c r="AE101" s="1589">
        <f>+'Exhibit F'!AF92+'Exhibit G'!AG77</f>
        <v>8</v>
      </c>
      <c r="AF101" s="1589"/>
      <c r="AG101" s="1589"/>
      <c r="AH101" s="1589">
        <f t="shared" si="14"/>
        <v>-4.7</v>
      </c>
      <c r="AI101" s="3013"/>
      <c r="AJ101" s="1678">
        <f t="shared" si="20"/>
        <v>-0.58799999999999997</v>
      </c>
    </row>
    <row r="102" spans="1:45" ht="16.5" customHeight="1">
      <c r="A102" s="869" t="s">
        <v>947</v>
      </c>
      <c r="B102" s="869"/>
      <c r="C102" s="511">
        <f>+'Exhibit F'!D93+'Exhibit G'!D78+'Exhibit I'!E59+'Exhibit H'!B48</f>
        <v>109.49999999999999</v>
      </c>
      <c r="D102" s="511"/>
      <c r="E102" s="511">
        <f>+'Exhibit F'!F93+'Exhibit G'!F78+'Exhibit I'!G59+'Exhibit H'!D48</f>
        <v>68.3</v>
      </c>
      <c r="F102" s="511"/>
      <c r="G102" s="511"/>
      <c r="H102" s="511"/>
      <c r="I102" s="511"/>
      <c r="J102" s="511"/>
      <c r="K102" s="511"/>
      <c r="L102" s="511"/>
      <c r="M102" s="511"/>
      <c r="N102" s="511"/>
      <c r="O102" s="511"/>
      <c r="P102" s="511"/>
      <c r="Q102" s="511"/>
      <c r="R102" s="511"/>
      <c r="S102" s="511"/>
      <c r="T102" s="511"/>
      <c r="U102" s="511"/>
      <c r="V102" s="511"/>
      <c r="W102" s="511"/>
      <c r="X102" s="511"/>
      <c r="Y102" s="511"/>
      <c r="Z102" s="511"/>
      <c r="AA102" s="512"/>
      <c r="AB102" s="1589">
        <f t="shared" si="13"/>
        <v>177.8</v>
      </c>
      <c r="AC102" s="1589"/>
      <c r="AD102" s="3223"/>
      <c r="AE102" s="1589">
        <f>+'Exhibit F'!AF93+'Exhibit G'!AG78+'Exhibit I'!AI59+'Exhibit H'!AD48</f>
        <v>150.90000000000003</v>
      </c>
      <c r="AF102" s="1589"/>
      <c r="AG102" s="1589"/>
      <c r="AH102" s="1589">
        <f t="shared" si="14"/>
        <v>26.9</v>
      </c>
      <c r="AI102" s="3013"/>
      <c r="AJ102" s="3219">
        <f t="shared" si="20"/>
        <v>0.17799999999999999</v>
      </c>
    </row>
    <row r="103" spans="1:45" ht="16.5" customHeight="1">
      <c r="A103" s="869" t="s">
        <v>948</v>
      </c>
      <c r="B103" s="869"/>
      <c r="C103" s="511">
        <f>+'Exhibit F'!D94+'Exhibit G'!D79+'Exhibit I'!E60+'Exhibit H'!B49</f>
        <v>0.70000000000000007</v>
      </c>
      <c r="D103" s="511"/>
      <c r="E103" s="511">
        <f>+'Exhibit F'!F94+'Exhibit G'!F79+'Exhibit I'!G60+'Exhibit H'!D49</f>
        <v>1.6</v>
      </c>
      <c r="F103" s="511"/>
      <c r="G103" s="511"/>
      <c r="H103" s="511"/>
      <c r="I103" s="511"/>
      <c r="J103" s="511"/>
      <c r="K103" s="511"/>
      <c r="L103" s="511"/>
      <c r="M103" s="511"/>
      <c r="N103" s="511"/>
      <c r="O103" s="511"/>
      <c r="P103" s="511"/>
      <c r="Q103" s="511"/>
      <c r="R103" s="511"/>
      <c r="S103" s="511"/>
      <c r="T103" s="511"/>
      <c r="U103" s="511"/>
      <c r="V103" s="511"/>
      <c r="W103" s="511"/>
      <c r="X103" s="511"/>
      <c r="Y103" s="511"/>
      <c r="Z103" s="511"/>
      <c r="AA103" s="512"/>
      <c r="AB103" s="1589">
        <f t="shared" si="13"/>
        <v>2.2999999999999998</v>
      </c>
      <c r="AC103" s="1589"/>
      <c r="AD103" s="3223"/>
      <c r="AE103" s="1589">
        <f>+'Exhibit F'!AF94+'Exhibit G'!AG79+'Exhibit I'!AI60+'Exhibit H'!AD49</f>
        <v>2.9000000000000004</v>
      </c>
      <c r="AF103" s="1589"/>
      <c r="AG103" s="1589"/>
      <c r="AH103" s="1589">
        <f t="shared" si="14"/>
        <v>-0.6</v>
      </c>
      <c r="AI103" s="3013"/>
      <c r="AJ103" s="1678">
        <f t="shared" si="20"/>
        <v>-0.20699999999999999</v>
      </c>
    </row>
    <row r="104" spans="1:45" ht="16.5" customHeight="1">
      <c r="A104" s="869" t="s">
        <v>949</v>
      </c>
      <c r="B104" s="869"/>
      <c r="C104" s="511">
        <f>+'Exhibit G'!D80</f>
        <v>36.700000000000003</v>
      </c>
      <c r="D104" s="511"/>
      <c r="E104" s="511">
        <f>+'Exhibit G'!F80</f>
        <v>-26.1</v>
      </c>
      <c r="F104" s="511"/>
      <c r="G104" s="511"/>
      <c r="H104" s="511"/>
      <c r="I104" s="511"/>
      <c r="J104" s="511"/>
      <c r="K104" s="511"/>
      <c r="L104" s="511"/>
      <c r="M104" s="511"/>
      <c r="N104" s="511"/>
      <c r="O104" s="511"/>
      <c r="P104" s="511"/>
      <c r="Q104" s="511"/>
      <c r="R104" s="511"/>
      <c r="S104" s="511"/>
      <c r="T104" s="511"/>
      <c r="U104" s="511"/>
      <c r="V104" s="511"/>
      <c r="W104" s="511"/>
      <c r="X104" s="511"/>
      <c r="Y104" s="511"/>
      <c r="Z104" s="511"/>
      <c r="AA104" s="512"/>
      <c r="AB104" s="1589">
        <f t="shared" si="13"/>
        <v>10.6</v>
      </c>
      <c r="AC104" s="1589"/>
      <c r="AD104" s="3223"/>
      <c r="AE104" s="1589">
        <f>+'Exhibit G'!AG80</f>
        <v>-34.1</v>
      </c>
      <c r="AF104" s="1589"/>
      <c r="AG104" s="1589"/>
      <c r="AH104" s="1589">
        <f t="shared" si="14"/>
        <v>44.7</v>
      </c>
      <c r="AI104" s="3013"/>
      <c r="AJ104" s="1678">
        <f>ROUND(IF(AE104=0,0,AH104/ABS(AE104)),3)</f>
        <v>1.3109999999999999</v>
      </c>
    </row>
    <row r="105" spans="1:45" s="419" customFormat="1" ht="16.5" customHeight="1">
      <c r="A105" s="304" t="s">
        <v>982</v>
      </c>
      <c r="B105" s="203"/>
      <c r="C105" s="252">
        <f>ROUND(SUM(C63:C104),1)</f>
        <v>2707.9</v>
      </c>
      <c r="D105" s="1046"/>
      <c r="E105" s="252">
        <f>ROUND(SUM(E63:E104),1)</f>
        <v>2561.1999999999998</v>
      </c>
      <c r="F105" s="1046"/>
      <c r="G105" s="252">
        <f>ROUND(SUM(G63:G104),1)</f>
        <v>0</v>
      </c>
      <c r="H105" s="899"/>
      <c r="I105" s="252">
        <f>ROUND(SUM(I63:I104),1)</f>
        <v>0</v>
      </c>
      <c r="J105" s="899"/>
      <c r="K105" s="252">
        <f>ROUND(SUM(K63:K104),1)</f>
        <v>0</v>
      </c>
      <c r="L105" s="899"/>
      <c r="M105" s="252">
        <f>ROUND(SUM(M63:M104),1)</f>
        <v>0</v>
      </c>
      <c r="N105" s="899"/>
      <c r="O105" s="2000">
        <f>ROUND(SUM(O63:O104),1)</f>
        <v>0</v>
      </c>
      <c r="P105" s="899"/>
      <c r="Q105" s="2000">
        <f>ROUND(SUM(Q63:Q104),1)</f>
        <v>0</v>
      </c>
      <c r="R105" s="899"/>
      <c r="S105" s="252">
        <f>ROUND(SUM(S63:S104),1)</f>
        <v>0</v>
      </c>
      <c r="T105" s="899"/>
      <c r="U105" s="252">
        <f>ROUND(SUM(U63:U104),1)</f>
        <v>0</v>
      </c>
      <c r="V105" s="899"/>
      <c r="W105" s="252">
        <f>ROUND(SUM(W63:W104),1)</f>
        <v>0</v>
      </c>
      <c r="X105" s="201"/>
      <c r="Y105" s="252">
        <f>ROUND(SUM(Y63:Y104),1)</f>
        <v>0</v>
      </c>
      <c r="Z105" s="201"/>
      <c r="AA105" s="253"/>
      <c r="AB105" s="1497">
        <f>ROUND(SUM(AB63:AB104),1)</f>
        <v>5269.1</v>
      </c>
      <c r="AC105" s="106"/>
      <c r="AD105" s="659"/>
      <c r="AE105" s="1497">
        <f>ROUND(SUM(AE63:AE104),1)</f>
        <v>3298.2</v>
      </c>
      <c r="AF105" s="109"/>
      <c r="AG105" s="3225"/>
      <c r="AH105" s="1497">
        <f>ROUND(SUM(AH63:AH104),1)</f>
        <v>1970.9</v>
      </c>
      <c r="AI105" s="109"/>
      <c r="AJ105" s="3220">
        <f>ROUND(IF(AE105=0,0,AH105/ABS(AE105)),3)</f>
        <v>0.59799999999999998</v>
      </c>
      <c r="AK105" s="3213"/>
      <c r="AL105" s="208"/>
    </row>
    <row r="106" spans="1:45" s="419" customFormat="1" ht="16.5" customHeight="1">
      <c r="A106" s="503"/>
      <c r="B106" s="503"/>
      <c r="C106" s="515"/>
      <c r="D106" s="515"/>
      <c r="E106" s="515"/>
      <c r="F106" s="515"/>
      <c r="G106" s="515"/>
      <c r="H106" s="515"/>
      <c r="I106" s="515"/>
      <c r="J106" s="515"/>
      <c r="K106" s="515"/>
      <c r="L106" s="515"/>
      <c r="M106" s="515"/>
      <c r="N106" s="515"/>
      <c r="O106" s="3021"/>
      <c r="P106" s="515"/>
      <c r="Q106" s="3021"/>
      <c r="R106" s="515"/>
      <c r="S106" s="515"/>
      <c r="T106" s="515"/>
      <c r="U106" s="515"/>
      <c r="V106" s="515"/>
      <c r="W106" s="515"/>
      <c r="X106" s="515"/>
      <c r="Y106" s="515"/>
      <c r="Z106" s="515"/>
      <c r="AA106" s="516"/>
      <c r="AB106" s="3021"/>
      <c r="AC106" s="3022"/>
      <c r="AD106" s="3226"/>
      <c r="AE106" s="3021"/>
      <c r="AF106" s="3022"/>
      <c r="AG106" s="3021"/>
      <c r="AH106" s="3021"/>
      <c r="AI106" s="3014"/>
      <c r="AJ106" s="3212"/>
      <c r="AK106" s="3213"/>
      <c r="AL106" s="208"/>
    </row>
    <row r="107" spans="1:45" ht="16.5" customHeight="1">
      <c r="A107" s="219" t="s">
        <v>20</v>
      </c>
      <c r="B107" s="219"/>
      <c r="C107" s="513">
        <f>+'Exhibit F'!D97+'Exhibit G'!D83+'Exhibit H'!B52+'Exhibit I'!E63</f>
        <v>6751.7</v>
      </c>
      <c r="D107" s="511"/>
      <c r="E107" s="513">
        <f>+'Exhibit F'!F97+'Exhibit G'!F83+'Exhibit H'!D52+'Exhibit I'!G63</f>
        <v>7503.3</v>
      </c>
      <c r="F107" s="511"/>
      <c r="G107" s="513"/>
      <c r="H107" s="511"/>
      <c r="I107" s="513"/>
      <c r="J107" s="511"/>
      <c r="K107" s="513"/>
      <c r="L107" s="511"/>
      <c r="M107" s="513"/>
      <c r="N107" s="511"/>
      <c r="O107" s="513"/>
      <c r="P107" s="511"/>
      <c r="Q107" s="513"/>
      <c r="R107" s="511"/>
      <c r="S107" s="513"/>
      <c r="T107" s="511"/>
      <c r="U107" s="513"/>
      <c r="V107" s="511"/>
      <c r="W107" s="513"/>
      <c r="X107" s="511"/>
      <c r="Y107" s="513"/>
      <c r="Z107" s="511"/>
      <c r="AA107" s="512"/>
      <c r="AB107" s="3023">
        <f>ROUND(SUM(C107:Y107),1)</f>
        <v>14255</v>
      </c>
      <c r="AC107" s="1589"/>
      <c r="AD107" s="3223"/>
      <c r="AE107" s="3719">
        <f>+'Exhibit F'!AF97+'Exhibit G'!AG83+'Exhibit H'!AD52+'Exhibit I'!AI63</f>
        <v>25410.400000000001</v>
      </c>
      <c r="AF107" s="2107"/>
      <c r="AG107" s="1589"/>
      <c r="AH107" s="3023">
        <f>ROUND(SUM(AB107-AE107),1)</f>
        <v>-11155.4</v>
      </c>
      <c r="AI107" s="3013"/>
      <c r="AJ107" s="3227">
        <f>ROUND(IF(AE107=0,0,AH107/ABS(AE107)),3)</f>
        <v>-0.439</v>
      </c>
    </row>
    <row r="108" spans="1:45" ht="16.5" customHeight="1">
      <c r="A108" s="219"/>
      <c r="B108" s="219"/>
      <c r="C108" s="511"/>
      <c r="D108" s="511"/>
      <c r="E108" s="511"/>
      <c r="F108" s="511"/>
      <c r="G108" s="511"/>
      <c r="H108" s="511"/>
      <c r="I108" s="511"/>
      <c r="J108" s="511"/>
      <c r="K108" s="511"/>
      <c r="L108" s="511"/>
      <c r="M108" s="511"/>
      <c r="N108" s="511"/>
      <c r="O108" s="1589"/>
      <c r="P108" s="511"/>
      <c r="Q108" s="1589"/>
      <c r="R108" s="511"/>
      <c r="S108" s="511"/>
      <c r="T108" s="511"/>
      <c r="U108" s="511"/>
      <c r="V108" s="511"/>
      <c r="W108" s="511"/>
      <c r="X108" s="511"/>
      <c r="Y108" s="511"/>
      <c r="Z108" s="511"/>
      <c r="AA108" s="512"/>
      <c r="AB108" s="1589"/>
      <c r="AC108" s="1589"/>
      <c r="AD108" s="3223"/>
      <c r="AE108" s="1589"/>
      <c r="AF108" s="2107"/>
      <c r="AG108" s="1589"/>
      <c r="AH108" s="1589"/>
      <c r="AI108" s="3013"/>
      <c r="AJ108" s="3228"/>
    </row>
    <row r="109" spans="1:45" ht="16.5" customHeight="1">
      <c r="A109" s="26" t="s">
        <v>147</v>
      </c>
      <c r="B109" s="27"/>
      <c r="C109" s="806">
        <f>ROUND(SUM(C107+C105+C59),1)</f>
        <v>27599.4</v>
      </c>
      <c r="D109" s="899"/>
      <c r="E109" s="806">
        <f>ROUND(SUM(E107+E105+E59),1)</f>
        <v>14815</v>
      </c>
      <c r="F109" s="899"/>
      <c r="G109" s="806">
        <f>ROUND(SUM(G107+G105+G59),1)</f>
        <v>0</v>
      </c>
      <c r="H109" s="899"/>
      <c r="I109" s="806">
        <f>ROUND(SUM(I107+I105+I59),1)</f>
        <v>0</v>
      </c>
      <c r="J109" s="899"/>
      <c r="K109" s="806">
        <f>ROUND(SUM(K107+K105+K59),1)</f>
        <v>0</v>
      </c>
      <c r="L109" s="899"/>
      <c r="M109" s="806">
        <f>ROUND(SUM(M107+M105+M59),1)</f>
        <v>0</v>
      </c>
      <c r="N109" s="899"/>
      <c r="O109" s="1084">
        <f>ROUND(SUM(O107+O105+O59),1)</f>
        <v>0</v>
      </c>
      <c r="P109" s="899"/>
      <c r="Q109" s="1084">
        <f>ROUND(SUM(Q107+Q105+Q59),1)</f>
        <v>0</v>
      </c>
      <c r="R109" s="899"/>
      <c r="S109" s="806">
        <f>ROUND(SUM(S107+S105+S59),1)</f>
        <v>0</v>
      </c>
      <c r="T109" s="899"/>
      <c r="U109" s="806">
        <f>ROUND(SUM(U107+U105+U59),1)</f>
        <v>0</v>
      </c>
      <c r="V109" s="899"/>
      <c r="W109" s="806">
        <f>ROUND(SUM(W107+W105+W59),1)</f>
        <v>0</v>
      </c>
      <c r="X109" s="201"/>
      <c r="Y109" s="806">
        <f>ROUND(SUM(Y107+Y105+Y59),1)</f>
        <v>0</v>
      </c>
      <c r="Z109" s="247"/>
      <c r="AA109" s="248"/>
      <c r="AB109" s="1084">
        <f>ROUND(SUM(AB107+AB105+AB59),1)</f>
        <v>42414.400000000001</v>
      </c>
      <c r="AC109" s="106"/>
      <c r="AD109" s="659"/>
      <c r="AE109" s="1084">
        <f>ROUND(SUM(AE107+AE105+AE59),1)</f>
        <v>49608.2</v>
      </c>
      <c r="AF109" s="109"/>
      <c r="AG109" s="3225"/>
      <c r="AH109" s="1084">
        <f>ROUND(SUM(AH107+AH105+AH59),1)</f>
        <v>-7193.8</v>
      </c>
      <c r="AI109" s="109"/>
      <c r="AJ109" s="3222">
        <f>ROUND(IF(AE109=0,0,AH109/ABS(AE109)),3)</f>
        <v>-0.14499999999999999</v>
      </c>
      <c r="AK109" s="3213"/>
      <c r="AM109" s="419"/>
      <c r="AN109" s="419"/>
      <c r="AO109" s="419"/>
      <c r="AP109" s="419"/>
      <c r="AQ109" s="419"/>
      <c r="AR109" s="419"/>
      <c r="AS109" s="419"/>
    </row>
    <row r="110" spans="1:45" ht="16.5" customHeight="1">
      <c r="A110" s="201"/>
      <c r="B110" s="219"/>
      <c r="C110" s="517"/>
      <c r="D110" s="511"/>
      <c r="E110" s="517"/>
      <c r="F110" s="511"/>
      <c r="G110" s="517"/>
      <c r="H110" s="511"/>
      <c r="I110" s="517"/>
      <c r="J110" s="511"/>
      <c r="K110" s="517"/>
      <c r="L110" s="511"/>
      <c r="M110" s="517"/>
      <c r="N110" s="511"/>
      <c r="O110" s="3024"/>
      <c r="P110" s="511"/>
      <c r="Q110" s="3024"/>
      <c r="R110" s="511"/>
      <c r="S110" s="517"/>
      <c r="T110" s="511"/>
      <c r="U110" s="517"/>
      <c r="V110" s="511"/>
      <c r="W110" s="517"/>
      <c r="X110" s="511"/>
      <c r="Y110" s="517"/>
      <c r="Z110" s="511"/>
      <c r="AA110" s="512"/>
      <c r="AB110" s="3024"/>
      <c r="AC110" s="1589"/>
      <c r="AD110" s="3223"/>
      <c r="AE110" s="3024"/>
      <c r="AF110" s="1589"/>
      <c r="AG110" s="1589"/>
      <c r="AH110" s="872"/>
      <c r="AI110" s="3013"/>
      <c r="AJ110" s="868"/>
    </row>
    <row r="111" spans="1:45" ht="16.5" customHeight="1">
      <c r="A111" s="201" t="s">
        <v>22</v>
      </c>
      <c r="B111" s="219"/>
      <c r="C111" s="518"/>
      <c r="D111" s="511"/>
      <c r="E111" s="518"/>
      <c r="F111" s="511"/>
      <c r="G111" s="518"/>
      <c r="H111" s="511"/>
      <c r="I111" s="518"/>
      <c r="J111" s="511"/>
      <c r="K111" s="518"/>
      <c r="L111" s="511"/>
      <c r="M111" s="518"/>
      <c r="N111" s="511"/>
      <c r="O111" s="2107"/>
      <c r="P111" s="511"/>
      <c r="Q111" s="2107"/>
      <c r="R111" s="511"/>
      <c r="S111" s="518"/>
      <c r="T111" s="511"/>
      <c r="U111" s="518"/>
      <c r="V111" s="511"/>
      <c r="W111" s="518"/>
      <c r="X111" s="511"/>
      <c r="Y111" s="518"/>
      <c r="Z111" s="511"/>
      <c r="AA111" s="512"/>
      <c r="AB111" s="2107"/>
      <c r="AC111" s="1589"/>
      <c r="AD111" s="3223"/>
      <c r="AE111" s="2107"/>
      <c r="AF111" s="1589"/>
      <c r="AG111" s="1589"/>
      <c r="AH111" s="872"/>
      <c r="AI111" s="3013"/>
      <c r="AJ111" s="868"/>
    </row>
    <row r="112" spans="1:45" ht="16.5" customHeight="1">
      <c r="A112" s="219" t="s">
        <v>135</v>
      </c>
      <c r="B112" s="219"/>
      <c r="C112" s="511"/>
      <c r="D112" s="511"/>
      <c r="E112" s="511"/>
      <c r="F112" s="511"/>
      <c r="G112" s="511"/>
      <c r="H112" s="511"/>
      <c r="I112" s="511"/>
      <c r="J112" s="511"/>
      <c r="K112" s="511"/>
      <c r="L112" s="511"/>
      <c r="M112" s="511"/>
      <c r="N112" s="511"/>
      <c r="O112" s="1589"/>
      <c r="P112" s="511"/>
      <c r="Q112" s="1589"/>
      <c r="R112" s="511"/>
      <c r="S112" s="511"/>
      <c r="T112" s="511"/>
      <c r="U112" s="511"/>
      <c r="V112" s="511"/>
      <c r="W112" s="511"/>
      <c r="X112" s="511"/>
      <c r="Y112" s="511"/>
      <c r="Z112" s="511"/>
      <c r="AA112" s="512"/>
      <c r="AB112" s="1589"/>
      <c r="AC112" s="1589"/>
      <c r="AD112" s="3223"/>
      <c r="AE112" s="112"/>
      <c r="AF112" s="1589"/>
      <c r="AG112" s="1589"/>
      <c r="AH112" s="1589"/>
      <c r="AI112" s="3013"/>
      <c r="AJ112" s="3224"/>
    </row>
    <row r="113" spans="1:37" ht="16.5" customHeight="1">
      <c r="A113" s="250" t="s">
        <v>24</v>
      </c>
      <c r="B113" s="219"/>
      <c r="C113" s="511">
        <f>+'Exhibit F'!D103+'Exhibit G'!D89+'Exhibit I'!E69</f>
        <v>2000.1</v>
      </c>
      <c r="D113" s="511"/>
      <c r="E113" s="511">
        <f>+'Exhibit F'!F103+'Exhibit G'!F89+'Exhibit I'!G69</f>
        <v>5113.4000000000005</v>
      </c>
      <c r="F113" s="511"/>
      <c r="G113" s="511"/>
      <c r="H113" s="511"/>
      <c r="I113" s="511"/>
      <c r="J113" s="511"/>
      <c r="K113" s="511"/>
      <c r="L113" s="511"/>
      <c r="M113" s="511"/>
      <c r="N113" s="511"/>
      <c r="O113" s="511"/>
      <c r="P113" s="511"/>
      <c r="Q113" s="511"/>
      <c r="R113" s="511"/>
      <c r="S113" s="511"/>
      <c r="T113" s="511"/>
      <c r="U113" s="511"/>
      <c r="V113" s="511"/>
      <c r="W113" s="511"/>
      <c r="X113" s="511"/>
      <c r="Y113" s="511"/>
      <c r="Z113" s="511"/>
      <c r="AA113" s="512"/>
      <c r="AB113" s="112">
        <f>ROUND(SUM(C113:Y113),1)</f>
        <v>7113.5</v>
      </c>
      <c r="AC113" s="1589"/>
      <c r="AD113" s="3223"/>
      <c r="AE113" s="112">
        <f>+'Exhibit F'!AF103+'Exhibit G'!AG89+'Exhibit I'!AI69</f>
        <v>5213</v>
      </c>
      <c r="AF113" s="1589"/>
      <c r="AG113" s="1589"/>
      <c r="AH113" s="1589">
        <f>ROUND(SUM(AB113-AE113),1)</f>
        <v>1900.5</v>
      </c>
      <c r="AI113" s="3013"/>
      <c r="AJ113" s="1678">
        <f>ROUND(IF(AE113=0,0,AH113/ABS(AE113)),3)</f>
        <v>0.36499999999999999</v>
      </c>
    </row>
    <row r="114" spans="1:37" ht="16.5" customHeight="1">
      <c r="A114" s="250" t="s">
        <v>25</v>
      </c>
      <c r="B114" s="219"/>
      <c r="C114" s="511">
        <f>+'Exhibit F'!D104+'Exhibit G'!D90+'Exhibit I'!E70</f>
        <v>4.3999999999999995</v>
      </c>
      <c r="D114" s="511"/>
      <c r="E114" s="511">
        <f>+'Exhibit F'!F104+'Exhibit G'!F90+'Exhibit I'!G70</f>
        <v>9.0999999999999979</v>
      </c>
      <c r="F114" s="511"/>
      <c r="G114" s="511"/>
      <c r="H114" s="511"/>
      <c r="I114" s="511"/>
      <c r="J114" s="511"/>
      <c r="K114" s="511"/>
      <c r="L114" s="511"/>
      <c r="M114" s="511"/>
      <c r="N114" s="511"/>
      <c r="O114" s="511"/>
      <c r="P114" s="511"/>
      <c r="Q114" s="511"/>
      <c r="R114" s="511"/>
      <c r="S114" s="511"/>
      <c r="T114" s="511"/>
      <c r="U114" s="511"/>
      <c r="V114" s="511"/>
      <c r="W114" s="511"/>
      <c r="X114" s="511"/>
      <c r="Y114" s="511"/>
      <c r="Z114" s="511"/>
      <c r="AA114" s="512"/>
      <c r="AB114" s="112">
        <f t="shared" ref="AB114:AB121" si="21">ROUND(SUM(C114:Y114),1)</f>
        <v>13.5</v>
      </c>
      <c r="AC114" s="1589"/>
      <c r="AD114" s="3223"/>
      <c r="AE114" s="112">
        <f>+'Exhibit F'!AF104+'Exhibit G'!AG90+'Exhibit I'!AI70</f>
        <v>39</v>
      </c>
      <c r="AF114" s="1589"/>
      <c r="AG114" s="1589"/>
      <c r="AH114" s="1589">
        <f t="shared" ref="AH114:AH121" si="22">ROUND(SUM(AB114-AE114),1)</f>
        <v>-25.5</v>
      </c>
      <c r="AI114" s="3013"/>
      <c r="AJ114" s="1678">
        <f>ROUND(IF(AE114=0,0,AH114/ABS(AE114)),3)</f>
        <v>-0.65400000000000003</v>
      </c>
    </row>
    <row r="115" spans="1:37" ht="16.5" customHeight="1">
      <c r="A115" s="250" t="s">
        <v>26</v>
      </c>
      <c r="B115" s="219"/>
      <c r="C115" s="511">
        <f>+'Exhibit F'!D105+'Exhibit G'!D91+'Exhibit I'!E71</f>
        <v>155.20000000000002</v>
      </c>
      <c r="D115" s="511"/>
      <c r="E115" s="511">
        <f>+'Exhibit F'!F105+'Exhibit G'!F91+'Exhibit I'!G71</f>
        <v>200.2</v>
      </c>
      <c r="F115" s="511"/>
      <c r="G115" s="511"/>
      <c r="H115" s="511"/>
      <c r="I115" s="511"/>
      <c r="J115" s="511"/>
      <c r="K115" s="511"/>
      <c r="L115" s="511"/>
      <c r="M115" s="511"/>
      <c r="N115" s="511"/>
      <c r="O115" s="511"/>
      <c r="P115" s="511"/>
      <c r="Q115" s="511"/>
      <c r="R115" s="511"/>
      <c r="S115" s="511"/>
      <c r="T115" s="511"/>
      <c r="U115" s="511"/>
      <c r="V115" s="511"/>
      <c r="W115" s="511"/>
      <c r="X115" s="511"/>
      <c r="Y115" s="511"/>
      <c r="Z115" s="511"/>
      <c r="AA115" s="512"/>
      <c r="AB115" s="112">
        <f t="shared" si="21"/>
        <v>355.4</v>
      </c>
      <c r="AC115" s="1589"/>
      <c r="AD115" s="3223"/>
      <c r="AE115" s="112">
        <f>+'Exhibit F'!AF105+'Exhibit G'!AG91+'Exhibit I'!AI71</f>
        <v>167.1</v>
      </c>
      <c r="AF115" s="1589"/>
      <c r="AG115" s="1589"/>
      <c r="AH115" s="1589">
        <f t="shared" si="22"/>
        <v>188.3</v>
      </c>
      <c r="AI115" s="3013"/>
      <c r="AJ115" s="1678">
        <f>ROUND(IF(AE115=0,0,AH115/ABS(AE115)),3)</f>
        <v>1.127</v>
      </c>
    </row>
    <row r="116" spans="1:37" ht="16.5" customHeight="1">
      <c r="A116" s="250" t="s">
        <v>27</v>
      </c>
      <c r="B116" s="219"/>
      <c r="C116" s="511"/>
      <c r="D116" s="511"/>
      <c r="E116" s="511"/>
      <c r="F116" s="511"/>
      <c r="G116" s="511"/>
      <c r="H116" s="511"/>
      <c r="I116" s="511"/>
      <c r="J116" s="511"/>
      <c r="K116" s="511"/>
      <c r="L116" s="511"/>
      <c r="M116" s="511"/>
      <c r="N116" s="511"/>
      <c r="O116" s="511"/>
      <c r="P116" s="511"/>
      <c r="Q116" s="511"/>
      <c r="R116" s="511"/>
      <c r="S116" s="511"/>
      <c r="T116" s="511"/>
      <c r="U116" s="511"/>
      <c r="V116" s="511"/>
      <c r="W116" s="511"/>
      <c r="X116" s="511"/>
      <c r="Y116" s="511"/>
      <c r="Z116" s="511"/>
      <c r="AA116" s="512"/>
      <c r="AB116" s="112"/>
      <c r="AC116" s="1589"/>
      <c r="AD116" s="3223"/>
      <c r="AE116" s="350"/>
      <c r="AF116" s="1589"/>
      <c r="AG116" s="1589"/>
      <c r="AH116" s="1589" t="s">
        <v>14</v>
      </c>
      <c r="AI116" s="3013"/>
      <c r="AJ116" s="3224"/>
    </row>
    <row r="117" spans="1:37" ht="16.5" customHeight="1">
      <c r="A117" s="251" t="s">
        <v>28</v>
      </c>
      <c r="B117" s="219"/>
      <c r="C117" s="511">
        <f>+'Exhibit F'!D107+'Exhibit G'!D93+'Exhibit I'!E73</f>
        <v>7264.3000000000011</v>
      </c>
      <c r="D117" s="511"/>
      <c r="E117" s="511">
        <f>+'Exhibit F'!F107+'Exhibit G'!F93+'Exhibit I'!G73</f>
        <v>6366.9</v>
      </c>
      <c r="F117" s="511"/>
      <c r="G117" s="511"/>
      <c r="H117" s="511"/>
      <c r="I117" s="511"/>
      <c r="J117" s="511"/>
      <c r="K117" s="511"/>
      <c r="L117" s="511"/>
      <c r="M117" s="511"/>
      <c r="N117" s="511"/>
      <c r="O117" s="511"/>
      <c r="P117" s="511"/>
      <c r="Q117" s="511"/>
      <c r="R117" s="511"/>
      <c r="S117" s="511"/>
      <c r="T117" s="511"/>
      <c r="U117" s="511"/>
      <c r="V117" s="511"/>
      <c r="W117" s="511"/>
      <c r="X117" s="511"/>
      <c r="Y117" s="511"/>
      <c r="Z117" s="511"/>
      <c r="AA117" s="512"/>
      <c r="AB117" s="112">
        <f t="shared" si="21"/>
        <v>13631.2</v>
      </c>
      <c r="AC117" s="1589"/>
      <c r="AD117" s="3223"/>
      <c r="AE117" s="112">
        <f>+'Exhibit F'!AF107+'Exhibit G'!AG93+'Exhibit I'!AI73</f>
        <v>12194.2</v>
      </c>
      <c r="AF117" s="1589"/>
      <c r="AG117" s="1589"/>
      <c r="AH117" s="1589">
        <f t="shared" si="22"/>
        <v>1437</v>
      </c>
      <c r="AI117" s="3013"/>
      <c r="AJ117" s="1678">
        <f t="shared" ref="AJ117:AJ123" si="23">ROUND(IF(AE117=0,0,AH117/ABS(AE117)),3)</f>
        <v>0.11799999999999999</v>
      </c>
      <c r="AK117" s="3229"/>
    </row>
    <row r="118" spans="1:37" ht="16.5" customHeight="1">
      <c r="A118" s="250" t="s">
        <v>29</v>
      </c>
      <c r="B118" s="219"/>
      <c r="C118" s="511">
        <f>+'Exhibit F'!D108+'Exhibit G'!D94+'Exhibit I'!E74</f>
        <v>637.79999999999995</v>
      </c>
      <c r="D118" s="511"/>
      <c r="E118" s="511">
        <f>+'Exhibit F'!F108+'Exhibit G'!F94+'Exhibit I'!G74</f>
        <v>825.39999999999986</v>
      </c>
      <c r="F118" s="511"/>
      <c r="G118" s="511"/>
      <c r="H118" s="511"/>
      <c r="I118" s="511"/>
      <c r="J118" s="511"/>
      <c r="K118" s="511"/>
      <c r="L118" s="511"/>
      <c r="M118" s="511"/>
      <c r="N118" s="511"/>
      <c r="O118" s="511"/>
      <c r="P118" s="511"/>
      <c r="Q118" s="511"/>
      <c r="R118" s="511"/>
      <c r="S118" s="511"/>
      <c r="T118" s="511"/>
      <c r="U118" s="511"/>
      <c r="V118" s="511"/>
      <c r="W118" s="511"/>
      <c r="X118" s="511"/>
      <c r="Y118" s="511"/>
      <c r="Z118" s="511"/>
      <c r="AA118" s="512"/>
      <c r="AB118" s="112">
        <f t="shared" si="21"/>
        <v>1463.2</v>
      </c>
      <c r="AC118" s="3025"/>
      <c r="AD118" s="1589"/>
      <c r="AE118" s="112">
        <f>+'Exhibit F'!AF108+'Exhibit G'!AG94+'Exhibit I'!AI74</f>
        <v>1340.6</v>
      </c>
      <c r="AF118" s="1589"/>
      <c r="AG118" s="1589"/>
      <c r="AH118" s="1589">
        <f t="shared" si="22"/>
        <v>122.6</v>
      </c>
      <c r="AI118" s="3013"/>
      <c r="AJ118" s="1678">
        <f t="shared" si="23"/>
        <v>9.0999999999999998E-2</v>
      </c>
    </row>
    <row r="119" spans="1:37" ht="16.5" customHeight="1">
      <c r="A119" s="250" t="s">
        <v>30</v>
      </c>
      <c r="B119" s="219"/>
      <c r="C119" s="511">
        <f>+'Exhibit F'!D109+'Exhibit G'!D95+'Exhibit I'!E75</f>
        <v>93.1</v>
      </c>
      <c r="D119" s="511"/>
      <c r="E119" s="511">
        <f>+'Exhibit F'!F109+'Exhibit G'!F95+'Exhibit I'!G75</f>
        <v>134.29999999999998</v>
      </c>
      <c r="F119" s="511"/>
      <c r="G119" s="511"/>
      <c r="H119" s="511"/>
      <c r="I119" s="511"/>
      <c r="J119" s="511"/>
      <c r="K119" s="511"/>
      <c r="L119" s="511"/>
      <c r="M119" s="511"/>
      <c r="N119" s="511"/>
      <c r="O119" s="511"/>
      <c r="P119" s="511"/>
      <c r="Q119" s="511"/>
      <c r="R119" s="511"/>
      <c r="S119" s="511"/>
      <c r="T119" s="511"/>
      <c r="U119" s="511"/>
      <c r="V119" s="511"/>
      <c r="W119" s="511"/>
      <c r="X119" s="511"/>
      <c r="Y119" s="511"/>
      <c r="Z119" s="511"/>
      <c r="AA119" s="512"/>
      <c r="AB119" s="112">
        <f t="shared" si="21"/>
        <v>227.4</v>
      </c>
      <c r="AC119" s="3026"/>
      <c r="AD119" s="3223"/>
      <c r="AE119" s="112">
        <f>+'Exhibit F'!AF109+'Exhibit G'!AG95+'Exhibit I'!AI75</f>
        <v>267.5</v>
      </c>
      <c r="AF119" s="1589"/>
      <c r="AG119" s="1589"/>
      <c r="AH119" s="1589">
        <f t="shared" si="22"/>
        <v>-40.1</v>
      </c>
      <c r="AI119" s="3013"/>
      <c r="AJ119" s="1678">
        <f t="shared" si="23"/>
        <v>-0.15</v>
      </c>
    </row>
    <row r="120" spans="1:37" ht="16.5" customHeight="1">
      <c r="A120" s="250" t="s">
        <v>31</v>
      </c>
      <c r="B120" s="219"/>
      <c r="C120" s="511">
        <f>+'Exhibit F'!D110+'Exhibit G'!D96+'Exhibit I'!E76</f>
        <v>592.20000000000005</v>
      </c>
      <c r="D120" s="511"/>
      <c r="E120" s="511">
        <f>+'Exhibit F'!F110+'Exhibit G'!F96+'Exhibit I'!G76</f>
        <v>804.9</v>
      </c>
      <c r="F120" s="511"/>
      <c r="G120" s="511"/>
      <c r="H120" s="511"/>
      <c r="I120" s="511"/>
      <c r="J120" s="511"/>
      <c r="K120" s="511"/>
      <c r="L120" s="511"/>
      <c r="M120" s="511"/>
      <c r="N120" s="511"/>
      <c r="O120" s="511"/>
      <c r="P120" s="511"/>
      <c r="Q120" s="511"/>
      <c r="R120" s="511"/>
      <c r="S120" s="511"/>
      <c r="T120" s="511"/>
      <c r="U120" s="511"/>
      <c r="V120" s="511"/>
      <c r="W120" s="511"/>
      <c r="X120" s="511"/>
      <c r="Y120" s="511"/>
      <c r="Z120" s="511"/>
      <c r="AA120" s="512"/>
      <c r="AB120" s="112">
        <f t="shared" si="21"/>
        <v>1397.1</v>
      </c>
      <c r="AC120" s="3026"/>
      <c r="AD120" s="3223"/>
      <c r="AE120" s="112">
        <f>+'Exhibit F'!AF110+'Exhibit G'!AG96+'Exhibit I'!AI76</f>
        <v>586.9</v>
      </c>
      <c r="AF120" s="1589"/>
      <c r="AG120" s="1589"/>
      <c r="AH120" s="1589">
        <f t="shared" si="22"/>
        <v>810.2</v>
      </c>
      <c r="AI120" s="3013"/>
      <c r="AJ120" s="1678">
        <f t="shared" si="23"/>
        <v>1.38</v>
      </c>
    </row>
    <row r="121" spans="1:37" ht="16.5" customHeight="1">
      <c r="A121" s="250" t="s">
        <v>32</v>
      </c>
      <c r="B121" s="219"/>
      <c r="C121" s="511">
        <f>+'Exhibit F'!D111+'Exhibit G'!D97+'Exhibit I'!E77</f>
        <v>25.6</v>
      </c>
      <c r="D121" s="511"/>
      <c r="E121" s="511">
        <f>+'Exhibit F'!F111+'Exhibit G'!F97+'Exhibit I'!G77</f>
        <v>32.799999999999997</v>
      </c>
      <c r="F121" s="511"/>
      <c r="G121" s="511"/>
      <c r="H121" s="511"/>
      <c r="I121" s="511"/>
      <c r="J121" s="511"/>
      <c r="K121" s="511"/>
      <c r="L121" s="511"/>
      <c r="M121" s="511"/>
      <c r="N121" s="511"/>
      <c r="O121" s="511"/>
      <c r="P121" s="511"/>
      <c r="Q121" s="511"/>
      <c r="R121" s="511"/>
      <c r="S121" s="511"/>
      <c r="T121" s="511"/>
      <c r="U121" s="511"/>
      <c r="V121" s="511"/>
      <c r="W121" s="511"/>
      <c r="X121" s="511"/>
      <c r="Y121" s="511"/>
      <c r="Z121" s="511"/>
      <c r="AA121" s="512"/>
      <c r="AB121" s="112">
        <f t="shared" si="21"/>
        <v>58.4</v>
      </c>
      <c r="AC121" s="3026"/>
      <c r="AD121" s="3223"/>
      <c r="AE121" s="112">
        <f>+'Exhibit F'!AF111+'Exhibit G'!AG97+'Exhibit I'!AI77</f>
        <v>90.2</v>
      </c>
      <c r="AF121" s="1589"/>
      <c r="AG121" s="1589"/>
      <c r="AH121" s="1589">
        <f t="shared" si="22"/>
        <v>-31.8</v>
      </c>
      <c r="AI121" s="3013"/>
      <c r="AJ121" s="1678">
        <f t="shared" si="23"/>
        <v>-0.35299999999999998</v>
      </c>
    </row>
    <row r="122" spans="1:37" ht="16.5" customHeight="1">
      <c r="A122" s="250" t="s">
        <v>33</v>
      </c>
      <c r="B122" s="219"/>
      <c r="C122" s="511">
        <f>+'Exhibit F'!D112+'Exhibit G'!D98+'Exhibit I'!E78</f>
        <v>96</v>
      </c>
      <c r="D122" s="511"/>
      <c r="E122" s="511">
        <f>+'Exhibit F'!F112+'Exhibit G'!F98+'Exhibit I'!G78</f>
        <v>659.2</v>
      </c>
      <c r="F122" s="511"/>
      <c r="G122" s="511"/>
      <c r="H122" s="511"/>
      <c r="I122" s="511"/>
      <c r="J122" s="511"/>
      <c r="K122" s="511"/>
      <c r="L122" s="511"/>
      <c r="M122" s="511"/>
      <c r="N122" s="511"/>
      <c r="O122" s="511"/>
      <c r="P122" s="511"/>
      <c r="Q122" s="511"/>
      <c r="R122" s="511"/>
      <c r="S122" s="511"/>
      <c r="T122" s="511"/>
      <c r="U122" s="511"/>
      <c r="V122" s="511"/>
      <c r="W122" s="511"/>
      <c r="X122" s="511"/>
      <c r="Y122" s="511"/>
      <c r="Z122" s="511"/>
      <c r="AA122" s="512"/>
      <c r="AB122" s="1589">
        <f>ROUND(SUM(C122:Y122),1)</f>
        <v>755.2</v>
      </c>
      <c r="AC122" s="3026"/>
      <c r="AD122" s="3223"/>
      <c r="AE122" s="112">
        <f>+'Exhibit F'!AF112+'Exhibit G'!AG98+'Exhibit I'!AI78</f>
        <v>863.89999999999986</v>
      </c>
      <c r="AF122" s="1589"/>
      <c r="AG122" s="1589"/>
      <c r="AH122" s="1589">
        <f>ROUND(SUM(AB122-AE122),1)</f>
        <v>-108.7</v>
      </c>
      <c r="AI122" s="3013"/>
      <c r="AJ122" s="1678">
        <f t="shared" si="23"/>
        <v>-0.126</v>
      </c>
    </row>
    <row r="123" spans="1:37" ht="16.5" customHeight="1">
      <c r="A123" s="219" t="s">
        <v>34</v>
      </c>
      <c r="B123" s="219"/>
      <c r="C123" s="521">
        <f>ROUND(SUM(C113:C122),1)</f>
        <v>10868.7</v>
      </c>
      <c r="D123" s="515"/>
      <c r="E123" s="521">
        <f>ROUND(SUM(E113:E122),1)</f>
        <v>14146.2</v>
      </c>
      <c r="F123" s="515"/>
      <c r="G123" s="521">
        <f>ROUND(SUM(G113:G122),1)</f>
        <v>0</v>
      </c>
      <c r="H123" s="515"/>
      <c r="I123" s="521">
        <f>ROUND(SUM(I113:I122),1)</f>
        <v>0</v>
      </c>
      <c r="J123" s="515"/>
      <c r="K123" s="521">
        <f>ROUND(SUM(K113:K122),1)</f>
        <v>0</v>
      </c>
      <c r="L123" s="515"/>
      <c r="M123" s="521">
        <f>ROUND(SUM(M113:M122),1)</f>
        <v>0</v>
      </c>
      <c r="N123" s="515"/>
      <c r="O123" s="3018">
        <f>ROUND(SUM(O113:O122),1)</f>
        <v>0</v>
      </c>
      <c r="P123" s="515"/>
      <c r="Q123" s="3018">
        <f>ROUND(SUM(Q113:Q122),1)</f>
        <v>0</v>
      </c>
      <c r="R123" s="515"/>
      <c r="S123" s="521">
        <f>ROUND(SUM(S113:S122),1)</f>
        <v>0</v>
      </c>
      <c r="T123" s="515"/>
      <c r="U123" s="521">
        <f>ROUND(SUM(U113:U122),1)</f>
        <v>0</v>
      </c>
      <c r="V123" s="515"/>
      <c r="W123" s="521">
        <f>ROUND(SUM(W113:W122),1)</f>
        <v>0</v>
      </c>
      <c r="X123" s="515"/>
      <c r="Y123" s="521">
        <f>ROUND(SUM(Y113:Y122),1)</f>
        <v>0</v>
      </c>
      <c r="Z123" s="515"/>
      <c r="AA123" s="516"/>
      <c r="AB123" s="3018">
        <f>ROUND(SUM(AB113:AB122),1)</f>
        <v>25014.9</v>
      </c>
      <c r="AC123" s="3027"/>
      <c r="AD123" s="3230"/>
      <c r="AE123" s="3018">
        <f>ROUND(SUM(AE113:AE122),1)</f>
        <v>20762.400000000001</v>
      </c>
      <c r="AF123" s="3021"/>
      <c r="AG123" s="3021"/>
      <c r="AH123" s="3018">
        <f>ROUND(SUM(AH113:AH122),1)</f>
        <v>4252.5</v>
      </c>
      <c r="AI123" s="3014"/>
      <c r="AJ123" s="3220">
        <f t="shared" si="23"/>
        <v>0.20499999999999999</v>
      </c>
      <c r="AK123" s="3213"/>
    </row>
    <row r="124" spans="1:37" ht="16.5" customHeight="1">
      <c r="A124" s="219" t="s">
        <v>35</v>
      </c>
      <c r="B124" s="219"/>
      <c r="C124" s="518"/>
      <c r="D124" s="511"/>
      <c r="E124" s="518"/>
      <c r="F124" s="511"/>
      <c r="G124" s="518"/>
      <c r="H124" s="511"/>
      <c r="I124" s="518"/>
      <c r="J124" s="511"/>
      <c r="K124" s="518"/>
      <c r="L124" s="511"/>
      <c r="M124" s="518"/>
      <c r="N124" s="511"/>
      <c r="O124" s="2107"/>
      <c r="P124" s="511"/>
      <c r="Q124" s="2107"/>
      <c r="R124" s="511"/>
      <c r="S124" s="518"/>
      <c r="T124" s="511"/>
      <c r="U124" s="518"/>
      <c r="V124" s="511"/>
      <c r="W124" s="518"/>
      <c r="X124" s="511"/>
      <c r="Y124" s="518"/>
      <c r="Z124" s="511"/>
      <c r="AA124" s="512"/>
      <c r="AB124" s="2107"/>
      <c r="AC124" s="1589"/>
      <c r="AD124" s="3223"/>
      <c r="AE124" s="62"/>
      <c r="AF124" s="1589"/>
      <c r="AG124" s="1589"/>
      <c r="AH124" s="872"/>
      <c r="AI124" s="3013"/>
      <c r="AJ124" s="868"/>
    </row>
    <row r="125" spans="1:37" ht="16.5" customHeight="1">
      <c r="A125" s="219" t="s">
        <v>136</v>
      </c>
      <c r="B125" s="219"/>
      <c r="C125" s="511">
        <f>+'Exhibit F'!D115+'Exhibit G'!D101+'Exhibit I'!E81</f>
        <v>1209.0999999999999</v>
      </c>
      <c r="D125" s="511"/>
      <c r="E125" s="511">
        <f>+'Exhibit F'!F115+'Exhibit G'!F101+'Exhibit I'!G81</f>
        <v>1153.2</v>
      </c>
      <c r="F125" s="511"/>
      <c r="G125" s="511"/>
      <c r="H125" s="511"/>
      <c r="I125" s="511"/>
      <c r="J125" s="511"/>
      <c r="K125" s="511"/>
      <c r="L125" s="511"/>
      <c r="M125" s="511"/>
      <c r="N125" s="511"/>
      <c r="O125" s="511"/>
      <c r="P125" s="511"/>
      <c r="Q125" s="511"/>
      <c r="R125" s="511"/>
      <c r="S125" s="511"/>
      <c r="T125" s="511"/>
      <c r="U125" s="511"/>
      <c r="V125" s="511"/>
      <c r="W125" s="511"/>
      <c r="X125" s="511"/>
      <c r="Y125" s="511"/>
      <c r="Z125" s="511"/>
      <c r="AA125" s="512"/>
      <c r="AB125" s="1589">
        <f>ROUND(SUM(C125:Y125),1)</f>
        <v>2362.3000000000002</v>
      </c>
      <c r="AC125" s="1589"/>
      <c r="AD125" s="3223"/>
      <c r="AE125" s="62">
        <f>+'Exhibit F'!AF115+'Exhibit G'!AG101+'Exhibit I'!AI81</f>
        <v>2340.5</v>
      </c>
      <c r="AF125" s="1589"/>
      <c r="AG125" s="1589"/>
      <c r="AH125" s="1589">
        <f>ROUND(SUM(AB125-AE125),1)</f>
        <v>21.8</v>
      </c>
      <c r="AI125" s="3013"/>
      <c r="AJ125" s="1678">
        <f>ROUND(IF(AE125=0,0,AH125/ABS(AE125)),3)</f>
        <v>8.9999999999999993E-3</v>
      </c>
    </row>
    <row r="126" spans="1:37" ht="16.5" customHeight="1">
      <c r="A126" s="219" t="s">
        <v>137</v>
      </c>
      <c r="B126" s="219"/>
      <c r="C126" s="511">
        <f>+'Exhibit F'!D116+'Exhibit G'!D102+'Exhibit H'!B58+'Exhibit I'!E82</f>
        <v>468.7</v>
      </c>
      <c r="D126" s="511"/>
      <c r="E126" s="511">
        <f>+'Exhibit F'!F116+'Exhibit G'!F102+'Exhibit H'!D58+'Exhibit I'!G82</f>
        <v>627.9</v>
      </c>
      <c r="F126" s="511"/>
      <c r="G126" s="511"/>
      <c r="H126" s="511"/>
      <c r="I126" s="511"/>
      <c r="J126" s="511"/>
      <c r="K126" s="511"/>
      <c r="L126" s="511"/>
      <c r="M126" s="511"/>
      <c r="N126" s="511"/>
      <c r="O126" s="511"/>
      <c r="P126" s="511"/>
      <c r="Q126" s="511"/>
      <c r="R126" s="511"/>
      <c r="S126" s="511"/>
      <c r="T126" s="511"/>
      <c r="U126" s="511"/>
      <c r="V126" s="511"/>
      <c r="W126" s="511"/>
      <c r="X126" s="511"/>
      <c r="Y126" s="511"/>
      <c r="Z126" s="511"/>
      <c r="AA126" s="512"/>
      <c r="AB126" s="1589">
        <f>ROUND(SUM(C126:Y126),1)</f>
        <v>1096.5999999999999</v>
      </c>
      <c r="AC126" s="1589"/>
      <c r="AD126" s="3223"/>
      <c r="AE126" s="62">
        <f>+'Exhibit F'!AF116+'Exhibit G'!AG102+'Exhibit H'!AD58+'Exhibit I'!AI82</f>
        <v>1095.4000000000001</v>
      </c>
      <c r="AF126" s="1589"/>
      <c r="AG126" s="1589"/>
      <c r="AH126" s="1589">
        <f>ROUND(SUM(AB126-AE126),1)</f>
        <v>1.2</v>
      </c>
      <c r="AI126" s="3013"/>
      <c r="AJ126" s="1678">
        <f>ROUND(IF(AE126=0,0,AH126/ABS(AE126)),3)</f>
        <v>1E-3</v>
      </c>
    </row>
    <row r="127" spans="1:37" ht="16.5" customHeight="1">
      <c r="A127" s="219" t="s">
        <v>38</v>
      </c>
      <c r="B127" s="219"/>
      <c r="C127" s="511">
        <f>+'Exhibit F'!D117+'Exhibit G'!D103+'Exhibit I'!E83</f>
        <v>872</v>
      </c>
      <c r="D127" s="511"/>
      <c r="E127" s="511">
        <f>+'Exhibit F'!F117+'Exhibit G'!F103+'Exhibit I'!G83</f>
        <v>2093.7999999999997</v>
      </c>
      <c r="F127" s="511"/>
      <c r="G127" s="511"/>
      <c r="H127" s="511"/>
      <c r="I127" s="511"/>
      <c r="J127" s="511"/>
      <c r="K127" s="511"/>
      <c r="L127" s="511"/>
      <c r="M127" s="511"/>
      <c r="N127" s="511"/>
      <c r="O127" s="511"/>
      <c r="P127" s="511"/>
      <c r="Q127" s="511"/>
      <c r="R127" s="511"/>
      <c r="S127" s="511"/>
      <c r="T127" s="511"/>
      <c r="U127" s="511"/>
      <c r="V127" s="511"/>
      <c r="W127" s="511"/>
      <c r="X127" s="511"/>
      <c r="Y127" s="511"/>
      <c r="Z127" s="511"/>
      <c r="AA127" s="512"/>
      <c r="AB127" s="1589">
        <f>ROUND(SUM(C127:Y127),1)</f>
        <v>2965.8</v>
      </c>
      <c r="AC127" s="1589"/>
      <c r="AD127" s="3223"/>
      <c r="AE127" s="62">
        <f>+'Exhibit F'!AF117+'Exhibit G'!AG103+'Exhibit H'!AD59+'Exhibit I'!AI83</f>
        <v>3262.5</v>
      </c>
      <c r="AF127" s="1589"/>
      <c r="AG127" s="1589"/>
      <c r="AH127" s="1589">
        <f>ROUND(SUM(AB127-AE127),1)</f>
        <v>-296.7</v>
      </c>
      <c r="AI127" s="3013"/>
      <c r="AJ127" s="1678">
        <f>ROUND(IF(AE127=0,0,AH127/ABS(AE127)),3)</f>
        <v>-9.0999999999999998E-2</v>
      </c>
    </row>
    <row r="128" spans="1:37" ht="16.5" customHeight="1">
      <c r="A128" s="219" t="s">
        <v>1146</v>
      </c>
      <c r="B128" s="219"/>
      <c r="C128" s="518"/>
      <c r="D128" s="511"/>
      <c r="E128" s="518"/>
      <c r="F128" s="511"/>
      <c r="G128" s="518"/>
      <c r="H128" s="511"/>
      <c r="I128" s="518"/>
      <c r="J128" s="511"/>
      <c r="K128" s="518"/>
      <c r="L128" s="511"/>
      <c r="M128" s="518"/>
      <c r="N128" s="511"/>
      <c r="O128" s="518"/>
      <c r="P128" s="511"/>
      <c r="Q128" s="518"/>
      <c r="R128" s="511"/>
      <c r="S128" s="518"/>
      <c r="T128" s="511"/>
      <c r="U128" s="518"/>
      <c r="V128" s="511"/>
      <c r="W128" s="518"/>
      <c r="X128" s="511"/>
      <c r="Y128" s="518"/>
      <c r="Z128" s="511"/>
      <c r="AA128" s="512"/>
      <c r="AB128" s="1589"/>
      <c r="AC128" s="1589"/>
      <c r="AD128" s="3223"/>
      <c r="AE128" s="2107"/>
      <c r="AF128" s="1589"/>
      <c r="AG128" s="1589"/>
      <c r="AH128" s="1589"/>
      <c r="AI128" s="3013"/>
      <c r="AJ128" s="3224"/>
    </row>
    <row r="129" spans="1:44" ht="16.5" customHeight="1">
      <c r="A129" s="219" t="s">
        <v>40</v>
      </c>
      <c r="B129" s="219"/>
      <c r="C129" s="511">
        <f>+'Exhibit H'!B60</f>
        <v>115.8</v>
      </c>
      <c r="D129" s="511"/>
      <c r="E129" s="511">
        <f>+'Exhibit H'!D60</f>
        <v>29.500000000000014</v>
      </c>
      <c r="F129" s="511"/>
      <c r="G129" s="511"/>
      <c r="H129" s="511"/>
      <c r="I129" s="511"/>
      <c r="J129" s="511"/>
      <c r="K129" s="511"/>
      <c r="L129" s="511"/>
      <c r="M129" s="511"/>
      <c r="N129" s="511"/>
      <c r="O129" s="511"/>
      <c r="P129" s="511"/>
      <c r="Q129" s="511"/>
      <c r="R129" s="511"/>
      <c r="S129" s="511"/>
      <c r="T129" s="511"/>
      <c r="U129" s="511"/>
      <c r="V129" s="511"/>
      <c r="W129" s="511"/>
      <c r="X129" s="511"/>
      <c r="Y129" s="511"/>
      <c r="Z129" s="511"/>
      <c r="AA129" s="512"/>
      <c r="AB129" s="1589">
        <f>ROUND(SUM(C129:Y129),1)</f>
        <v>145.30000000000001</v>
      </c>
      <c r="AC129" s="1589"/>
      <c r="AD129" s="3223"/>
      <c r="AE129" s="62">
        <f>+'Exhibit H'!AD60+'Exhibit G'!AG105</f>
        <v>162.9</v>
      </c>
      <c r="AF129" s="1589"/>
      <c r="AG129" s="1589"/>
      <c r="AH129" s="1589">
        <f>ROUND(SUM(AB129-AE129),1)</f>
        <v>-17.600000000000001</v>
      </c>
      <c r="AI129" s="3013"/>
      <c r="AJ129" s="1678">
        <f>ROUND(IF(AE129=0,0,AH129/ABS(AE129)),3)</f>
        <v>-0.108</v>
      </c>
    </row>
    <row r="130" spans="1:44" ht="16.5" customHeight="1">
      <c r="A130" s="520" t="s">
        <v>138</v>
      </c>
      <c r="B130" s="219"/>
      <c r="C130" s="513">
        <f>+'Exhibit G'!D106+'Exhibit I'!E84</f>
        <v>489.29999999999995</v>
      </c>
      <c r="D130" s="511"/>
      <c r="E130" s="513">
        <f>+'Exhibit G'!F106+'Exhibit I'!G84</f>
        <v>537.10000000000014</v>
      </c>
      <c r="F130" s="511"/>
      <c r="G130" s="513"/>
      <c r="H130" s="511"/>
      <c r="I130" s="513"/>
      <c r="J130" s="511"/>
      <c r="K130" s="513"/>
      <c r="L130" s="511"/>
      <c r="M130" s="513"/>
      <c r="N130" s="511"/>
      <c r="O130" s="513"/>
      <c r="P130" s="511"/>
      <c r="Q130" s="513"/>
      <c r="R130" s="511"/>
      <c r="S130" s="513"/>
      <c r="T130" s="511"/>
      <c r="U130" s="513"/>
      <c r="V130" s="511"/>
      <c r="W130" s="513"/>
      <c r="X130" s="511"/>
      <c r="Y130" s="513"/>
      <c r="Z130" s="511"/>
      <c r="AA130" s="512"/>
      <c r="AB130" s="3023">
        <f>ROUND(SUM(C130:Y130),1)</f>
        <v>1026.4000000000001</v>
      </c>
      <c r="AC130" s="1589"/>
      <c r="AD130" s="3223"/>
      <c r="AE130" s="3720">
        <f>+'Exhibit G'!AG106+'Exhibit I'!AI84</f>
        <v>912.30000000000007</v>
      </c>
      <c r="AF130" s="1589"/>
      <c r="AG130" s="1589"/>
      <c r="AH130" s="3023">
        <f>ROUND(SUM(AB130-AE130),1)</f>
        <v>114.1</v>
      </c>
      <c r="AI130" s="3013"/>
      <c r="AJ130" s="3227">
        <f>ROUND(IF(AE130=0,0,AH130/ABS(AE130)),3)</f>
        <v>0.125</v>
      </c>
    </row>
    <row r="131" spans="1:44" ht="16.5" customHeight="1">
      <c r="A131" s="219"/>
      <c r="B131" s="219"/>
      <c r="C131" s="518"/>
      <c r="D131" s="511"/>
      <c r="E131" s="518"/>
      <c r="F131" s="511"/>
      <c r="G131" s="518"/>
      <c r="H131" s="511"/>
      <c r="I131" s="518"/>
      <c r="J131" s="511"/>
      <c r="K131" s="518"/>
      <c r="L131" s="511"/>
      <c r="M131" s="518"/>
      <c r="N131" s="511"/>
      <c r="O131" s="2107"/>
      <c r="P131" s="511"/>
      <c r="Q131" s="2107"/>
      <c r="R131" s="511"/>
      <c r="S131" s="518"/>
      <c r="T131" s="511"/>
      <c r="U131" s="518"/>
      <c r="V131" s="511"/>
      <c r="W131" s="518"/>
      <c r="X131" s="511"/>
      <c r="Y131" s="518"/>
      <c r="Z131" s="511"/>
      <c r="AA131" s="512"/>
      <c r="AB131" s="2107"/>
      <c r="AC131" s="1589"/>
      <c r="AD131" s="3223"/>
      <c r="AE131" s="2107"/>
      <c r="AF131" s="1589"/>
      <c r="AG131" s="1589"/>
      <c r="AH131" s="2107"/>
      <c r="AI131" s="3013"/>
      <c r="AJ131" s="3231"/>
    </row>
    <row r="132" spans="1:44" ht="16.5" customHeight="1">
      <c r="A132" s="201" t="s">
        <v>56</v>
      </c>
      <c r="B132" s="219"/>
      <c r="C132" s="514">
        <f>ROUND(SUM(C123:C130),1)</f>
        <v>14023.6</v>
      </c>
      <c r="D132" s="515"/>
      <c r="E132" s="514">
        <f>ROUND(SUM(E123:E130),1)</f>
        <v>18587.7</v>
      </c>
      <c r="F132" s="515"/>
      <c r="G132" s="514">
        <f>ROUND(SUM(G123:G130),1)</f>
        <v>0</v>
      </c>
      <c r="H132" s="515"/>
      <c r="I132" s="514">
        <f>ROUND(SUM(I123:I130),1)</f>
        <v>0</v>
      </c>
      <c r="J132" s="515"/>
      <c r="K132" s="514">
        <f>ROUND(SUM(K123:K130),1)</f>
        <v>0</v>
      </c>
      <c r="L132" s="515"/>
      <c r="M132" s="514">
        <f>ROUND(SUM(M123:M130),1)</f>
        <v>0</v>
      </c>
      <c r="N132" s="515"/>
      <c r="O132" s="2108">
        <f>ROUND(SUM(O123:O130),1)</f>
        <v>0</v>
      </c>
      <c r="P132" s="515"/>
      <c r="Q132" s="2108">
        <f>ROUND(SUM(Q123:Q130),1)</f>
        <v>0</v>
      </c>
      <c r="R132" s="515"/>
      <c r="S132" s="514">
        <f>ROUND(SUM(S123:S130),1)</f>
        <v>0</v>
      </c>
      <c r="T132" s="515"/>
      <c r="U132" s="514">
        <f>ROUND(SUM(U123:U130),1)</f>
        <v>0</v>
      </c>
      <c r="V132" s="515"/>
      <c r="W132" s="514">
        <f>ROUND(SUM(W123:W130),1)</f>
        <v>0</v>
      </c>
      <c r="X132" s="515"/>
      <c r="Y132" s="514">
        <f>ROUND(SUM(Y123:Y130),1)</f>
        <v>0</v>
      </c>
      <c r="Z132" s="515"/>
      <c r="AA132" s="516"/>
      <c r="AB132" s="2108">
        <f>ROUND(SUM(AB123:AB130),1)</f>
        <v>32611.3</v>
      </c>
      <c r="AC132" s="3021"/>
      <c r="AD132" s="3230"/>
      <c r="AE132" s="2108">
        <f>ROUND(SUM(AE123:AE130),1)</f>
        <v>28536</v>
      </c>
      <c r="AF132" s="3021"/>
      <c r="AG132" s="3021"/>
      <c r="AH132" s="2108">
        <f>ROUND(SUM(AB132-AE132),1)</f>
        <v>4075.3</v>
      </c>
      <c r="AI132" s="3014"/>
      <c r="AJ132" s="3222">
        <f>ROUND(IF(AE132=0,0,AH132/ABS(AE132)),3)</f>
        <v>0.14299999999999999</v>
      </c>
      <c r="AK132" s="3213"/>
      <c r="AM132" s="419"/>
      <c r="AN132" s="419"/>
      <c r="AO132" s="419"/>
      <c r="AP132" s="419"/>
      <c r="AQ132" s="419"/>
      <c r="AR132" s="419"/>
    </row>
    <row r="133" spans="1:44" ht="16.5" customHeight="1">
      <c r="A133" s="201"/>
      <c r="B133" s="219"/>
      <c r="C133" s="511"/>
      <c r="D133" s="511"/>
      <c r="E133" s="511"/>
      <c r="F133" s="511"/>
      <c r="G133" s="511"/>
      <c r="H133" s="511"/>
      <c r="I133" s="511"/>
      <c r="J133" s="511"/>
      <c r="K133" s="511"/>
      <c r="L133" s="511"/>
      <c r="M133" s="511"/>
      <c r="N133" s="511"/>
      <c r="O133" s="1589"/>
      <c r="P133" s="511"/>
      <c r="Q133" s="1589"/>
      <c r="R133" s="511"/>
      <c r="S133" s="511"/>
      <c r="T133" s="511"/>
      <c r="U133" s="511"/>
      <c r="V133" s="511"/>
      <c r="W133" s="511"/>
      <c r="X133" s="511"/>
      <c r="Y133" s="511"/>
      <c r="Z133" s="511"/>
      <c r="AA133" s="512"/>
      <c r="AB133" s="1589"/>
      <c r="AC133" s="1589"/>
      <c r="AD133" s="3223"/>
      <c r="AE133" s="1589"/>
      <c r="AF133" s="1589"/>
      <c r="AG133" s="1589"/>
      <c r="AH133" s="872"/>
      <c r="AI133" s="3013"/>
      <c r="AJ133" s="868"/>
    </row>
    <row r="134" spans="1:44" ht="16.5" customHeight="1">
      <c r="A134" s="201" t="s">
        <v>43</v>
      </c>
      <c r="B134" s="219"/>
      <c r="C134" s="511"/>
      <c r="D134" s="511"/>
      <c r="E134" s="511"/>
      <c r="F134" s="511"/>
      <c r="G134" s="511"/>
      <c r="H134" s="511"/>
      <c r="I134" s="511"/>
      <c r="J134" s="511"/>
      <c r="K134" s="511"/>
      <c r="L134" s="511"/>
      <c r="M134" s="511"/>
      <c r="N134" s="511"/>
      <c r="O134" s="1589"/>
      <c r="P134" s="511"/>
      <c r="Q134" s="1589"/>
      <c r="R134" s="511"/>
      <c r="S134" s="511"/>
      <c r="T134" s="511"/>
      <c r="U134" s="511"/>
      <c r="V134" s="511"/>
      <c r="W134" s="511"/>
      <c r="X134" s="511"/>
      <c r="Y134" s="511"/>
      <c r="Z134" s="511"/>
      <c r="AA134" s="512"/>
      <c r="AB134" s="1589"/>
      <c r="AC134" s="1589"/>
      <c r="AD134" s="3223"/>
      <c r="AE134" s="1589"/>
      <c r="AF134" s="1589"/>
      <c r="AG134" s="1589"/>
      <c r="AH134" s="872"/>
      <c r="AI134" s="3013"/>
      <c r="AJ134" s="868"/>
    </row>
    <row r="135" spans="1:44" ht="16.5" customHeight="1">
      <c r="A135" s="201" t="s">
        <v>44</v>
      </c>
      <c r="B135" s="219"/>
      <c r="C135" s="514">
        <f>ROUND(SUM(C109-C132),1)</f>
        <v>13575.8</v>
      </c>
      <c r="D135" s="515"/>
      <c r="E135" s="514">
        <f>ROUND(SUM(E109-E132),1)</f>
        <v>-3772.7</v>
      </c>
      <c r="F135" s="515"/>
      <c r="G135" s="514">
        <f>ROUND(SUM(G109-G132),1)</f>
        <v>0</v>
      </c>
      <c r="H135" s="515"/>
      <c r="I135" s="514">
        <f>ROUND(SUM(I109-I132),1)</f>
        <v>0</v>
      </c>
      <c r="J135" s="515"/>
      <c r="K135" s="514">
        <f>ROUND(SUM(K109-K132),1)</f>
        <v>0</v>
      </c>
      <c r="L135" s="515"/>
      <c r="M135" s="514">
        <f>ROUND(SUM(M109-M132),1)</f>
        <v>0</v>
      </c>
      <c r="N135" s="515"/>
      <c r="O135" s="2108">
        <f>ROUND(SUM(O109-O132),1)</f>
        <v>0</v>
      </c>
      <c r="P135" s="515"/>
      <c r="Q135" s="2108">
        <f>ROUND(SUM(Q109-Q132),1)</f>
        <v>0</v>
      </c>
      <c r="R135" s="515"/>
      <c r="S135" s="514">
        <f>ROUND(SUM(S109-S132),1)</f>
        <v>0</v>
      </c>
      <c r="T135" s="515"/>
      <c r="U135" s="514">
        <f>ROUND(SUM(U109-U132),1)</f>
        <v>0</v>
      </c>
      <c r="V135" s="515"/>
      <c r="W135" s="514">
        <f>ROUND(SUM(W109-W132),1)</f>
        <v>0</v>
      </c>
      <c r="X135" s="515"/>
      <c r="Y135" s="514">
        <f>ROUND(SUM(Y109-Y132),1)</f>
        <v>0</v>
      </c>
      <c r="Z135" s="515"/>
      <c r="AA135" s="516"/>
      <c r="AB135" s="2108">
        <f>ROUND(SUM(AB109-AB132),1)</f>
        <v>9803.1</v>
      </c>
      <c r="AC135" s="3021"/>
      <c r="AD135" s="3230"/>
      <c r="AE135" s="2108">
        <f>ROUND(SUM(AE109-AE132),1)</f>
        <v>21072.2</v>
      </c>
      <c r="AF135" s="3021"/>
      <c r="AG135" s="3021"/>
      <c r="AH135" s="3232">
        <f>ROUND(SUM(AB135-AE135),1)</f>
        <v>-11269.1</v>
      </c>
      <c r="AI135" s="3014"/>
      <c r="AJ135" s="3233">
        <f>ROUND(IF(AE135=0,0,AH135/ABS(AE135)),3)</f>
        <v>-0.53500000000000003</v>
      </c>
      <c r="AK135" s="3213"/>
    </row>
    <row r="136" spans="1:44" ht="16.5" customHeight="1">
      <c r="A136" s="159"/>
      <c r="B136" s="219"/>
      <c r="C136" s="517"/>
      <c r="D136" s="511"/>
      <c r="E136" s="3024"/>
      <c r="F136" s="511"/>
      <c r="G136" s="517"/>
      <c r="H136" s="511"/>
      <c r="I136" s="517"/>
      <c r="J136" s="511"/>
      <c r="K136" s="517"/>
      <c r="L136" s="511"/>
      <c r="M136" s="517"/>
      <c r="N136" s="511"/>
      <c r="O136" s="3024"/>
      <c r="P136" s="511"/>
      <c r="Q136" s="3024"/>
      <c r="R136" s="511"/>
      <c r="S136" s="517"/>
      <c r="T136" s="511"/>
      <c r="U136" s="517"/>
      <c r="V136" s="511"/>
      <c r="W136" s="517"/>
      <c r="X136" s="511"/>
      <c r="Y136" s="517"/>
      <c r="Z136" s="519"/>
      <c r="AA136" s="512"/>
      <c r="AB136" s="3024"/>
      <c r="AC136" s="1589"/>
      <c r="AD136" s="3223"/>
      <c r="AE136" s="3024"/>
      <c r="AF136" s="1589"/>
      <c r="AG136" s="1589"/>
      <c r="AH136" s="872"/>
      <c r="AI136" s="3013"/>
      <c r="AJ136" s="868"/>
    </row>
    <row r="137" spans="1:44" ht="16.5" customHeight="1">
      <c r="A137" s="201" t="s">
        <v>45</v>
      </c>
      <c r="B137" s="219"/>
      <c r="C137" s="2107"/>
      <c r="D137" s="511"/>
      <c r="E137" s="2107"/>
      <c r="F137" s="523"/>
      <c r="G137" s="2107"/>
      <c r="H137" s="523"/>
      <c r="I137" s="522"/>
      <c r="J137" s="523"/>
      <c r="K137" s="522"/>
      <c r="L137" s="523"/>
      <c r="M137" s="522"/>
      <c r="N137" s="523"/>
      <c r="O137" s="3302"/>
      <c r="P137" s="2100"/>
      <c r="Q137" s="3302"/>
      <c r="R137" s="2100"/>
      <c r="S137" s="3302"/>
      <c r="T137" s="2100"/>
      <c r="U137" s="3302"/>
      <c r="V137" s="1589"/>
      <c r="W137" s="3302"/>
      <c r="X137" s="1589"/>
      <c r="Y137" s="3302"/>
      <c r="Z137" s="3025"/>
      <c r="AA137" s="3335"/>
      <c r="AB137" s="2107"/>
      <c r="AC137" s="3025"/>
      <c r="AD137" s="1589"/>
      <c r="AE137" s="2107"/>
      <c r="AF137" s="1589"/>
      <c r="AG137" s="1589"/>
      <c r="AH137" s="872"/>
      <c r="AI137" s="3013"/>
      <c r="AJ137" s="868"/>
    </row>
    <row r="138" spans="1:44" ht="16.5" customHeight="1">
      <c r="A138" s="219" t="s">
        <v>1338</v>
      </c>
      <c r="B138" s="219"/>
      <c r="C138" s="2099">
        <v>0</v>
      </c>
      <c r="D138" s="1589"/>
      <c r="E138" s="2099">
        <v>0</v>
      </c>
      <c r="F138" s="2100"/>
      <c r="G138" s="2099"/>
      <c r="H138" s="2100"/>
      <c r="I138" s="2099"/>
      <c r="J138" s="2100"/>
      <c r="K138" s="2099"/>
      <c r="L138" s="2100"/>
      <c r="M138" s="2099"/>
      <c r="N138" s="2100"/>
      <c r="O138" s="2099"/>
      <c r="P138" s="2100"/>
      <c r="Q138" s="2099"/>
      <c r="R138" s="2100"/>
      <c r="S138" s="2099"/>
      <c r="T138" s="2100"/>
      <c r="U138" s="2099"/>
      <c r="V138" s="1589"/>
      <c r="W138" s="2099"/>
      <c r="X138" s="1589"/>
      <c r="Y138" s="2099"/>
      <c r="Z138" s="1589"/>
      <c r="AA138" s="3335"/>
      <c r="AB138" s="1589">
        <f>ROUND(SUM(C138:Y138),1)</f>
        <v>0</v>
      </c>
      <c r="AC138" s="1589"/>
      <c r="AD138" s="3223"/>
      <c r="AE138" s="1589">
        <f>+'Exhibit A'!AD48</f>
        <v>0</v>
      </c>
      <c r="AF138" s="1589"/>
      <c r="AG138" s="1589"/>
      <c r="AH138" s="1589">
        <f>ROUND(SUM(AB138-AE138),1)</f>
        <v>0</v>
      </c>
      <c r="AI138" s="3234"/>
      <c r="AJ138" s="1677">
        <f>ROUND(IF(AE138=0,0,AH138/ABS(AE138)),3)</f>
        <v>0</v>
      </c>
    </row>
    <row r="139" spans="1:44" ht="16.5" customHeight="1">
      <c r="A139" s="219" t="s">
        <v>46</v>
      </c>
      <c r="B139" s="219"/>
      <c r="C139" s="2099">
        <v>8827</v>
      </c>
      <c r="D139" s="1589"/>
      <c r="E139" s="2099">
        <f>'Exhibit A'!V49</f>
        <v>2653.6</v>
      </c>
      <c r="F139" s="1589"/>
      <c r="G139" s="2099"/>
      <c r="H139" s="1589"/>
      <c r="I139" s="2099"/>
      <c r="J139" s="1589"/>
      <c r="K139" s="2099"/>
      <c r="L139" s="1589"/>
      <c r="M139" s="2099"/>
      <c r="N139" s="1589"/>
      <c r="O139" s="2099"/>
      <c r="P139" s="1589"/>
      <c r="Q139" s="2099"/>
      <c r="R139" s="1589"/>
      <c r="S139" s="2099"/>
      <c r="T139" s="1589"/>
      <c r="U139" s="2099"/>
      <c r="V139" s="1589"/>
      <c r="W139" s="2099"/>
      <c r="X139" s="1589"/>
      <c r="Y139" s="2099"/>
      <c r="Z139" s="1589"/>
      <c r="AA139" s="3335"/>
      <c r="AB139" s="1589">
        <f>ROUND(SUM(C139:Y139),1)</f>
        <v>11480.6</v>
      </c>
      <c r="AC139" s="1589"/>
      <c r="AD139" s="3335"/>
      <c r="AE139" s="1589">
        <f>+'Exhibit A'!AD49</f>
        <v>11545.4</v>
      </c>
      <c r="AF139" s="1589"/>
      <c r="AG139" s="1589"/>
      <c r="AH139" s="1589">
        <f>ROUND(SUM(AB139-AE139),1)</f>
        <v>-64.8</v>
      </c>
      <c r="AI139" s="3013"/>
      <c r="AJ139" s="1677">
        <f>ROUND(IF(AE139=0,0,AH139/ABS(AE139)),3)</f>
        <v>-6.0000000000000001E-3</v>
      </c>
    </row>
    <row r="140" spans="1:44" ht="16.5" customHeight="1">
      <c r="A140" s="219" t="s">
        <v>47</v>
      </c>
      <c r="C140" s="2099">
        <v>-8830.5</v>
      </c>
      <c r="D140" s="50"/>
      <c r="E140" s="3419">
        <f>'Exhibit A'!V50</f>
        <v>-2658.5</v>
      </c>
      <c r="F140" s="272"/>
      <c r="G140" s="3419"/>
      <c r="H140" s="272"/>
      <c r="I140" s="3419"/>
      <c r="J140" s="272"/>
      <c r="K140" s="3419"/>
      <c r="L140" s="272"/>
      <c r="M140" s="3419"/>
      <c r="N140" s="272"/>
      <c r="O140" s="3419"/>
      <c r="P140" s="272"/>
      <c r="Q140" s="3419"/>
      <c r="R140" s="272"/>
      <c r="S140" s="3419"/>
      <c r="T140" s="272"/>
      <c r="U140" s="3419"/>
      <c r="V140" s="272"/>
      <c r="W140" s="3419"/>
      <c r="X140" s="272"/>
      <c r="Y140" s="3419"/>
      <c r="Z140" s="272"/>
      <c r="AA140" s="3235"/>
      <c r="AB140" s="3023">
        <f>ROUND(SUM(C140:Y140),1)</f>
        <v>-11489</v>
      </c>
      <c r="AC140" s="272"/>
      <c r="AD140" s="3235"/>
      <c r="AE140" s="3023">
        <f>+'Exhibit A'!AD50</f>
        <v>-11553.5</v>
      </c>
      <c r="AF140" s="272"/>
      <c r="AG140" s="272"/>
      <c r="AH140" s="3023">
        <f>ROUND(SUM(-AB140+AE140),1)</f>
        <v>-64.5</v>
      </c>
      <c r="AI140" s="868"/>
      <c r="AJ140" s="1764">
        <f>ROUND(IF(AE140=0,0,AH140/ABS(AE140)),3)</f>
        <v>-6.0000000000000001E-3</v>
      </c>
      <c r="AK140" s="3236"/>
    </row>
    <row r="141" spans="1:44" ht="16.5" customHeight="1">
      <c r="A141" s="219"/>
      <c r="C141" s="3742"/>
      <c r="D141" s="50"/>
      <c r="E141" s="2107"/>
      <c r="F141" s="50"/>
      <c r="G141" s="518"/>
      <c r="H141" s="50"/>
      <c r="I141" s="518"/>
      <c r="J141" s="50"/>
      <c r="K141" s="518"/>
      <c r="L141" s="50"/>
      <c r="M141" s="518"/>
      <c r="N141" s="50"/>
      <c r="O141" s="2107"/>
      <c r="P141" s="272"/>
      <c r="Q141" s="2107"/>
      <c r="R141" s="272"/>
      <c r="S141" s="2107"/>
      <c r="T141" s="272"/>
      <c r="U141" s="2107"/>
      <c r="V141" s="272"/>
      <c r="W141" s="2107"/>
      <c r="X141" s="272"/>
      <c r="Y141" s="2107"/>
      <c r="Z141" s="272"/>
      <c r="AA141" s="3235"/>
      <c r="AB141" s="2107"/>
      <c r="AC141" s="272"/>
      <c r="AD141" s="3235"/>
      <c r="AE141" s="2107"/>
      <c r="AF141" s="272"/>
      <c r="AG141" s="272"/>
      <c r="AH141" s="2107"/>
      <c r="AI141" s="868"/>
      <c r="AJ141" s="3231"/>
    </row>
    <row r="142" spans="1:44" ht="16.5" customHeight="1">
      <c r="A142" s="201" t="s">
        <v>48</v>
      </c>
      <c r="C142" s="2108">
        <f>ROUND(SUM(C138:C140),1)</f>
        <v>-3.5</v>
      </c>
      <c r="D142" s="525"/>
      <c r="E142" s="514">
        <f>ROUND(SUM(E138:E140),1)</f>
        <v>-4.9000000000000004</v>
      </c>
      <c r="F142" s="525"/>
      <c r="G142" s="514">
        <f>ROUND(SUM(G138:G140),1)</f>
        <v>0</v>
      </c>
      <c r="H142" s="525"/>
      <c r="I142" s="514">
        <f>ROUND(SUM(I138:I140),1)</f>
        <v>0</v>
      </c>
      <c r="J142" s="525"/>
      <c r="K142" s="514">
        <f>ROUND(SUM(K138:K140),1)</f>
        <v>0</v>
      </c>
      <c r="L142" s="525"/>
      <c r="M142" s="514">
        <f>ROUND(SUM(M138:M140),1)</f>
        <v>0</v>
      </c>
      <c r="N142" s="525"/>
      <c r="O142" s="2108">
        <f>ROUND(SUM(O138:O140),1)</f>
        <v>0</v>
      </c>
      <c r="P142" s="3028"/>
      <c r="Q142" s="2108">
        <f>ROUND(SUM(Q138:Q140),1)</f>
        <v>0</v>
      </c>
      <c r="R142" s="3028"/>
      <c r="S142" s="2108">
        <f>ROUND(SUM(S138:S140),1)</f>
        <v>0</v>
      </c>
      <c r="T142" s="3028"/>
      <c r="U142" s="2108">
        <f>ROUND(SUM(U138:U140),1)</f>
        <v>0</v>
      </c>
      <c r="V142" s="3028"/>
      <c r="W142" s="2108">
        <f>ROUND(SUM(W138:W140),1)</f>
        <v>0</v>
      </c>
      <c r="X142" s="3028"/>
      <c r="Y142" s="2108">
        <f>ROUND(SUM(Y138:Y140),1)</f>
        <v>0</v>
      </c>
      <c r="Z142" s="3028"/>
      <c r="AA142" s="3237"/>
      <c r="AB142" s="2108">
        <f>ROUND(SUM(AB138:AB141),1)</f>
        <v>-8.4</v>
      </c>
      <c r="AC142" s="3028"/>
      <c r="AD142" s="3237"/>
      <c r="AE142" s="2108">
        <f>SUM(AE138:AE141)</f>
        <v>-8.1000000000003638</v>
      </c>
      <c r="AF142" s="3028"/>
      <c r="AG142" s="3028"/>
      <c r="AH142" s="2108">
        <f>ROUND(SUM(+AH139-AH140+AH138),1)</f>
        <v>-0.3</v>
      </c>
      <c r="AI142" s="249"/>
      <c r="AJ142" s="3233">
        <f>ROUND(IF(AE142=0,0,AH142/ABS(AE142)),3)</f>
        <v>-3.6999999999999998E-2</v>
      </c>
      <c r="AK142" s="3213"/>
    </row>
    <row r="143" spans="1:44" ht="16.5" customHeight="1">
      <c r="A143" s="159"/>
      <c r="C143" s="50"/>
      <c r="D143" s="50"/>
      <c r="E143" s="50"/>
      <c r="F143" s="50"/>
      <c r="G143" s="50"/>
      <c r="H143" s="50"/>
      <c r="I143" s="50"/>
      <c r="J143" s="50"/>
      <c r="K143" s="50"/>
      <c r="L143" s="50"/>
      <c r="M143" s="50"/>
      <c r="N143" s="50"/>
      <c r="O143" s="272"/>
      <c r="P143" s="50"/>
      <c r="Q143" s="272"/>
      <c r="R143" s="50"/>
      <c r="S143" s="50"/>
      <c r="T143" s="50"/>
      <c r="U143" s="50"/>
      <c r="V143" s="50"/>
      <c r="W143" s="50"/>
      <c r="X143" s="50"/>
      <c r="Y143" s="50"/>
      <c r="Z143" s="50"/>
      <c r="AA143" s="524"/>
      <c r="AB143" s="272"/>
      <c r="AC143" s="272"/>
      <c r="AD143" s="3235"/>
      <c r="AE143" s="272"/>
      <c r="AF143" s="272"/>
      <c r="AG143" s="272"/>
      <c r="AH143" s="872"/>
      <c r="AI143" s="868"/>
      <c r="AJ143" s="868"/>
    </row>
    <row r="144" spans="1:44" ht="16.5" customHeight="1">
      <c r="A144" s="249" t="s">
        <v>43</v>
      </c>
      <c r="C144" s="518"/>
      <c r="D144" s="50"/>
      <c r="E144" s="518"/>
      <c r="F144" s="50"/>
      <c r="G144" s="518"/>
      <c r="H144" s="50"/>
      <c r="I144" s="518"/>
      <c r="J144" s="50"/>
      <c r="K144" s="518"/>
      <c r="L144" s="50"/>
      <c r="M144" s="518"/>
      <c r="N144" s="50"/>
      <c r="O144" s="2107"/>
      <c r="P144" s="50"/>
      <c r="Q144" s="2107"/>
      <c r="R144" s="50"/>
      <c r="S144" s="518"/>
      <c r="T144" s="50"/>
      <c r="U144" s="518"/>
      <c r="V144" s="50"/>
      <c r="W144" s="518"/>
      <c r="X144" s="50"/>
      <c r="Y144" s="518"/>
      <c r="Z144" s="50"/>
      <c r="AA144" s="524"/>
      <c r="AB144" s="2107"/>
      <c r="AC144" s="272"/>
      <c r="AD144" s="3235"/>
      <c r="AE144" s="2107"/>
      <c r="AF144" s="272"/>
      <c r="AG144" s="272"/>
      <c r="AH144" s="872"/>
      <c r="AI144" s="868"/>
      <c r="AJ144" s="868"/>
    </row>
    <row r="145" spans="1:59" ht="16.5" customHeight="1">
      <c r="A145" s="249" t="s">
        <v>49</v>
      </c>
      <c r="C145" s="515"/>
      <c r="D145" s="525"/>
      <c r="E145" s="515"/>
      <c r="F145" s="525"/>
      <c r="G145" s="515"/>
      <c r="H145" s="525"/>
      <c r="I145" s="515"/>
      <c r="J145" s="525"/>
      <c r="K145" s="515"/>
      <c r="L145" s="525"/>
      <c r="M145" s="515"/>
      <c r="N145" s="525"/>
      <c r="O145" s="3021"/>
      <c r="P145" s="525"/>
      <c r="Q145" s="3021"/>
      <c r="R145" s="525"/>
      <c r="S145" s="515"/>
      <c r="T145" s="525"/>
      <c r="U145" s="515"/>
      <c r="V145" s="525"/>
      <c r="W145" s="515"/>
      <c r="X145" s="525"/>
      <c r="Y145" s="515"/>
      <c r="Z145" s="525"/>
      <c r="AA145" s="526"/>
      <c r="AB145" s="3021"/>
      <c r="AC145" s="3028"/>
      <c r="AD145" s="3237"/>
      <c r="AE145" s="3021"/>
      <c r="AF145" s="272"/>
      <c r="AG145" s="272"/>
      <c r="AH145" s="106"/>
      <c r="AI145" s="249"/>
      <c r="AJ145" s="249"/>
      <c r="AK145" s="3213"/>
      <c r="AM145" s="419"/>
      <c r="AN145" s="419"/>
      <c r="AO145" s="419"/>
      <c r="AP145" s="419"/>
      <c r="AQ145" s="419"/>
      <c r="AR145" s="419"/>
      <c r="AS145" s="419"/>
      <c r="AT145" s="419"/>
      <c r="AU145" s="419"/>
      <c r="AV145" s="419"/>
      <c r="AW145" s="419"/>
      <c r="AX145" s="419"/>
      <c r="AY145" s="419"/>
      <c r="AZ145" s="419"/>
      <c r="BA145" s="419"/>
      <c r="BB145" s="419"/>
      <c r="BC145" s="419"/>
      <c r="BD145" s="419"/>
      <c r="BE145" s="419"/>
      <c r="BF145" s="419"/>
      <c r="BG145" s="419"/>
    </row>
    <row r="146" spans="1:59" ht="16.5" customHeight="1">
      <c r="A146" s="249" t="s">
        <v>50</v>
      </c>
      <c r="C146" s="527">
        <f>ROUND(SUM(C135+C142),1)</f>
        <v>13572.3</v>
      </c>
      <c r="D146" s="525"/>
      <c r="E146" s="527">
        <f>ROUND(SUM(E135+E142),1)</f>
        <v>-3777.6</v>
      </c>
      <c r="F146" s="525"/>
      <c r="G146" s="527">
        <f>ROUND(SUM(G135+G142),1)</f>
        <v>0</v>
      </c>
      <c r="H146" s="525"/>
      <c r="I146" s="527">
        <f>ROUND(SUM(I135+I142),1)</f>
        <v>0</v>
      </c>
      <c r="J146" s="525"/>
      <c r="K146" s="527">
        <f>ROUND(SUM(K135+K142),1)</f>
        <v>0</v>
      </c>
      <c r="L146" s="525"/>
      <c r="M146" s="527">
        <f>ROUND(SUM(M135+M142),1)</f>
        <v>0</v>
      </c>
      <c r="N146" s="525"/>
      <c r="O146" s="3029">
        <f>ROUND(SUM(O135+O142),1)</f>
        <v>0</v>
      </c>
      <c r="P146" s="525"/>
      <c r="Q146" s="3029">
        <f>ROUND(SUM(Q135+Q142),1)</f>
        <v>0</v>
      </c>
      <c r="R146" s="525"/>
      <c r="S146" s="527">
        <f>ROUND(SUM(S135+S142),1)</f>
        <v>0</v>
      </c>
      <c r="T146" s="525"/>
      <c r="U146" s="527">
        <f>ROUND(SUM(U135+U142),1)</f>
        <v>0</v>
      </c>
      <c r="V146" s="525"/>
      <c r="W146" s="527">
        <f>ROUND(SUM(W135+W142),1)</f>
        <v>0</v>
      </c>
      <c r="X146" s="525"/>
      <c r="Y146" s="527">
        <f>ROUND(SUM(Y135+Y142),1)</f>
        <v>0</v>
      </c>
      <c r="Z146" s="525"/>
      <c r="AA146" s="526"/>
      <c r="AB146" s="3029">
        <f>ROUND(SUM(AB135+AB142),1)</f>
        <v>9794.7000000000007</v>
      </c>
      <c r="AC146" s="3028"/>
      <c r="AD146" s="3237"/>
      <c r="AE146" s="3029">
        <f>AE135+AE142</f>
        <v>21064.1</v>
      </c>
      <c r="AF146" s="272"/>
      <c r="AG146" s="272"/>
      <c r="AH146" s="3232">
        <f>ROUND(SUM(AB146-AE146),1)</f>
        <v>-11269.4</v>
      </c>
      <c r="AI146" s="249"/>
      <c r="AJ146" s="3233">
        <f>ROUND(IF(AE146=0,0,AH146/ABS(AE146)),3)</f>
        <v>-0.53500000000000003</v>
      </c>
      <c r="AK146" s="3213"/>
      <c r="AM146" s="419"/>
      <c r="AN146" s="419"/>
      <c r="AO146" s="419"/>
      <c r="AP146" s="419"/>
      <c r="AQ146" s="419"/>
      <c r="AR146" s="419"/>
      <c r="AS146" s="419"/>
      <c r="AT146" s="419"/>
      <c r="AU146" s="419"/>
      <c r="AV146" s="419"/>
      <c r="AW146" s="419"/>
      <c r="AX146" s="419"/>
      <c r="AY146" s="419"/>
      <c r="AZ146" s="419"/>
      <c r="BA146" s="419"/>
      <c r="BB146" s="419"/>
      <c r="BC146" s="419"/>
      <c r="BD146" s="419"/>
      <c r="BE146" s="419"/>
      <c r="BF146" s="419"/>
      <c r="BG146" s="419"/>
    </row>
    <row r="147" spans="1:59" ht="16.5" customHeight="1">
      <c r="A147" s="201"/>
      <c r="C147" s="506"/>
      <c r="E147" s="506"/>
      <c r="G147" s="506"/>
      <c r="I147" s="506"/>
      <c r="K147" s="506"/>
      <c r="M147" s="506"/>
      <c r="O147" s="3017"/>
      <c r="Q147" s="3017"/>
      <c r="S147" s="506"/>
      <c r="U147" s="506"/>
      <c r="W147" s="506"/>
      <c r="Y147" s="506"/>
      <c r="AA147" s="528"/>
      <c r="AB147" s="3017"/>
      <c r="AD147" s="3238"/>
      <c r="AE147" s="3017"/>
      <c r="AF147" s="272"/>
      <c r="AG147" s="272"/>
      <c r="AH147" s="868"/>
      <c r="AI147" s="868"/>
      <c r="AJ147" s="868"/>
    </row>
    <row r="148" spans="1:59" ht="16.5" customHeight="1" thickBot="1">
      <c r="A148" s="529" t="s">
        <v>139</v>
      </c>
      <c r="C148" s="530">
        <f>ROUND(SUM(C16+C146),1)</f>
        <v>67121.3</v>
      </c>
      <c r="D148" s="245"/>
      <c r="E148" s="530">
        <f>ROUND(SUM(E16+E146),1)</f>
        <v>63343.7</v>
      </c>
      <c r="F148" s="245"/>
      <c r="G148" s="530">
        <f>ROUND(SUM(G16+G146),1)</f>
        <v>0</v>
      </c>
      <c r="H148" s="245"/>
      <c r="I148" s="530">
        <f>ROUND(SUM(I16+I146),1)</f>
        <v>0</v>
      </c>
      <c r="J148" s="531"/>
      <c r="K148" s="530">
        <f>ROUND(SUM(K16+K146),1)</f>
        <v>0</v>
      </c>
      <c r="L148" s="531"/>
      <c r="M148" s="530">
        <f>ROUND(SUM(M16+M146),1)</f>
        <v>0</v>
      </c>
      <c r="N148" s="531"/>
      <c r="O148" s="3030">
        <f>ROUND(SUM(O16+O146),1)</f>
        <v>0</v>
      </c>
      <c r="P148" s="531"/>
      <c r="Q148" s="3030">
        <f>ROUND(SUM(Q16+Q146),1)</f>
        <v>0</v>
      </c>
      <c r="R148" s="531"/>
      <c r="S148" s="530">
        <f>ROUND(SUM(S16+S146),1)</f>
        <v>0</v>
      </c>
      <c r="T148" s="531"/>
      <c r="U148" s="530">
        <f>ROUND(SUM(U16+U146),1)</f>
        <v>0</v>
      </c>
      <c r="V148" s="531"/>
      <c r="W148" s="530">
        <f>ROUND(SUM(W16+W146),1)</f>
        <v>0</v>
      </c>
      <c r="X148" s="531"/>
      <c r="Y148" s="530">
        <f>ROUND(SUM(Y16+Y146),1)</f>
        <v>0</v>
      </c>
      <c r="Z148" s="245"/>
      <c r="AA148" s="532"/>
      <c r="AB148" s="3030">
        <f>ROUND(SUM(AB16+AB146),1)</f>
        <v>63343.7</v>
      </c>
      <c r="AC148" s="3031"/>
      <c r="AD148" s="3239"/>
      <c r="AE148" s="3030">
        <f>AE16+AE146</f>
        <v>39815.199999999997</v>
      </c>
      <c r="AF148" s="272"/>
      <c r="AG148" s="272"/>
      <c r="AH148" s="3030">
        <f>ROUND(SUM(AB148-AE148),1)</f>
        <v>23528.5</v>
      </c>
      <c r="AI148" s="249"/>
      <c r="AJ148" s="3240">
        <f>ROUND(IF(AE148=0,0,AH148/ABS(AE148)),3)</f>
        <v>0.59099999999999997</v>
      </c>
      <c r="AK148" s="3213"/>
    </row>
    <row r="149" spans="1:59" ht="16.5" customHeight="1" thickTop="1">
      <c r="A149" s="533"/>
      <c r="C149" s="207"/>
      <c r="AH149" s="868"/>
      <c r="AI149" s="868"/>
      <c r="AJ149" s="868"/>
    </row>
    <row r="150" spans="1:59" ht="16.5" customHeight="1">
      <c r="A150" s="349" t="s">
        <v>140</v>
      </c>
      <c r="AH150" s="868"/>
      <c r="AI150" s="868"/>
      <c r="AJ150" s="868"/>
    </row>
    <row r="151" spans="1:59" ht="16.5" customHeight="1">
      <c r="A151" s="2668"/>
      <c r="AH151" s="868"/>
      <c r="AI151" s="868"/>
      <c r="AJ151" s="868"/>
    </row>
    <row r="152" spans="1:59" ht="16.5" customHeight="1">
      <c r="A152" s="27"/>
      <c r="AH152" s="868"/>
      <c r="AI152" s="868"/>
      <c r="AJ152" s="868"/>
    </row>
    <row r="153" spans="1:59" ht="16.5" customHeight="1">
      <c r="A153" s="27"/>
      <c r="AH153" s="868"/>
      <c r="AI153" s="868"/>
      <c r="AJ153" s="868"/>
    </row>
    <row r="154" spans="1:59" ht="16.5" customHeight="1">
      <c r="AH154" s="868"/>
      <c r="AI154" s="868"/>
      <c r="AJ154" s="868"/>
    </row>
    <row r="155" spans="1:59" ht="16.5" customHeight="1">
      <c r="AH155" s="868"/>
      <c r="AI155" s="868"/>
      <c r="AJ155" s="868"/>
    </row>
    <row r="156" spans="1:59" ht="16.5" customHeight="1">
      <c r="AH156" s="868"/>
      <c r="AI156" s="868"/>
      <c r="AJ156" s="868"/>
    </row>
    <row r="157" spans="1:59" ht="16.5" customHeight="1">
      <c r="AH157" s="868"/>
      <c r="AI157" s="868"/>
      <c r="AJ157" s="868"/>
    </row>
    <row r="158" spans="1:59" ht="16.5" customHeight="1">
      <c r="AH158" s="868"/>
      <c r="AI158" s="868"/>
      <c r="AJ158" s="868"/>
    </row>
    <row r="159" spans="1:59" ht="16.5" customHeight="1">
      <c r="AH159" s="868"/>
      <c r="AI159" s="868"/>
      <c r="AJ159" s="868"/>
    </row>
    <row r="160" spans="1:59" ht="16.5" customHeight="1">
      <c r="AH160" s="868"/>
      <c r="AI160" s="868"/>
      <c r="AJ160" s="868"/>
    </row>
    <row r="161" spans="34:36" ht="16.5" customHeight="1">
      <c r="AH161" s="868"/>
      <c r="AI161" s="868"/>
      <c r="AJ161" s="868"/>
    </row>
    <row r="162" spans="34:36" ht="16.5" customHeight="1">
      <c r="AH162" s="868"/>
      <c r="AI162" s="868"/>
      <c r="AJ162" s="868"/>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7" max="35" man="1"/>
  </rowBreaks>
  <ignoredErrors>
    <ignoredError sqref="AJ57:AJ71 AJ139:AJ148 AJ89:AJ90 AJ96:AJ137 AJ29:AJ34 AJ21:AJ27 AJ41:AJ45 AJ36:AJ38 AJ86 AJ48:AJ54 AJ91:AJ93 AJ39:AJ40" unlockedFormula="1"/>
    <ignoredError sqref="AH35:AI35 AH95:AI95 AJ56 AJ72 AJ75 AJ80 AJ82:AJ83 AJ47 AH25 AH24 AH26" formula="1"/>
    <ignoredError sqref="AJ35 AJ84 AJ81 AJ76:AJ79 AJ73:AJ74"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5"/>
  <sheetViews>
    <sheetView showGridLines="0" zoomScale="80" zoomScaleNormal="55" workbookViewId="0"/>
  </sheetViews>
  <sheetFormatPr defaultColWidth="8.6640625" defaultRowHeight="16.5" customHeight="1"/>
  <cols>
    <col min="1" max="1" width="43" style="2668" customWidth="1"/>
    <col min="2" max="2" width="1.6640625" style="2668" customWidth="1"/>
    <col min="3" max="3" width="13.109375" style="2668" customWidth="1"/>
    <col min="4" max="4" width="1.6640625" style="2668" customWidth="1"/>
    <col min="5" max="5" width="13.109375" style="2668" customWidth="1"/>
    <col min="6" max="6" width="1.6640625" style="2668" customWidth="1"/>
    <col min="7" max="7" width="13.5546875" style="2668" customWidth="1"/>
    <col min="8" max="8" width="1.6640625" style="2668" customWidth="1"/>
    <col min="9" max="9" width="13.6640625" style="2668" customWidth="1"/>
    <col min="10" max="10" width="1.6640625" style="2668" customWidth="1"/>
    <col min="11" max="11" width="14.5546875" style="2668" customWidth="1"/>
    <col min="12" max="12" width="1.6640625" style="2668" customWidth="1"/>
    <col min="13" max="13" width="13.109375" style="2668" customWidth="1"/>
    <col min="14" max="14" width="1.6640625" style="2668" customWidth="1"/>
    <col min="15" max="15" width="14.109375" style="1933" customWidth="1"/>
    <col min="16" max="16" width="1.6640625" style="2668" customWidth="1"/>
    <col min="17" max="17" width="13.109375" style="2668" customWidth="1"/>
    <col min="18" max="18" width="1.6640625" style="2668" customWidth="1"/>
    <col min="19" max="19" width="13.6640625" style="2668" customWidth="1"/>
    <col min="20" max="20" width="1.6640625" style="2668" customWidth="1"/>
    <col min="21" max="21" width="13" style="2668" customWidth="1"/>
    <col min="22" max="22" width="1.6640625" style="2668" customWidth="1"/>
    <col min="23" max="23" width="13.109375" style="2668" customWidth="1"/>
    <col min="24" max="24" width="1.6640625" style="2668" customWidth="1"/>
    <col min="25" max="25" width="13.109375" style="2668" customWidth="1"/>
    <col min="26" max="27" width="1.6640625" style="2668" customWidth="1"/>
    <col min="28" max="28" width="15" style="1933" customWidth="1"/>
    <col min="29" max="30" width="1.6640625" style="1933" customWidth="1"/>
    <col min="31" max="31" width="13.6640625" style="1933" customWidth="1"/>
    <col min="32" max="33" width="1.6640625" style="1933" customWidth="1"/>
    <col min="34" max="34" width="12.6640625" style="1933" bestFit="1" customWidth="1"/>
    <col min="35" max="35" width="1" style="1933" customWidth="1"/>
    <col min="36" max="36" width="12.109375" style="1933" bestFit="1" customWidth="1"/>
    <col min="37" max="16384" width="8.6640625" style="2668"/>
  </cols>
  <sheetData>
    <row r="1" spans="1:37" ht="15">
      <c r="A1" s="2667" t="s">
        <v>870</v>
      </c>
    </row>
    <row r="2" spans="1:37" ht="15">
      <c r="A2" s="1401"/>
    </row>
    <row r="3" spans="1:37" ht="23.25">
      <c r="A3" s="2669" t="s">
        <v>0</v>
      </c>
      <c r="B3" s="1408"/>
      <c r="C3" s="1408"/>
      <c r="D3" s="1408"/>
      <c r="E3" s="1408"/>
      <c r="F3" s="1408"/>
      <c r="G3" s="1408"/>
      <c r="H3" s="1408"/>
      <c r="I3" s="1408"/>
      <c r="J3" s="1408"/>
      <c r="K3" s="1408"/>
      <c r="L3" s="1408"/>
      <c r="M3" s="1408"/>
      <c r="N3" s="1408"/>
      <c r="O3" s="2992"/>
      <c r="P3" s="1408"/>
      <c r="Q3" s="1408"/>
      <c r="R3" s="1408"/>
      <c r="S3" s="1408"/>
      <c r="T3" s="1408"/>
      <c r="U3" s="1408"/>
      <c r="V3" s="1408"/>
      <c r="W3" s="1408"/>
      <c r="X3" s="1408"/>
      <c r="Y3" s="1408"/>
      <c r="Z3" s="1408"/>
      <c r="AA3" s="1408"/>
      <c r="AB3" s="2992"/>
      <c r="AC3" s="2992"/>
      <c r="AD3" s="2992"/>
      <c r="AE3" s="2992"/>
      <c r="AF3" s="2992"/>
      <c r="AG3" s="2992"/>
      <c r="AI3" s="2992"/>
    </row>
    <row r="4" spans="1:37" ht="23.25">
      <c r="A4" s="2669" t="s">
        <v>1059</v>
      </c>
      <c r="B4" s="1408"/>
      <c r="C4" s="1408"/>
      <c r="D4" s="1408"/>
      <c r="E4" s="1408"/>
      <c r="F4" s="1408"/>
      <c r="G4" s="1408"/>
      <c r="H4" s="1408"/>
      <c r="I4" s="1408" t="s">
        <v>14</v>
      </c>
      <c r="J4" s="1408"/>
      <c r="K4" s="1408"/>
      <c r="L4" s="1408"/>
      <c r="M4" s="1408"/>
      <c r="N4" s="1408"/>
      <c r="O4" s="2992"/>
      <c r="P4" s="1408"/>
      <c r="Q4" s="1408"/>
      <c r="R4" s="1408"/>
      <c r="S4" s="1408"/>
      <c r="T4" s="1408"/>
      <c r="U4" s="1408"/>
      <c r="V4" s="1408"/>
      <c r="W4" s="1408"/>
      <c r="X4" s="1408"/>
      <c r="Y4" s="1408" t="s">
        <v>14</v>
      </c>
      <c r="Z4" s="1408"/>
      <c r="AA4" s="1408"/>
      <c r="AB4" s="2992"/>
      <c r="AC4" s="2992"/>
      <c r="AD4" s="2992"/>
      <c r="AE4" s="2992"/>
      <c r="AF4" s="2992"/>
      <c r="AG4" s="2992"/>
      <c r="AI4" s="2992"/>
    </row>
    <row r="5" spans="1:37" ht="23.25" customHeight="1">
      <c r="A5" s="2670" t="s">
        <v>1060</v>
      </c>
      <c r="B5" s="1408"/>
      <c r="C5" s="1408"/>
      <c r="D5" s="1408"/>
      <c r="E5" s="1408"/>
      <c r="F5" s="1408"/>
      <c r="G5" s="1408"/>
      <c r="H5" s="1408"/>
      <c r="I5" s="1408"/>
      <c r="J5" s="1408"/>
      <c r="K5" s="1408"/>
      <c r="L5" s="1408"/>
      <c r="M5" s="1408"/>
      <c r="N5" s="1408"/>
      <c r="O5" s="2992"/>
      <c r="P5" s="1408"/>
      <c r="Q5" s="1408"/>
      <c r="R5" s="1408"/>
      <c r="S5" s="1408"/>
      <c r="T5" s="1408"/>
      <c r="U5" s="1408"/>
      <c r="V5" s="1408"/>
      <c r="W5" s="1408"/>
      <c r="X5" s="1408"/>
      <c r="Y5" s="1408"/>
      <c r="Z5" s="1408"/>
      <c r="AA5" s="1408"/>
      <c r="AC5" s="3950"/>
      <c r="AD5" s="3951"/>
      <c r="AE5" s="3951"/>
      <c r="AF5" s="3951"/>
      <c r="AG5" s="3951"/>
      <c r="AH5" s="3951"/>
      <c r="AI5" s="3951"/>
      <c r="AJ5" s="3951"/>
    </row>
    <row r="6" spans="1:37" ht="23.25">
      <c r="A6" s="2670" t="str">
        <f>'Cashflow Governmental'!A6</f>
        <v xml:space="preserve">FISCAL YEAR 2022-2023   </v>
      </c>
      <c r="B6" s="1408"/>
      <c r="C6" s="1408"/>
      <c r="D6" s="1408"/>
      <c r="E6" s="1408"/>
      <c r="F6" s="1408"/>
      <c r="G6" s="1408"/>
      <c r="H6" s="1408"/>
      <c r="I6" s="1408"/>
      <c r="J6" s="1408"/>
      <c r="K6" s="1408"/>
      <c r="L6" s="1408"/>
      <c r="M6" s="1408"/>
      <c r="N6" s="1408"/>
      <c r="O6" s="2992"/>
      <c r="P6" s="1408"/>
      <c r="Q6" s="1408"/>
      <c r="R6" s="1408"/>
      <c r="S6" s="1408"/>
      <c r="T6" s="1408"/>
      <c r="U6" s="1408"/>
      <c r="V6" s="1408"/>
      <c r="W6" s="1408"/>
      <c r="X6" s="1408"/>
      <c r="Y6" s="1408"/>
      <c r="Z6" s="1408"/>
      <c r="AA6" s="1408"/>
      <c r="AB6" s="2992"/>
      <c r="AC6" s="2992"/>
      <c r="AD6" s="2992"/>
      <c r="AE6" s="2992"/>
      <c r="AF6" s="2992"/>
      <c r="AG6" s="2992"/>
      <c r="AI6" s="2992"/>
    </row>
    <row r="7" spans="1:37" ht="23.25" customHeight="1">
      <c r="A7" s="2669" t="s">
        <v>1250</v>
      </c>
      <c r="B7" s="1408"/>
      <c r="C7" s="1408"/>
      <c r="D7" s="1408"/>
      <c r="E7" s="1408"/>
      <c r="F7" s="1408"/>
      <c r="G7" s="1408"/>
      <c r="H7" s="1408"/>
      <c r="I7" s="1408"/>
      <c r="J7" s="1408"/>
      <c r="K7" s="1408"/>
      <c r="L7" s="1408"/>
      <c r="M7" s="1408"/>
      <c r="N7" s="1408"/>
      <c r="O7" s="2992"/>
      <c r="P7" s="1408"/>
      <c r="Q7" s="1408"/>
      <c r="R7" s="1408"/>
      <c r="S7" s="1408"/>
      <c r="T7" s="1408"/>
      <c r="U7" s="1408"/>
      <c r="V7" s="1408"/>
      <c r="W7" s="1408"/>
      <c r="X7" s="1408"/>
      <c r="Y7" s="1408"/>
      <c r="Z7" s="1408"/>
      <c r="AA7" s="1408"/>
      <c r="AB7" s="2992"/>
      <c r="AC7" s="2992"/>
      <c r="AD7" s="2992"/>
      <c r="AE7" s="2992"/>
      <c r="AF7" s="2992"/>
      <c r="AG7" s="2992"/>
      <c r="AI7" s="2992"/>
    </row>
    <row r="8" spans="1:37" ht="15">
      <c r="A8" s="1408"/>
      <c r="B8" s="1408"/>
      <c r="C8" s="1408"/>
      <c r="D8" s="1408"/>
      <c r="E8" s="1408"/>
      <c r="F8" s="1408"/>
      <c r="G8" s="1408"/>
      <c r="H8" s="1408"/>
      <c r="I8" s="1408"/>
      <c r="J8" s="1408"/>
      <c r="K8" s="1408"/>
      <c r="L8" s="1408"/>
      <c r="M8" s="1408"/>
      <c r="N8" s="1408"/>
      <c r="O8" s="2992"/>
      <c r="P8" s="1408"/>
      <c r="Q8" s="1408"/>
      <c r="R8" s="1408"/>
      <c r="S8" s="1408"/>
      <c r="T8" s="1408"/>
      <c r="U8" s="1408"/>
      <c r="V8" s="1408"/>
      <c r="W8" s="1408"/>
      <c r="X8" s="1408"/>
      <c r="Y8" s="1408"/>
      <c r="Z8" s="1408"/>
      <c r="AA8" s="1408"/>
      <c r="AB8" s="2992"/>
      <c r="AC8" s="2992"/>
      <c r="AD8" s="2992"/>
      <c r="AE8" s="2992"/>
      <c r="AF8" s="2992"/>
      <c r="AG8" s="2992"/>
      <c r="AI8" s="2992"/>
    </row>
    <row r="9" spans="1:37" ht="15">
      <c r="A9" s="1408"/>
      <c r="B9" s="1408"/>
      <c r="C9" s="1408"/>
      <c r="D9" s="1408"/>
      <c r="E9" s="1408"/>
      <c r="F9" s="1408"/>
      <c r="G9" s="1408"/>
      <c r="H9" s="1408"/>
      <c r="I9" s="1408"/>
      <c r="J9" s="1408"/>
      <c r="K9" s="1408"/>
      <c r="L9" s="1408"/>
      <c r="M9" s="1408"/>
      <c r="N9" s="1408"/>
      <c r="O9" s="2992"/>
      <c r="P9" s="1408"/>
      <c r="Q9" s="1408"/>
      <c r="R9" s="1408"/>
      <c r="S9" s="1408"/>
      <c r="T9" s="1408"/>
      <c r="U9" s="1408"/>
      <c r="V9" s="1408"/>
      <c r="W9" s="1408"/>
      <c r="X9" s="1408"/>
      <c r="Y9" s="1408"/>
      <c r="Z9" s="1408"/>
      <c r="AA9" s="1408"/>
      <c r="AB9" s="2992"/>
      <c r="AC9" s="2992"/>
      <c r="AD9" s="2992"/>
      <c r="AE9" s="2992"/>
      <c r="AF9" s="2992"/>
      <c r="AG9" s="2992"/>
      <c r="AI9" s="2992"/>
    </row>
    <row r="10" spans="1:37" ht="15">
      <c r="A10" s="1408"/>
      <c r="B10" s="1408"/>
      <c r="C10" s="1408"/>
      <c r="D10" s="1408"/>
      <c r="E10" s="1408"/>
      <c r="F10" s="1408"/>
      <c r="G10" s="1408"/>
      <c r="H10" s="1408"/>
      <c r="I10" s="1408"/>
      <c r="J10" s="1408"/>
      <c r="K10" s="1408"/>
      <c r="L10" s="1408"/>
      <c r="M10" s="1408"/>
      <c r="N10" s="1408"/>
      <c r="O10" s="2992"/>
      <c r="P10" s="1408"/>
      <c r="Q10" s="1408"/>
      <c r="R10" s="1408"/>
      <c r="S10" s="1408"/>
      <c r="T10" s="1408"/>
      <c r="U10" s="1408"/>
      <c r="V10" s="1408"/>
      <c r="W10" s="1408"/>
      <c r="X10" s="1408"/>
      <c r="Y10" s="1408"/>
      <c r="Z10" s="1408"/>
      <c r="AA10" s="1408"/>
      <c r="AB10" s="2992"/>
      <c r="AC10" s="2992"/>
      <c r="AD10" s="2992"/>
      <c r="AE10" s="2992"/>
      <c r="AF10" s="2992"/>
      <c r="AG10" s="2992"/>
      <c r="AI10" s="2992"/>
    </row>
    <row r="11" spans="1:37" ht="15">
      <c r="A11" s="1408"/>
      <c r="B11" s="1408"/>
      <c r="C11" s="1408" t="s">
        <v>14</v>
      </c>
      <c r="D11" s="1408" t="s">
        <v>14</v>
      </c>
      <c r="E11" s="1408"/>
      <c r="F11" s="1408"/>
      <c r="G11" s="1408"/>
      <c r="H11" s="1408"/>
      <c r="I11" s="1408"/>
      <c r="J11" s="1408"/>
      <c r="K11" s="1408"/>
      <c r="L11" s="1408"/>
      <c r="M11" s="1408"/>
      <c r="N11" s="1408"/>
      <c r="O11" s="2992"/>
      <c r="P11" s="1408"/>
      <c r="Q11" s="1408"/>
      <c r="R11" s="1408"/>
      <c r="S11" s="1408"/>
      <c r="T11" s="1408"/>
      <c r="U11" s="1408"/>
      <c r="V11" s="1408"/>
      <c r="W11" s="1408"/>
      <c r="X11" s="1408"/>
      <c r="Y11" s="1408"/>
      <c r="Z11" s="1408"/>
      <c r="AA11" s="1408"/>
      <c r="AC11" s="2992"/>
      <c r="AD11" s="2992"/>
      <c r="AE11" s="2992"/>
      <c r="AF11" s="2992"/>
      <c r="AG11" s="2992"/>
      <c r="AI11" s="2992"/>
    </row>
    <row r="12" spans="1:37" ht="15.75">
      <c r="A12" s="1408"/>
      <c r="B12" s="1408"/>
      <c r="C12" s="1408"/>
      <c r="D12" s="1408"/>
      <c r="E12" s="1408"/>
      <c r="F12" s="1408"/>
      <c r="G12" s="1408"/>
      <c r="H12" s="1408"/>
      <c r="I12" s="1408"/>
      <c r="J12" s="1408"/>
      <c r="K12" s="1408"/>
      <c r="L12" s="1408"/>
      <c r="M12" s="1408"/>
      <c r="N12" s="1408"/>
      <c r="O12" s="2992"/>
      <c r="P12" s="1408"/>
      <c r="Q12" s="1408"/>
      <c r="R12" s="1408"/>
      <c r="S12" s="1408"/>
      <c r="T12" s="1408"/>
      <c r="U12" s="1408"/>
      <c r="V12" s="1408"/>
      <c r="W12" s="1408"/>
      <c r="X12" s="1408"/>
      <c r="Z12" s="1408"/>
      <c r="AA12" s="2671"/>
      <c r="AB12" s="3952" t="str">
        <f>'Cashflow Governmental'!AB12:AJ12</f>
        <v>2 Months Ended May 31</v>
      </c>
      <c r="AC12" s="3952"/>
      <c r="AD12" s="3952"/>
      <c r="AE12" s="3952"/>
      <c r="AF12" s="3952"/>
      <c r="AG12" s="3952"/>
      <c r="AH12" s="3952"/>
      <c r="AI12" s="3952"/>
      <c r="AJ12" s="3952"/>
    </row>
    <row r="13" spans="1:37" ht="15.75">
      <c r="A13" s="1408"/>
      <c r="B13" s="1408"/>
      <c r="C13" s="2349" t="str">
        <f>'Cashflow Governmental'!C13</f>
        <v>2022</v>
      </c>
      <c r="D13" s="2350"/>
      <c r="E13" s="2350"/>
      <c r="F13" s="2350"/>
      <c r="G13" s="2350"/>
      <c r="H13" s="2350"/>
      <c r="I13" s="2350"/>
      <c r="J13" s="2350"/>
      <c r="K13" s="2350"/>
      <c r="L13" s="2350"/>
      <c r="M13" s="2350"/>
      <c r="N13" s="2350"/>
      <c r="O13" s="2976"/>
      <c r="P13" s="2350"/>
      <c r="Q13" s="2350"/>
      <c r="R13" s="2350"/>
      <c r="S13" s="2350"/>
      <c r="T13" s="2350"/>
      <c r="U13" s="2349">
        <f>'Cashflow Governmental'!U13</f>
        <v>2023</v>
      </c>
      <c r="V13" s="2350"/>
      <c r="W13" s="2350"/>
      <c r="X13" s="2350"/>
      <c r="Y13" s="2350"/>
      <c r="Z13" s="2350"/>
      <c r="AA13" s="2350"/>
      <c r="AB13" s="2976"/>
      <c r="AC13" s="3032"/>
      <c r="AD13" s="3032"/>
      <c r="AE13" s="3032"/>
      <c r="AF13" s="2976"/>
      <c r="AG13" s="2976"/>
      <c r="AH13" s="3241" t="s">
        <v>7</v>
      </c>
      <c r="AI13" s="3242"/>
      <c r="AJ13" s="3241" t="s">
        <v>8</v>
      </c>
    </row>
    <row r="14" spans="1:37" ht="15.75">
      <c r="A14" s="1408"/>
      <c r="B14" s="1408"/>
      <c r="C14" s="2672" t="s">
        <v>122</v>
      </c>
      <c r="D14" s="2350"/>
      <c r="E14" s="2672" t="s">
        <v>123</v>
      </c>
      <c r="F14" s="2350"/>
      <c r="G14" s="2672" t="s">
        <v>124</v>
      </c>
      <c r="H14" s="2350"/>
      <c r="I14" s="2672" t="s">
        <v>125</v>
      </c>
      <c r="J14" s="2350"/>
      <c r="K14" s="2672" t="s">
        <v>126</v>
      </c>
      <c r="L14" s="2350"/>
      <c r="M14" s="2672" t="s">
        <v>127</v>
      </c>
      <c r="N14" s="2350"/>
      <c r="O14" s="3241" t="s">
        <v>128</v>
      </c>
      <c r="P14" s="2350"/>
      <c r="Q14" s="2673" t="s">
        <v>129</v>
      </c>
      <c r="R14" s="2350"/>
      <c r="S14" s="2672" t="s">
        <v>130</v>
      </c>
      <c r="T14" s="2350"/>
      <c r="U14" s="2672" t="s">
        <v>131</v>
      </c>
      <c r="V14" s="2350"/>
      <c r="W14" s="2672" t="s">
        <v>132</v>
      </c>
      <c r="X14" s="2350"/>
      <c r="Y14" s="2672" t="s">
        <v>133</v>
      </c>
      <c r="Z14" s="2350"/>
      <c r="AA14" s="2350"/>
      <c r="AB14" s="3280">
        <f>'Cashflow Governmental'!AB14</f>
        <v>2022</v>
      </c>
      <c r="AC14" s="2976"/>
      <c r="AD14" s="2976"/>
      <c r="AE14" s="3280">
        <f>'Cashflow Governmental'!AE14</f>
        <v>2021</v>
      </c>
      <c r="AF14" s="3032"/>
      <c r="AG14" s="3032"/>
      <c r="AH14" s="3243" t="s">
        <v>11</v>
      </c>
      <c r="AI14" s="3242"/>
      <c r="AJ14" s="3243" t="s">
        <v>12</v>
      </c>
    </row>
    <row r="15" spans="1:37" ht="5.25" customHeight="1">
      <c r="A15" s="1408"/>
      <c r="B15" s="1408"/>
      <c r="C15" s="2674"/>
      <c r="D15" s="1408"/>
      <c r="E15" s="2674"/>
      <c r="F15" s="1408"/>
      <c r="G15" s="2674"/>
      <c r="H15" s="1408"/>
      <c r="I15" s="2674"/>
      <c r="J15" s="1408"/>
      <c r="K15" s="2674"/>
      <c r="L15" s="1408"/>
      <c r="M15" s="2674"/>
      <c r="N15" s="1408"/>
      <c r="O15" s="3281" t="s">
        <v>14</v>
      </c>
      <c r="P15" s="1408"/>
      <c r="Q15" s="2675"/>
      <c r="R15" s="1408"/>
      <c r="S15" s="2674"/>
      <c r="T15" s="1408"/>
      <c r="U15" s="2674" t="s">
        <v>14</v>
      </c>
      <c r="V15" s="1408"/>
      <c r="W15" s="2674"/>
      <c r="X15" s="1408"/>
      <c r="Y15" s="2674"/>
      <c r="Z15" s="1408"/>
      <c r="AA15" s="1408"/>
      <c r="AB15" s="3281"/>
      <c r="AC15" s="2992"/>
      <c r="AD15" s="2992"/>
      <c r="AE15" s="3281"/>
      <c r="AF15" s="3244"/>
      <c r="AG15" s="3244"/>
      <c r="AI15" s="2992"/>
    </row>
    <row r="16" spans="1:37" ht="15.75">
      <c r="A16" s="2676" t="s">
        <v>134</v>
      </c>
      <c r="B16" s="1408"/>
      <c r="C16" s="2677">
        <f>'Exhibit F'!D12+'Exh D Special Revenue State Fed'!G41+'Exhibit H'!B12</f>
        <v>40767.199999999997</v>
      </c>
      <c r="D16" s="2678"/>
      <c r="E16" s="2678">
        <f>C147</f>
        <v>54487.5</v>
      </c>
      <c r="F16" s="2678"/>
      <c r="G16" s="2678"/>
      <c r="H16" s="2678"/>
      <c r="I16" s="2678"/>
      <c r="J16" s="2678"/>
      <c r="K16" s="2678"/>
      <c r="L16" s="2678"/>
      <c r="M16" s="2678"/>
      <c r="N16" s="2678"/>
      <c r="O16" s="2678"/>
      <c r="P16" s="2678"/>
      <c r="Q16" s="2678"/>
      <c r="R16" s="2678"/>
      <c r="S16" s="2678"/>
      <c r="T16" s="2678"/>
      <c r="U16" s="2678"/>
      <c r="V16" s="2678"/>
      <c r="W16" s="2678"/>
      <c r="X16" s="2678"/>
      <c r="Y16" s="2678"/>
      <c r="Z16" s="2678"/>
      <c r="AA16" s="2679"/>
      <c r="AB16" s="2677">
        <f>C16</f>
        <v>40767.199999999997</v>
      </c>
      <c r="AC16" s="2677"/>
      <c r="AD16" s="3282"/>
      <c r="AE16" s="2677">
        <f>'Exhibit F'!AF12+'Exhibit G State'!AG13+'Exhibit H'!AD12</f>
        <v>14934.4</v>
      </c>
      <c r="AF16" s="3245"/>
      <c r="AG16" s="3245"/>
      <c r="AH16" s="2677">
        <f>ROUND(SUM(AB16-AE16),1)</f>
        <v>25832.799999999999</v>
      </c>
      <c r="AI16" s="2976"/>
      <c r="AJ16" s="1807">
        <f>ROUND(SUM(AH16/AE16),3)</f>
        <v>1.73</v>
      </c>
      <c r="AK16" s="2680"/>
    </row>
    <row r="17" spans="1:36" ht="15.75">
      <c r="A17" s="1408"/>
      <c r="B17" s="1408"/>
      <c r="C17" s="1408" t="s">
        <v>14</v>
      </c>
      <c r="D17" s="1408"/>
      <c r="E17" s="2601"/>
      <c r="F17" s="1408"/>
      <c r="G17" s="2601"/>
      <c r="H17" s="1408"/>
      <c r="I17" s="2601"/>
      <c r="J17" s="1408"/>
      <c r="K17" s="2601"/>
      <c r="L17" s="1408"/>
      <c r="M17" s="2601"/>
      <c r="N17" s="1408"/>
      <c r="O17" s="3723"/>
      <c r="P17" s="1408"/>
      <c r="Q17" s="2601"/>
      <c r="R17" s="1408"/>
      <c r="S17" s="2601"/>
      <c r="T17" s="1408"/>
      <c r="U17" s="2601"/>
      <c r="V17" s="1408"/>
      <c r="W17" s="2678"/>
      <c r="X17" s="1408"/>
      <c r="Y17" s="2601"/>
      <c r="Z17" s="1408"/>
      <c r="AA17" s="2681"/>
      <c r="AB17" s="2992" t="s">
        <v>14</v>
      </c>
      <c r="AC17" s="2992"/>
      <c r="AD17" s="3283"/>
      <c r="AE17" s="2992" t="s">
        <v>14</v>
      </c>
      <c r="AF17" s="3244"/>
      <c r="AG17" s="3244"/>
      <c r="AH17" s="3246"/>
      <c r="AI17" s="2992"/>
      <c r="AJ17" s="3246"/>
    </row>
    <row r="18" spans="1:36" ht="15.75">
      <c r="A18" s="1953" t="s">
        <v>13</v>
      </c>
      <c r="B18" s="1408"/>
      <c r="C18" s="1408"/>
      <c r="D18" s="1408"/>
      <c r="E18" s="2601"/>
      <c r="F18" s="1408"/>
      <c r="G18" s="2601"/>
      <c r="H18" s="1408"/>
      <c r="I18" s="2601"/>
      <c r="J18" s="1408"/>
      <c r="K18" s="2601"/>
      <c r="L18" s="1408"/>
      <c r="M18" s="2601"/>
      <c r="N18" s="1408"/>
      <c r="O18" s="3723"/>
      <c r="P18" s="1408"/>
      <c r="Q18" s="2601"/>
      <c r="R18" s="1408"/>
      <c r="S18" s="2601"/>
      <c r="T18" s="1408"/>
      <c r="U18" s="2601"/>
      <c r="V18" s="1408"/>
      <c r="W18" s="2601"/>
      <c r="X18" s="1408"/>
      <c r="Y18" s="2601"/>
      <c r="Z18" s="1408"/>
      <c r="AA18" s="2681"/>
      <c r="AB18" s="2992"/>
      <c r="AC18" s="2992"/>
      <c r="AD18" s="3283"/>
      <c r="AE18" s="2992"/>
      <c r="AF18" s="3244"/>
      <c r="AG18" s="3244"/>
      <c r="AH18" s="3246"/>
      <c r="AI18" s="2992"/>
      <c r="AJ18" s="3246"/>
    </row>
    <row r="19" spans="1:36" ht="15.75">
      <c r="A19" s="2378" t="s">
        <v>980</v>
      </c>
      <c r="B19" s="1408"/>
      <c r="C19" s="1408"/>
      <c r="D19" s="1408"/>
      <c r="E19" s="2601"/>
      <c r="F19" s="1408"/>
      <c r="G19" s="2601"/>
      <c r="H19" s="1408"/>
      <c r="I19" s="2601"/>
      <c r="J19" s="1408"/>
      <c r="K19" s="2601"/>
      <c r="L19" s="1408"/>
      <c r="M19" s="2601"/>
      <c r="N19" s="1408"/>
      <c r="O19" s="3723"/>
      <c r="P19" s="1408"/>
      <c r="Q19" s="2601"/>
      <c r="R19" s="1408"/>
      <c r="S19" s="2601"/>
      <c r="T19" s="1408"/>
      <c r="U19" s="2601"/>
      <c r="V19" s="1408"/>
      <c r="W19" s="2601"/>
      <c r="X19" s="1408"/>
      <c r="Y19" s="2601"/>
      <c r="Z19" s="1408"/>
      <c r="AA19" s="2682"/>
      <c r="AB19" s="2992"/>
      <c r="AC19" s="2992"/>
      <c r="AD19" s="3283"/>
      <c r="AE19" s="2992"/>
      <c r="AF19" s="3244"/>
      <c r="AG19" s="3244"/>
      <c r="AH19" s="3246"/>
      <c r="AI19" s="2992"/>
      <c r="AJ19" s="3246"/>
    </row>
    <row r="20" spans="1:36" ht="15">
      <c r="A20" s="2379" t="s">
        <v>1042</v>
      </c>
      <c r="B20" s="1408"/>
      <c r="C20" s="1408"/>
      <c r="D20" s="1408"/>
      <c r="E20" s="1407"/>
      <c r="F20" s="1408"/>
      <c r="G20" s="2601"/>
      <c r="H20" s="1408"/>
      <c r="I20" s="2601"/>
      <c r="J20" s="1408"/>
      <c r="K20" s="2601"/>
      <c r="L20" s="1408"/>
      <c r="M20" s="2601"/>
      <c r="N20" s="1408"/>
      <c r="O20" s="3723"/>
      <c r="P20" s="1408"/>
      <c r="Q20" s="2601"/>
      <c r="R20" s="1408"/>
      <c r="S20" s="2601"/>
      <c r="T20" s="1408"/>
      <c r="U20" s="2601"/>
      <c r="V20" s="1408"/>
      <c r="W20" s="2601"/>
      <c r="X20" s="1408"/>
      <c r="Y20" s="2601"/>
      <c r="Z20" s="1408"/>
      <c r="AA20" s="2681"/>
      <c r="AB20" s="2992"/>
      <c r="AC20" s="2992"/>
      <c r="AD20" s="3283"/>
      <c r="AE20" s="2992"/>
      <c r="AF20" s="3244"/>
      <c r="AG20" s="3244"/>
      <c r="AH20" s="3246"/>
      <c r="AI20" s="2992"/>
      <c r="AJ20" s="3246"/>
    </row>
    <row r="21" spans="1:36" ht="15">
      <c r="A21" s="2171" t="s">
        <v>986</v>
      </c>
      <c r="B21" s="1408"/>
      <c r="C21" s="1407">
        <f>+'Exhibit F'!D17</f>
        <v>3733.2</v>
      </c>
      <c r="D21" s="1407"/>
      <c r="E21" s="1407">
        <f>+'Exhibit F'!F17</f>
        <v>3632</v>
      </c>
      <c r="F21" s="1407"/>
      <c r="G21" s="1407"/>
      <c r="H21" s="1407"/>
      <c r="I21" s="1407"/>
      <c r="J21" s="1407"/>
      <c r="K21" s="1407"/>
      <c r="L21" s="1407"/>
      <c r="M21" s="1407"/>
      <c r="N21" s="1407"/>
      <c r="O21" s="1407"/>
      <c r="P21" s="1408"/>
      <c r="Q21" s="1407"/>
      <c r="R21" s="1408"/>
      <c r="S21" s="1407"/>
      <c r="T21" s="1408"/>
      <c r="U21" s="1407"/>
      <c r="V21" s="1408"/>
      <c r="W21" s="1407"/>
      <c r="X21" s="1408"/>
      <c r="Y21" s="1407"/>
      <c r="Z21" s="1408"/>
      <c r="AA21" s="2681"/>
      <c r="AB21" s="3033">
        <f>ROUND(SUM(C21:Y21),1)</f>
        <v>7365.2</v>
      </c>
      <c r="AC21" s="2992"/>
      <c r="AD21" s="3283"/>
      <c r="AE21" s="3033">
        <f>+'Exhibit F'!AF17</f>
        <v>6819.5</v>
      </c>
      <c r="AF21" s="3244"/>
      <c r="AG21" s="3244"/>
      <c r="AH21" s="1943">
        <f>ROUND(SUM(+AB21-AE21),1)</f>
        <v>545.70000000000005</v>
      </c>
      <c r="AI21" s="2384"/>
      <c r="AJ21" s="1770">
        <f t="shared" ref="AJ21:AJ25" si="0">ROUND(SUM(+AH21/ABS(AE21)),3)</f>
        <v>0.08</v>
      </c>
    </row>
    <row r="22" spans="1:36" ht="15">
      <c r="A22" s="2171" t="s">
        <v>1240</v>
      </c>
      <c r="B22" s="1408"/>
      <c r="C22" s="1407">
        <f>+'Exhibit F'!D18</f>
        <v>10927.5</v>
      </c>
      <c r="D22" s="1407"/>
      <c r="E22" s="1407">
        <f>+'Exhibit F'!F18</f>
        <v>152.80000000000109</v>
      </c>
      <c r="F22" s="1407"/>
      <c r="G22" s="1407"/>
      <c r="H22" s="1407"/>
      <c r="I22" s="1407"/>
      <c r="J22" s="1407"/>
      <c r="K22" s="1407"/>
      <c r="L22" s="1407"/>
      <c r="M22" s="1407"/>
      <c r="N22" s="1407"/>
      <c r="O22" s="1407"/>
      <c r="P22" s="1408"/>
      <c r="Q22" s="1407"/>
      <c r="R22" s="1408"/>
      <c r="S22" s="1407"/>
      <c r="T22" s="1408"/>
      <c r="U22" s="1407"/>
      <c r="V22" s="1408"/>
      <c r="W22" s="1407"/>
      <c r="X22" s="1408"/>
      <c r="Y22" s="1407"/>
      <c r="Z22" s="1408"/>
      <c r="AA22" s="2681"/>
      <c r="AB22" s="3033">
        <f>ROUND(SUM(C22:Y22),1)</f>
        <v>11080.3</v>
      </c>
      <c r="AC22" s="2992"/>
      <c r="AD22" s="3283"/>
      <c r="AE22" s="3033">
        <f>+'Exhibit F'!AF18</f>
        <v>9470.9</v>
      </c>
      <c r="AF22" s="3244"/>
      <c r="AG22" s="3244"/>
      <c r="AH22" s="1943">
        <f t="shared" ref="AH22:AH28" si="1">ROUND(SUM(+AB22-AE22),1)</f>
        <v>1609.4</v>
      </c>
      <c r="AI22" s="2384"/>
      <c r="AJ22" s="1781">
        <f t="shared" si="0"/>
        <v>0.17</v>
      </c>
    </row>
    <row r="23" spans="1:36" ht="15">
      <c r="A23" s="2171" t="s">
        <v>987</v>
      </c>
      <c r="B23" s="1408"/>
      <c r="C23" s="1407">
        <f>+'Exhibit F'!D19</f>
        <v>3269.8</v>
      </c>
      <c r="D23" s="1407"/>
      <c r="E23" s="1407">
        <f>+'Exhibit F'!F19</f>
        <v>174.89999999999964</v>
      </c>
      <c r="F23" s="1407"/>
      <c r="G23" s="1407"/>
      <c r="H23" s="1407"/>
      <c r="I23" s="1407"/>
      <c r="J23" s="1407"/>
      <c r="K23" s="1407"/>
      <c r="L23" s="1407"/>
      <c r="M23" s="1407"/>
      <c r="N23" s="1407"/>
      <c r="O23" s="1407"/>
      <c r="P23" s="1408"/>
      <c r="Q23" s="1407"/>
      <c r="R23" s="1408"/>
      <c r="S23" s="1407"/>
      <c r="T23" s="1408"/>
      <c r="U23" s="1407"/>
      <c r="V23" s="1408"/>
      <c r="W23" s="1407"/>
      <c r="X23" s="1408"/>
      <c r="Y23" s="1407"/>
      <c r="Z23" s="1408"/>
      <c r="AA23" s="2681"/>
      <c r="AB23" s="3033">
        <f t="shared" ref="AB23:AB29" si="2">ROUND(SUM(C23:Y23),1)</f>
        <v>3444.7</v>
      </c>
      <c r="AC23" s="2992"/>
      <c r="AD23" s="3283"/>
      <c r="AE23" s="3033">
        <f>+'Exhibit F'!AF19</f>
        <v>3097.9</v>
      </c>
      <c r="AF23" s="3244"/>
      <c r="AG23" s="3244"/>
      <c r="AH23" s="1943">
        <f t="shared" si="1"/>
        <v>346.8</v>
      </c>
      <c r="AI23" s="2384"/>
      <c r="AJ23" s="1770">
        <f t="shared" si="0"/>
        <v>0.112</v>
      </c>
    </row>
    <row r="24" spans="1:36" ht="15">
      <c r="A24" s="2683" t="s">
        <v>988</v>
      </c>
      <c r="B24" s="1408"/>
      <c r="C24" s="1407">
        <f>+'Exhibit F'!D20</f>
        <v>-502</v>
      </c>
      <c r="D24" s="1407"/>
      <c r="E24" s="1407">
        <f>+'Exhibit F'!F20</f>
        <v>-39.100000000000023</v>
      </c>
      <c r="F24" s="1407"/>
      <c r="G24" s="1407"/>
      <c r="H24" s="1407"/>
      <c r="I24" s="1407"/>
      <c r="J24" s="1407"/>
      <c r="K24" s="1407"/>
      <c r="L24" s="1407"/>
      <c r="M24" s="1407"/>
      <c r="N24" s="1407"/>
      <c r="O24" s="1407"/>
      <c r="P24" s="1408"/>
      <c r="Q24" s="1407"/>
      <c r="R24" s="1408"/>
      <c r="S24" s="1407"/>
      <c r="T24" s="1408"/>
      <c r="U24" s="1407"/>
      <c r="V24" s="1408"/>
      <c r="W24" s="1407"/>
      <c r="X24" s="1408"/>
      <c r="Y24" s="1407"/>
      <c r="Z24" s="1408"/>
      <c r="AA24" s="2681"/>
      <c r="AB24" s="3033">
        <f>ROUND(SUM(C24:Y24),1)</f>
        <v>-541.1</v>
      </c>
      <c r="AC24" s="2992"/>
      <c r="AD24" s="3283"/>
      <c r="AE24" s="3033">
        <f>+'Exhibit F'!AF20</f>
        <v>-467.7</v>
      </c>
      <c r="AF24" s="3244"/>
      <c r="AG24" s="3244"/>
      <c r="AH24" s="1943">
        <f>-ROUND(SUM(+AB24-AE24),1)</f>
        <v>73.400000000000006</v>
      </c>
      <c r="AI24" s="2384"/>
      <c r="AJ24" s="1770">
        <f t="shared" si="0"/>
        <v>0.157</v>
      </c>
    </row>
    <row r="25" spans="1:36" ht="15">
      <c r="A25" s="2683" t="s">
        <v>1239</v>
      </c>
      <c r="B25" s="1408"/>
      <c r="C25" s="1407">
        <f>+'Exhibit F'!D21</f>
        <v>220.6</v>
      </c>
      <c r="D25" s="1407"/>
      <c r="E25" s="1407">
        <f>+'Exhibit F'!F21</f>
        <v>161.79999999999998</v>
      </c>
      <c r="F25" s="1407"/>
      <c r="G25" s="1407"/>
      <c r="H25" s="1407"/>
      <c r="I25" s="1407"/>
      <c r="J25" s="1407"/>
      <c r="K25" s="1407"/>
      <c r="L25" s="1407"/>
      <c r="M25" s="1407"/>
      <c r="N25" s="1407"/>
      <c r="O25" s="1407"/>
      <c r="P25" s="1408"/>
      <c r="Q25" s="1407"/>
      <c r="R25" s="1408"/>
      <c r="S25" s="1407"/>
      <c r="T25" s="1408"/>
      <c r="U25" s="1407"/>
      <c r="V25" s="1408"/>
      <c r="W25" s="1407"/>
      <c r="X25" s="1408"/>
      <c r="Y25" s="1407"/>
      <c r="Z25" s="1408"/>
      <c r="AA25" s="2681"/>
      <c r="AB25" s="3033">
        <f t="shared" si="2"/>
        <v>382.4</v>
      </c>
      <c r="AC25" s="2992"/>
      <c r="AD25" s="3283"/>
      <c r="AE25" s="3033">
        <f>+'Exhibit F'!AF21</f>
        <v>241.3</v>
      </c>
      <c r="AF25" s="3244"/>
      <c r="AG25" s="3244"/>
      <c r="AH25" s="1943">
        <f t="shared" si="1"/>
        <v>141.1</v>
      </c>
      <c r="AI25" s="2384"/>
      <c r="AJ25" s="1770">
        <f t="shared" si="0"/>
        <v>0.58499999999999996</v>
      </c>
    </row>
    <row r="26" spans="1:36" ht="15.75">
      <c r="A26" s="2247" t="s">
        <v>989</v>
      </c>
      <c r="B26" s="1408"/>
      <c r="C26" s="1985">
        <f>ROUND(SUM(C21:C25),1)</f>
        <v>17649.099999999999</v>
      </c>
      <c r="D26" s="1408"/>
      <c r="E26" s="1985">
        <f>ROUND(SUM(E21:E25),1)</f>
        <v>4082.4</v>
      </c>
      <c r="F26" s="1408"/>
      <c r="G26" s="1985">
        <f>ROUND(SUM(G21:G25),1)</f>
        <v>0</v>
      </c>
      <c r="H26" s="1408"/>
      <c r="I26" s="1985">
        <f>ROUND(SUM(I21:I25),1)</f>
        <v>0</v>
      </c>
      <c r="J26" s="1408"/>
      <c r="K26" s="1985">
        <f>ROUND(SUM(K21:K25),1)</f>
        <v>0</v>
      </c>
      <c r="L26" s="1408"/>
      <c r="M26" s="1985">
        <f>ROUND(SUM(M21:M25),1)</f>
        <v>0</v>
      </c>
      <c r="N26" s="1408"/>
      <c r="O26" s="1428">
        <f>ROUND(SUM(O21:O25),1)</f>
        <v>0</v>
      </c>
      <c r="P26" s="1408"/>
      <c r="Q26" s="1985">
        <f>ROUND(SUM(Q21:Q25),1)</f>
        <v>0</v>
      </c>
      <c r="R26" s="1408"/>
      <c r="S26" s="1985">
        <f>ROUND(SUM(S21:S25),1)</f>
        <v>0</v>
      </c>
      <c r="T26" s="1408"/>
      <c r="U26" s="1985">
        <f>ROUND(SUM(U21:U25),1)</f>
        <v>0</v>
      </c>
      <c r="V26" s="1408"/>
      <c r="W26" s="1985">
        <f>ROUND(SUM(W21:W25),1)</f>
        <v>0</v>
      </c>
      <c r="X26" s="1408"/>
      <c r="Y26" s="1985">
        <f>ROUND(SUM(Y21:Y25),1)</f>
        <v>0</v>
      </c>
      <c r="Z26" s="1408"/>
      <c r="AA26" s="2681"/>
      <c r="AB26" s="1428">
        <f>ROUND(SUM(AB21:AB25),1)</f>
        <v>21731.5</v>
      </c>
      <c r="AC26" s="2992"/>
      <c r="AD26" s="3283"/>
      <c r="AE26" s="1428">
        <f>ROUND(SUM(AE21:AE25),1)</f>
        <v>19161.900000000001</v>
      </c>
      <c r="AF26" s="3244"/>
      <c r="AG26" s="3244"/>
      <c r="AH26" s="1960">
        <f t="shared" si="1"/>
        <v>2569.6</v>
      </c>
      <c r="AI26" s="2384"/>
      <c r="AJ26" s="2464">
        <f>ROUND(SUM(+AH26/ABS(AE26)),3)</f>
        <v>0.13400000000000001</v>
      </c>
    </row>
    <row r="27" spans="1:36" ht="15">
      <c r="A27" s="2683" t="s">
        <v>991</v>
      </c>
      <c r="B27" s="1408"/>
      <c r="C27" s="1407">
        <f>+'Exhibit F'!D23+'Exhibit G State'!D17</f>
        <v>0</v>
      </c>
      <c r="D27" s="1408"/>
      <c r="E27" s="1407">
        <f>+'Exhibit F'!F23+'Exhibit G State'!F17</f>
        <v>0</v>
      </c>
      <c r="F27" s="1408"/>
      <c r="G27" s="1407"/>
      <c r="H27" s="1408"/>
      <c r="I27" s="1407"/>
      <c r="J27" s="1408"/>
      <c r="K27" s="1407"/>
      <c r="L27" s="1408"/>
      <c r="M27" s="1407"/>
      <c r="N27" s="1408"/>
      <c r="O27" s="1407"/>
      <c r="P27" s="1408"/>
      <c r="Q27" s="1407"/>
      <c r="R27" s="1408"/>
      <c r="S27" s="1407"/>
      <c r="T27" s="1408"/>
      <c r="U27" s="1407"/>
      <c r="V27" s="1408"/>
      <c r="W27" s="1407"/>
      <c r="X27" s="1408"/>
      <c r="Y27" s="1407"/>
      <c r="Z27" s="1408"/>
      <c r="AA27" s="2681"/>
      <c r="AB27" s="3033">
        <f>ROUND(SUM(C27:Y27),1)</f>
        <v>0</v>
      </c>
      <c r="AC27" s="2992"/>
      <c r="AD27" s="3283"/>
      <c r="AE27" s="3033">
        <f>+'Exhibit F'!AF23+'Exhibit G State'!AG17</f>
        <v>0</v>
      </c>
      <c r="AF27" s="3244"/>
      <c r="AG27" s="3244"/>
      <c r="AH27" s="1943">
        <f t="shared" si="1"/>
        <v>0</v>
      </c>
      <c r="AI27" s="2384"/>
      <c r="AJ27" s="1677">
        <f>ROUND(IF(AE27=0,0,AH27/ABS(AE27)),3)</f>
        <v>0</v>
      </c>
    </row>
    <row r="28" spans="1:36" ht="15">
      <c r="A28" s="2683" t="s">
        <v>992</v>
      </c>
      <c r="B28" s="1408"/>
      <c r="C28" s="1407">
        <f>+'Exhibit F'!D24+'Exhibit H'!B16</f>
        <v>0</v>
      </c>
      <c r="D28" s="1408"/>
      <c r="E28" s="1407">
        <f>+'Exhibit F'!F24+'Exhibit H'!D16</f>
        <v>0</v>
      </c>
      <c r="F28" s="1408"/>
      <c r="G28" s="1407"/>
      <c r="H28" s="1408"/>
      <c r="I28" s="1407"/>
      <c r="J28" s="1408"/>
      <c r="K28" s="1407"/>
      <c r="L28" s="1408"/>
      <c r="M28" s="1407"/>
      <c r="N28" s="1408"/>
      <c r="O28" s="1407"/>
      <c r="P28" s="1408"/>
      <c r="Q28" s="1407"/>
      <c r="R28" s="1408"/>
      <c r="S28" s="1407"/>
      <c r="T28" s="1408"/>
      <c r="U28" s="1407"/>
      <c r="V28" s="1408"/>
      <c r="W28" s="1407"/>
      <c r="X28" s="1408"/>
      <c r="Y28" s="1407"/>
      <c r="Z28" s="1408"/>
      <c r="AA28" s="2681"/>
      <c r="AB28" s="3033">
        <f t="shared" si="2"/>
        <v>0</v>
      </c>
      <c r="AC28" s="2992"/>
      <c r="AD28" s="3283"/>
      <c r="AE28" s="3033">
        <f>+'Exhibit F'!AF24+'Exhibit H'!AD16</f>
        <v>0</v>
      </c>
      <c r="AF28" s="3244"/>
      <c r="AG28" s="3244"/>
      <c r="AH28" s="1943">
        <f t="shared" si="1"/>
        <v>0</v>
      </c>
      <c r="AI28" s="2384"/>
      <c r="AJ28" s="1677">
        <f>ROUND(IF(AE28=0,0,AH28/ABS(AE28)),3)</f>
        <v>0</v>
      </c>
    </row>
    <row r="29" spans="1:36" ht="15">
      <c r="A29" s="2171" t="s">
        <v>1241</v>
      </c>
      <c r="B29" s="1407"/>
      <c r="C29" s="1407">
        <f>+'Exhibit F'!D25</f>
        <v>-2927.5</v>
      </c>
      <c r="D29" s="1407"/>
      <c r="E29" s="1407">
        <f>+'Exhibit F'!F25</f>
        <v>-1358.1999999999998</v>
      </c>
      <c r="F29" s="1407"/>
      <c r="G29" s="1407"/>
      <c r="H29" s="1407"/>
      <c r="I29" s="1407"/>
      <c r="J29" s="1407"/>
      <c r="K29" s="1407"/>
      <c r="L29" s="1408"/>
      <c r="M29" s="1407"/>
      <c r="N29" s="1408"/>
      <c r="O29" s="1407"/>
      <c r="P29" s="1408"/>
      <c r="Q29" s="1407"/>
      <c r="R29" s="1408"/>
      <c r="S29" s="1407"/>
      <c r="T29" s="1408"/>
      <c r="U29" s="1407"/>
      <c r="V29" s="1408"/>
      <c r="W29" s="1407"/>
      <c r="X29" s="1408"/>
      <c r="Y29" s="1407"/>
      <c r="Z29" s="1408"/>
      <c r="AA29" s="2681"/>
      <c r="AB29" s="3033">
        <f t="shared" si="2"/>
        <v>-4285.7</v>
      </c>
      <c r="AC29" s="2992"/>
      <c r="AD29" s="3283"/>
      <c r="AE29" s="3033">
        <f>+'Exhibit F'!AF25</f>
        <v>-2803.1</v>
      </c>
      <c r="AF29" s="3244"/>
      <c r="AG29" s="3244"/>
      <c r="AH29" s="1943">
        <f>-ROUND(SUM(+AB29-AE29),1)</f>
        <v>1482.6</v>
      </c>
      <c r="AI29" s="2384"/>
      <c r="AJ29" s="1770">
        <f>ROUND(SUM(+AH29/ABS(AE29)),3)</f>
        <v>0.52900000000000003</v>
      </c>
    </row>
    <row r="30" spans="1:36" ht="15.75">
      <c r="A30" s="2389" t="s">
        <v>990</v>
      </c>
      <c r="B30" s="1408"/>
      <c r="C30" s="1985">
        <f>ROUND(SUM(C26+C27+C28+C29),1)</f>
        <v>14721.6</v>
      </c>
      <c r="D30" s="1408"/>
      <c r="E30" s="1985">
        <f>ROUND(SUM(E26+E27+E28+E29),1)</f>
        <v>2724.2</v>
      </c>
      <c r="F30" s="1408"/>
      <c r="G30" s="1985">
        <f>ROUND(SUM(G26+G27+G28+G29),1)</f>
        <v>0</v>
      </c>
      <c r="H30" s="1408"/>
      <c r="I30" s="1985">
        <f>ROUND(SUM(I26+I27+I28+I29),1)</f>
        <v>0</v>
      </c>
      <c r="J30" s="1408"/>
      <c r="K30" s="1985">
        <f>ROUND(SUM(K26+K27+K28+K29),1)</f>
        <v>0</v>
      </c>
      <c r="L30" s="1408"/>
      <c r="M30" s="1985">
        <f>ROUND(SUM(M26+M27+M28+M29),1)</f>
        <v>0</v>
      </c>
      <c r="N30" s="1408"/>
      <c r="O30" s="1428">
        <f>ROUND(SUM(O26+O27+O28+O29),1)</f>
        <v>0</v>
      </c>
      <c r="P30" s="1408"/>
      <c r="Q30" s="1985">
        <f>ROUND(SUM(Q26+Q27+Q28+Q29),1)</f>
        <v>0</v>
      </c>
      <c r="R30" s="1408"/>
      <c r="S30" s="1985">
        <f>ROUND(SUM(S26+S27+S28+S29),1)</f>
        <v>0</v>
      </c>
      <c r="T30" s="1408"/>
      <c r="U30" s="1985">
        <f>ROUND(SUM(U26+U27+U28+U29),1)</f>
        <v>0</v>
      </c>
      <c r="V30" s="1408"/>
      <c r="W30" s="1985">
        <f>ROUND(SUM(W26+W27+W28+W29),1)</f>
        <v>0</v>
      </c>
      <c r="X30" s="1408"/>
      <c r="Y30" s="1985">
        <f>ROUND(SUM(Y26+Y27+Y28+Y29),1)</f>
        <v>0</v>
      </c>
      <c r="Z30" s="1408"/>
      <c r="AA30" s="2681"/>
      <c r="AB30" s="1428">
        <f>ROUND(SUM(AB26+AB27+AB28+AB29),1)</f>
        <v>17445.8</v>
      </c>
      <c r="AC30" s="2992"/>
      <c r="AD30" s="3283"/>
      <c r="AE30" s="1428">
        <f>ROUND(SUM(AE26+AE27+AE28+AE29),1)</f>
        <v>16358.8</v>
      </c>
      <c r="AF30" s="3244"/>
      <c r="AG30" s="3244"/>
      <c r="AH30" s="1428">
        <f>ROUND(SUM(AH26+AH27+AH28-AH29),1)</f>
        <v>1087</v>
      </c>
      <c r="AI30" s="3247"/>
      <c r="AJ30" s="2464">
        <f>ROUND(SUM(+AH30/ABS(AE30)),3)</f>
        <v>6.6000000000000003E-2</v>
      </c>
    </row>
    <row r="31" spans="1:36" ht="15">
      <c r="A31" s="2379" t="s">
        <v>1039</v>
      </c>
      <c r="B31" s="1408"/>
      <c r="C31" s="1408"/>
      <c r="D31" s="1408"/>
      <c r="E31" s="1408"/>
      <c r="F31" s="1408"/>
      <c r="G31" s="1408"/>
      <c r="H31" s="1408"/>
      <c r="I31" s="1408"/>
      <c r="J31" s="1408"/>
      <c r="K31" s="1408"/>
      <c r="L31" s="1408"/>
      <c r="M31" s="1408"/>
      <c r="N31" s="1408"/>
      <c r="O31" s="2992"/>
      <c r="P31" s="1408"/>
      <c r="Q31" s="1408"/>
      <c r="R31" s="1408"/>
      <c r="S31" s="1408"/>
      <c r="T31" s="1408"/>
      <c r="U31" s="1408"/>
      <c r="V31" s="1408"/>
      <c r="W31" s="1408"/>
      <c r="X31" s="1408"/>
      <c r="Y31" s="1408"/>
      <c r="Z31" s="1408"/>
      <c r="AA31" s="2681"/>
      <c r="AB31" s="2992"/>
      <c r="AC31" s="2992"/>
      <c r="AD31" s="3283"/>
      <c r="AE31" s="3033"/>
      <c r="AF31" s="3244"/>
      <c r="AG31" s="3244"/>
      <c r="AH31" s="3246"/>
      <c r="AI31" s="2992"/>
      <c r="AJ31" s="3246"/>
    </row>
    <row r="32" spans="1:36" ht="15">
      <c r="A32" s="2171" t="s">
        <v>995</v>
      </c>
      <c r="B32" s="1408"/>
      <c r="C32" s="1407">
        <f>+'Exhibit F'!D28+'Exhibit H'!B19+'Exhibit G State'!D20</f>
        <v>1378.6999999999998</v>
      </c>
      <c r="D32" s="1407"/>
      <c r="E32" s="1407">
        <f>+'Exhibit F'!F28+'Exhibit H'!D19+'Exhibit G State'!F20</f>
        <v>1397.1999999999998</v>
      </c>
      <c r="F32" s="1407"/>
      <c r="G32" s="1407"/>
      <c r="H32" s="1407"/>
      <c r="I32" s="1407"/>
      <c r="J32" s="1407"/>
      <c r="K32" s="1407"/>
      <c r="L32" s="1408"/>
      <c r="M32" s="1407"/>
      <c r="N32" s="1408"/>
      <c r="O32" s="1407"/>
      <c r="P32" s="1408"/>
      <c r="Q32" s="1407"/>
      <c r="R32" s="1408"/>
      <c r="S32" s="1407"/>
      <c r="T32" s="1408"/>
      <c r="U32" s="1407"/>
      <c r="V32" s="1408"/>
      <c r="W32" s="1407"/>
      <c r="X32" s="1408"/>
      <c r="Y32" s="1407"/>
      <c r="Z32" s="1408"/>
      <c r="AA32" s="2681"/>
      <c r="AB32" s="3033">
        <f t="shared" ref="AB32:AB38" si="3">ROUND(SUM(C32:Y32),1)</f>
        <v>2775.9</v>
      </c>
      <c r="AC32" s="2992"/>
      <c r="AD32" s="3283"/>
      <c r="AE32" s="3033">
        <f>+'Exhibit F'!AF28+'Exhibit H'!AD19+'Exhibit G State'!AG20</f>
        <v>2558.7999999999997</v>
      </c>
      <c r="AF32" s="3244"/>
      <c r="AG32" s="3244"/>
      <c r="AH32" s="1943">
        <f t="shared" ref="AH32:AH38" si="4">ROUND(SUM(+AB32-AE32),1)</f>
        <v>217.1</v>
      </c>
      <c r="AI32" s="2384"/>
      <c r="AJ32" s="1770">
        <f>ROUND(SUM(+AH32/ABS(AE32)),3)</f>
        <v>8.5000000000000006E-2</v>
      </c>
    </row>
    <row r="33" spans="1:36" ht="15">
      <c r="A33" s="2171" t="s">
        <v>996</v>
      </c>
      <c r="B33" s="1408"/>
      <c r="C33" s="1407">
        <f>+'Exhibit F'!D29+'Exhibit G State'!D21</f>
        <v>1.8</v>
      </c>
      <c r="D33" s="1407"/>
      <c r="E33" s="1407">
        <f>+'Exhibit F'!F29+'Exhibit G State'!F21</f>
        <v>0</v>
      </c>
      <c r="F33" s="1407"/>
      <c r="G33" s="1407"/>
      <c r="H33" s="1407"/>
      <c r="I33" s="1407"/>
      <c r="J33" s="1407"/>
      <c r="K33" s="1407"/>
      <c r="L33" s="1408"/>
      <c r="M33" s="1407"/>
      <c r="N33" s="1408"/>
      <c r="O33" s="1407"/>
      <c r="P33" s="1408"/>
      <c r="Q33" s="1407"/>
      <c r="R33" s="1408"/>
      <c r="S33" s="1407"/>
      <c r="T33" s="1408"/>
      <c r="U33" s="1407"/>
      <c r="V33" s="1408"/>
      <c r="W33" s="1407"/>
      <c r="X33" s="1408"/>
      <c r="Y33" s="1407"/>
      <c r="Z33" s="1408"/>
      <c r="AA33" s="2681"/>
      <c r="AB33" s="3033">
        <f t="shared" si="3"/>
        <v>1.8</v>
      </c>
      <c r="AC33" s="2992"/>
      <c r="AD33" s="3283"/>
      <c r="AE33" s="3033">
        <f>+'Exhibit F'!AF29+'Exhibit G State'!AG21</f>
        <v>-0.2</v>
      </c>
      <c r="AF33" s="3244"/>
      <c r="AG33" s="3244"/>
      <c r="AH33" s="1943">
        <f t="shared" si="4"/>
        <v>2</v>
      </c>
      <c r="AI33" s="2384"/>
      <c r="AJ33" s="1682">
        <f>ROUND(IF(AE33=0,1,AH33/ABS(AE33)),3)</f>
        <v>10</v>
      </c>
    </row>
    <row r="34" spans="1:36" ht="15">
      <c r="A34" s="2171" t="s">
        <v>997</v>
      </c>
      <c r="B34" s="1408"/>
      <c r="C34" s="1407">
        <f>+'Exhibit F'!D30+'Exhibit G State'!D22</f>
        <v>84.699999999999989</v>
      </c>
      <c r="D34" s="1407"/>
      <c r="E34" s="1407">
        <f>+'Exhibit F'!F30+'Exhibit G State'!F22</f>
        <v>75.200000000000017</v>
      </c>
      <c r="F34" s="1407"/>
      <c r="G34" s="1407"/>
      <c r="H34" s="1407"/>
      <c r="I34" s="1407"/>
      <c r="J34" s="1407"/>
      <c r="K34" s="1407"/>
      <c r="L34" s="1408"/>
      <c r="M34" s="1407"/>
      <c r="N34" s="1408"/>
      <c r="O34" s="1407"/>
      <c r="P34" s="1408"/>
      <c r="Q34" s="1407"/>
      <c r="R34" s="1408"/>
      <c r="S34" s="1407"/>
      <c r="T34" s="1408"/>
      <c r="U34" s="1407"/>
      <c r="V34" s="1408"/>
      <c r="W34" s="1407"/>
      <c r="X34" s="1408"/>
      <c r="Y34" s="1407"/>
      <c r="Z34" s="1408"/>
      <c r="AA34" s="2681"/>
      <c r="AB34" s="3033">
        <f t="shared" si="3"/>
        <v>159.9</v>
      </c>
      <c r="AC34" s="2992"/>
      <c r="AD34" s="3283"/>
      <c r="AE34" s="3033">
        <f>+'Exhibit F'!AF30+'Exhibit G State'!AG22</f>
        <v>174.9</v>
      </c>
      <c r="AF34" s="3244"/>
      <c r="AG34" s="3244"/>
      <c r="AH34" s="1943">
        <f t="shared" si="4"/>
        <v>-15</v>
      </c>
      <c r="AI34" s="2384"/>
      <c r="AJ34" s="1770">
        <f>ROUND(SUM(+AH34/ABS(AE34)),3)</f>
        <v>-8.5999999999999993E-2</v>
      </c>
    </row>
    <row r="35" spans="1:36" ht="15">
      <c r="A35" s="2171" t="s">
        <v>1447</v>
      </c>
      <c r="B35" s="1408"/>
      <c r="C35" s="1407">
        <f>'Exhibit G State'!D23</f>
        <v>1</v>
      </c>
      <c r="D35" s="1407"/>
      <c r="E35" s="1407">
        <f>'Exhibit G State'!F23</f>
        <v>1.2000000000000002</v>
      </c>
      <c r="F35" s="1407"/>
      <c r="G35" s="1407"/>
      <c r="H35" s="1407"/>
      <c r="I35" s="1407"/>
      <c r="J35" s="1407"/>
      <c r="K35" s="1407"/>
      <c r="L35" s="1408"/>
      <c r="M35" s="1407"/>
      <c r="N35" s="1408"/>
      <c r="O35" s="1407"/>
      <c r="P35" s="1408"/>
      <c r="Q35" s="1407"/>
      <c r="R35" s="1408"/>
      <c r="S35" s="1407"/>
      <c r="T35" s="1408"/>
      <c r="U35" s="1407"/>
      <c r="V35" s="1408"/>
      <c r="W35" s="1407"/>
      <c r="X35" s="1408"/>
      <c r="Y35" s="1407"/>
      <c r="Z35" s="1408"/>
      <c r="AA35" s="2681"/>
      <c r="AB35" s="3033">
        <f t="shared" si="3"/>
        <v>2.2000000000000002</v>
      </c>
      <c r="AC35" s="2992"/>
      <c r="AD35" s="3283"/>
      <c r="AE35" s="3033">
        <f>'Exhibit G State'!AG23</f>
        <v>2.6</v>
      </c>
      <c r="AF35" s="3244"/>
      <c r="AG35" s="3244"/>
      <c r="AH35" s="1943">
        <f>ROUND(SUM(+AB35-AE35),1)</f>
        <v>-0.4</v>
      </c>
      <c r="AI35" s="2384"/>
      <c r="AJ35" s="1677">
        <f>ROUND(IF(AE35=0,1,AH35/ABS(AE35)),3)</f>
        <v>-0.154</v>
      </c>
    </row>
    <row r="36" spans="1:36" ht="15">
      <c r="A36" s="2171" t="s">
        <v>998</v>
      </c>
      <c r="B36" s="1408"/>
      <c r="C36" s="1407">
        <f>+'Exhibit F'!D31+'Exhibit G State'!D24</f>
        <v>6</v>
      </c>
      <c r="D36" s="1407"/>
      <c r="E36" s="1407">
        <f>+'Exhibit F'!F31+'Exhibit G State'!F24</f>
        <v>8</v>
      </c>
      <c r="F36" s="1407"/>
      <c r="G36" s="1407"/>
      <c r="H36" s="1407"/>
      <c r="I36" s="1407"/>
      <c r="J36" s="1407"/>
      <c r="K36" s="1407"/>
      <c r="L36" s="1408"/>
      <c r="M36" s="1407"/>
      <c r="N36" s="1408"/>
      <c r="O36" s="1407"/>
      <c r="P36" s="1408"/>
      <c r="Q36" s="1407"/>
      <c r="R36" s="1408"/>
      <c r="S36" s="1407"/>
      <c r="T36" s="1408"/>
      <c r="U36" s="1407"/>
      <c r="V36" s="1408"/>
      <c r="W36" s="1407"/>
      <c r="X36" s="1408"/>
      <c r="Y36" s="1407"/>
      <c r="Z36" s="1408"/>
      <c r="AA36" s="2681"/>
      <c r="AB36" s="3033">
        <f t="shared" si="3"/>
        <v>14</v>
      </c>
      <c r="AC36" s="2992"/>
      <c r="AD36" s="3283"/>
      <c r="AE36" s="3033">
        <f>+'Exhibit F'!AF31+'Exhibit G State'!AG24</f>
        <v>15.8</v>
      </c>
      <c r="AF36" s="3244"/>
      <c r="AG36" s="3244"/>
      <c r="AH36" s="1943">
        <f t="shared" si="4"/>
        <v>-1.8</v>
      </c>
      <c r="AI36" s="2384"/>
      <c r="AJ36" s="1770">
        <f>ROUND(SUM(+AH36/ABS(AE36)),3)</f>
        <v>-0.114</v>
      </c>
    </row>
    <row r="37" spans="1:36" ht="15">
      <c r="A37" s="2171" t="s">
        <v>999</v>
      </c>
      <c r="B37" s="1408"/>
      <c r="C37" s="1407">
        <f>+'Exhibit F'!D32+'Exhibit G State'!D25</f>
        <v>24.8</v>
      </c>
      <c r="D37" s="1407"/>
      <c r="E37" s="1407">
        <f>+'Exhibit F'!F32+'Exhibit G State'!F25</f>
        <v>21.499999999999996</v>
      </c>
      <c r="F37" s="1407"/>
      <c r="G37" s="1407"/>
      <c r="H37" s="1407"/>
      <c r="I37" s="1407"/>
      <c r="J37" s="1407"/>
      <c r="K37" s="1407"/>
      <c r="L37" s="1408"/>
      <c r="M37" s="1407"/>
      <c r="N37" s="1408"/>
      <c r="O37" s="1407"/>
      <c r="P37" s="1408"/>
      <c r="Q37" s="1407"/>
      <c r="R37" s="1408"/>
      <c r="S37" s="1407"/>
      <c r="T37" s="1408"/>
      <c r="U37" s="1407"/>
      <c r="V37" s="1408"/>
      <c r="W37" s="1407"/>
      <c r="X37" s="1408"/>
      <c r="Y37" s="1407"/>
      <c r="Z37" s="1408"/>
      <c r="AA37" s="2681"/>
      <c r="AB37" s="3033">
        <f t="shared" si="3"/>
        <v>46.3</v>
      </c>
      <c r="AC37" s="2992"/>
      <c r="AD37" s="3283"/>
      <c r="AE37" s="3033">
        <f>+'Exhibit F'!AF32+'Exhibit G State'!AG25</f>
        <v>44.8</v>
      </c>
      <c r="AF37" s="3244"/>
      <c r="AG37" s="3244"/>
      <c r="AH37" s="1943">
        <f t="shared" si="4"/>
        <v>1.5</v>
      </c>
      <c r="AI37" s="2384"/>
      <c r="AJ37" s="1770">
        <f>ROUND(SUM(+AH37/ABS(AE37)),3)</f>
        <v>3.3000000000000002E-2</v>
      </c>
    </row>
    <row r="38" spans="1:36" ht="15">
      <c r="A38" s="2171" t="s">
        <v>1000</v>
      </c>
      <c r="B38" s="1408"/>
      <c r="C38" s="1407">
        <f>+'Exhibit F'!D33+'Exhibit G State'!D26</f>
        <v>0.1</v>
      </c>
      <c r="D38" s="1407"/>
      <c r="E38" s="1407">
        <f>+'Exhibit F'!F33+'Exhibit G State'!F26</f>
        <v>0</v>
      </c>
      <c r="F38" s="1407"/>
      <c r="G38" s="1407"/>
      <c r="H38" s="1407"/>
      <c r="I38" s="1407"/>
      <c r="J38" s="1407"/>
      <c r="K38" s="1407"/>
      <c r="L38" s="1408"/>
      <c r="M38" s="1407"/>
      <c r="N38" s="1408"/>
      <c r="O38" s="1407"/>
      <c r="P38" s="1408"/>
      <c r="Q38" s="1407"/>
      <c r="R38" s="1408"/>
      <c r="S38" s="1407"/>
      <c r="T38" s="1408"/>
      <c r="U38" s="1407"/>
      <c r="V38" s="1408"/>
      <c r="W38" s="1407"/>
      <c r="X38" s="1408"/>
      <c r="Y38" s="1407"/>
      <c r="Z38" s="1408"/>
      <c r="AA38" s="2681"/>
      <c r="AB38" s="3033">
        <f t="shared" si="3"/>
        <v>0.1</v>
      </c>
      <c r="AC38" s="2992"/>
      <c r="AD38" s="3283"/>
      <c r="AE38" s="3033">
        <f>+'Exhibit F'!AF33+'Exhibit G State'!AG26</f>
        <v>0.1</v>
      </c>
      <c r="AF38" s="3244"/>
      <c r="AG38" s="3244"/>
      <c r="AH38" s="1943">
        <f t="shared" si="4"/>
        <v>0</v>
      </c>
      <c r="AI38" s="2384"/>
      <c r="AJ38" s="1682">
        <f>ROUND(IF(AE38=0,1,AH38/ABS(AE38)),3)</f>
        <v>0</v>
      </c>
    </row>
    <row r="39" spans="1:36" ht="15">
      <c r="A39" s="2171" t="s">
        <v>1311</v>
      </c>
      <c r="B39" s="1408"/>
      <c r="C39" s="1407">
        <f>'Exhibit F'!D34+'Exhibit G'!D27</f>
        <v>-0.1</v>
      </c>
      <c r="D39" s="1407"/>
      <c r="E39" s="1407">
        <f>'Exhibit F'!F34+'Exhibit G'!F27</f>
        <v>0.1</v>
      </c>
      <c r="F39" s="1407"/>
      <c r="G39" s="1407"/>
      <c r="H39" s="1407"/>
      <c r="I39" s="1407"/>
      <c r="J39" s="1407"/>
      <c r="K39" s="1407"/>
      <c r="L39" s="1408"/>
      <c r="M39" s="1407"/>
      <c r="N39" s="1408"/>
      <c r="O39" s="1407"/>
      <c r="P39" s="1408"/>
      <c r="Q39" s="1407"/>
      <c r="R39" s="1408"/>
      <c r="S39" s="1407"/>
      <c r="T39" s="1408"/>
      <c r="U39" s="1407"/>
      <c r="V39" s="1408"/>
      <c r="W39" s="1407"/>
      <c r="X39" s="1408"/>
      <c r="Y39" s="1407"/>
      <c r="Z39" s="1408"/>
      <c r="AA39" s="2681"/>
      <c r="AB39" s="3033">
        <f>ROUND(SUM(C39:Y39),1)</f>
        <v>0</v>
      </c>
      <c r="AC39" s="2992"/>
      <c r="AD39" s="3283"/>
      <c r="AE39" s="3033">
        <f>+'Exhibit F'!AF34+'Exhibit G State'!AG27</f>
        <v>0.2</v>
      </c>
      <c r="AF39" s="3244"/>
      <c r="AG39" s="3244"/>
      <c r="AH39" s="1943">
        <f>ROUND(SUM(+AB39-AE39),1)</f>
        <v>-0.2</v>
      </c>
      <c r="AI39" s="2384"/>
      <c r="AJ39" s="1682">
        <f>ROUND(IF(AE39=0,1,AH39/ABS(AE39)),3)</f>
        <v>-1</v>
      </c>
    </row>
    <row r="40" spans="1:36" ht="15">
      <c r="A40" s="2171" t="s">
        <v>1312</v>
      </c>
      <c r="B40" s="1408"/>
      <c r="C40" s="1407">
        <f>'Exhibit F'!D35</f>
        <v>6.4</v>
      </c>
      <c r="D40" s="1407"/>
      <c r="E40" s="1407">
        <f>'Exhibit F'!F35</f>
        <v>1</v>
      </c>
      <c r="F40" s="1407"/>
      <c r="G40" s="1407"/>
      <c r="H40" s="1407"/>
      <c r="I40" s="1407"/>
      <c r="J40" s="1407"/>
      <c r="K40" s="1407"/>
      <c r="L40" s="1408"/>
      <c r="M40" s="1407"/>
      <c r="N40" s="1408"/>
      <c r="O40" s="1407"/>
      <c r="P40" s="1408"/>
      <c r="Q40" s="1407"/>
      <c r="R40" s="1408"/>
      <c r="S40" s="1407"/>
      <c r="T40" s="1408"/>
      <c r="U40" s="1407"/>
      <c r="V40" s="1408"/>
      <c r="W40" s="1407"/>
      <c r="X40" s="1408"/>
      <c r="Y40" s="1407"/>
      <c r="Z40" s="1408"/>
      <c r="AA40" s="2681"/>
      <c r="AB40" s="3033">
        <f t="shared" ref="AB40" si="5">ROUND(SUM(C40:Y40),1)</f>
        <v>7.4</v>
      </c>
      <c r="AC40" s="2992"/>
      <c r="AD40" s="3283"/>
      <c r="AE40" s="3033">
        <f>+'Exhibit F'!AF35</f>
        <v>6.8</v>
      </c>
      <c r="AF40" s="3244"/>
      <c r="AG40" s="3244"/>
      <c r="AH40" s="1943">
        <f t="shared" ref="AH40" si="6">ROUND(SUM(+AB40-AE40),1)</f>
        <v>0.6</v>
      </c>
      <c r="AI40" s="2384"/>
      <c r="AJ40" s="1682">
        <f>ROUND(IF(AE40=0,1,AH40/ABS(AE40)),3)</f>
        <v>8.7999999999999995E-2</v>
      </c>
    </row>
    <row r="41" spans="1:36" ht="15.75">
      <c r="A41" s="2389" t="s">
        <v>994</v>
      </c>
      <c r="B41" s="1408"/>
      <c r="C41" s="1985">
        <f>ROUND(SUM(C32:C40),1)</f>
        <v>1503.4</v>
      </c>
      <c r="D41" s="1408"/>
      <c r="E41" s="1985">
        <f>ROUND(SUM(E32:E40),1)</f>
        <v>1504.2</v>
      </c>
      <c r="F41" s="1408"/>
      <c r="G41" s="1985">
        <f>ROUND(SUM(G32:G40),1)</f>
        <v>0</v>
      </c>
      <c r="H41" s="1408"/>
      <c r="I41" s="1985">
        <f>ROUND(SUM(I32:I40),1)</f>
        <v>0</v>
      </c>
      <c r="J41" s="1408"/>
      <c r="K41" s="1985">
        <f>ROUND(SUM(K32:K40),1)</f>
        <v>0</v>
      </c>
      <c r="L41" s="1408"/>
      <c r="M41" s="1985">
        <f>ROUND(SUM(M32:M40),1)</f>
        <v>0</v>
      </c>
      <c r="N41" s="1408"/>
      <c r="O41" s="1428">
        <f>ROUND(SUM(O32:O40),1)</f>
        <v>0</v>
      </c>
      <c r="P41" s="1408"/>
      <c r="Q41" s="1985">
        <f>ROUND(SUM(Q32:Q40),1)</f>
        <v>0</v>
      </c>
      <c r="R41" s="1408"/>
      <c r="S41" s="1985">
        <f>ROUND(SUM(S32:S40),1)</f>
        <v>0</v>
      </c>
      <c r="T41" s="1408"/>
      <c r="U41" s="1985">
        <f>ROUND(SUM(U32:U40),1)</f>
        <v>0</v>
      </c>
      <c r="V41" s="1408"/>
      <c r="W41" s="1985">
        <f>ROUND(SUM(W32:W40),1)</f>
        <v>0</v>
      </c>
      <c r="X41" s="1408"/>
      <c r="Y41" s="1985">
        <f>ROUND(SUM(Y32:Y40),1)</f>
        <v>0</v>
      </c>
      <c r="Z41" s="1408"/>
      <c r="AA41" s="2681"/>
      <c r="AB41" s="1428">
        <f>ROUND(SUM(AB32:AB40),1)</f>
        <v>3007.6</v>
      </c>
      <c r="AC41" s="2992"/>
      <c r="AD41" s="3283"/>
      <c r="AE41" s="1428">
        <f>ROUND(SUM(AE32:AE40),1)</f>
        <v>2803.8</v>
      </c>
      <c r="AF41" s="3244"/>
      <c r="AG41" s="3244"/>
      <c r="AH41" s="1428">
        <f>ROUND(SUM(AH32:AH40),1)</f>
        <v>203.8</v>
      </c>
      <c r="AI41" s="3247"/>
      <c r="AJ41" s="2464">
        <f>ROUND(SUM(+AH41/ABS(AE41)),3)</f>
        <v>7.2999999999999995E-2</v>
      </c>
    </row>
    <row r="42" spans="1:36" ht="15">
      <c r="A42" s="2379" t="s">
        <v>1040</v>
      </c>
      <c r="B42" s="1408"/>
      <c r="C42" s="1408"/>
      <c r="D42" s="1408"/>
      <c r="E42" s="1408"/>
      <c r="F42" s="1408"/>
      <c r="G42" s="1408"/>
      <c r="H42" s="1408"/>
      <c r="I42" s="1408"/>
      <c r="J42" s="1408"/>
      <c r="K42" s="1408"/>
      <c r="L42" s="1408"/>
      <c r="M42" s="1408"/>
      <c r="N42" s="1408"/>
      <c r="O42" s="2992"/>
      <c r="P42" s="1408"/>
      <c r="Q42" s="1408"/>
      <c r="R42" s="1408"/>
      <c r="S42" s="1408"/>
      <c r="T42" s="1408"/>
      <c r="U42" s="1408"/>
      <c r="V42" s="1408"/>
      <c r="W42" s="1408"/>
      <c r="X42" s="1408"/>
      <c r="Y42" s="1408"/>
      <c r="Z42" s="1408"/>
      <c r="AA42" s="2681"/>
      <c r="AB42" s="2992"/>
      <c r="AC42" s="2992"/>
      <c r="AD42" s="3283"/>
      <c r="AE42" s="3033"/>
      <c r="AF42" s="3244"/>
      <c r="AG42" s="3244"/>
      <c r="AH42" s="3246"/>
      <c r="AI42" s="2992"/>
      <c r="AJ42" s="3246"/>
    </row>
    <row r="43" spans="1:36" ht="15">
      <c r="A43" s="2171" t="s">
        <v>1002</v>
      </c>
      <c r="B43" s="1408"/>
      <c r="C43" s="1407">
        <f>+'Exhibit F'!D38+'Exhibit G State'!D30</f>
        <v>1205</v>
      </c>
      <c r="D43" s="1407"/>
      <c r="E43" s="1407">
        <f>+'Exhibit F'!F38+'Exhibit G State'!F30</f>
        <v>141.99999999999986</v>
      </c>
      <c r="F43" s="1407"/>
      <c r="G43" s="1407"/>
      <c r="H43" s="1407"/>
      <c r="I43" s="1407"/>
      <c r="J43" s="1407"/>
      <c r="K43" s="1407"/>
      <c r="L43" s="1407"/>
      <c r="M43" s="1407"/>
      <c r="N43" s="1408"/>
      <c r="O43" s="1407"/>
      <c r="P43" s="1408"/>
      <c r="Q43" s="1407"/>
      <c r="R43" s="1408"/>
      <c r="S43" s="1407"/>
      <c r="T43" s="1408"/>
      <c r="U43" s="1407"/>
      <c r="V43" s="1408"/>
      <c r="W43" s="1407"/>
      <c r="X43" s="1408"/>
      <c r="Y43" s="1407"/>
      <c r="Z43" s="1408"/>
      <c r="AA43" s="2681"/>
      <c r="AB43" s="3033">
        <f t="shared" ref="AB43:AB48" si="7">ROUND(SUM(C43:Y43),1)</f>
        <v>1347</v>
      </c>
      <c r="AC43" s="2992"/>
      <c r="AD43" s="3283"/>
      <c r="AE43" s="3033">
        <f>+'Exhibit F'!AF38+'Exhibit G State'!AG30</f>
        <v>874.4</v>
      </c>
      <c r="AF43" s="3244"/>
      <c r="AG43" s="3244"/>
      <c r="AH43" s="1943">
        <f t="shared" ref="AH43:AH55" si="8">ROUND(SUM(+AB43-AE43),1)</f>
        <v>472.6</v>
      </c>
      <c r="AI43" s="2384"/>
      <c r="AJ43" s="1770">
        <f t="shared" ref="AJ43:AJ49" si="9">ROUND(SUM(+AH43/ABS(AE43)),3)</f>
        <v>0.54</v>
      </c>
    </row>
    <row r="44" spans="1:36" ht="15">
      <c r="A44" s="2171" t="s">
        <v>1003</v>
      </c>
      <c r="B44" s="1408"/>
      <c r="C44" s="1407">
        <f>+'Exhibit G State'!D31+'Exhibit F'!D39</f>
        <v>8.1999999999999993</v>
      </c>
      <c r="D44" s="1407"/>
      <c r="E44" s="1407">
        <f>+'Exhibit G State'!F31+'Exhibit F'!F39</f>
        <v>1.1999999999999997</v>
      </c>
      <c r="F44" s="1407"/>
      <c r="G44" s="1407"/>
      <c r="H44" s="1407"/>
      <c r="I44" s="1407"/>
      <c r="J44" s="1407"/>
      <c r="K44" s="1407"/>
      <c r="L44" s="1407"/>
      <c r="M44" s="1407"/>
      <c r="N44" s="1408"/>
      <c r="O44" s="1407"/>
      <c r="P44" s="1408"/>
      <c r="Q44" s="1407"/>
      <c r="R44" s="1408"/>
      <c r="S44" s="1407"/>
      <c r="T44" s="1408"/>
      <c r="U44" s="1407"/>
      <c r="V44" s="1408"/>
      <c r="W44" s="1407"/>
      <c r="X44" s="1408"/>
      <c r="Y44" s="1407"/>
      <c r="Z44" s="1408"/>
      <c r="AA44" s="2681"/>
      <c r="AB44" s="3033">
        <f t="shared" si="7"/>
        <v>9.4</v>
      </c>
      <c r="AC44" s="2992"/>
      <c r="AD44" s="3283"/>
      <c r="AE44" s="3033">
        <f>+'Exhibit G State'!AG31+'Exhibit F'!AF39</f>
        <v>49</v>
      </c>
      <c r="AF44" s="3244"/>
      <c r="AG44" s="3244"/>
      <c r="AH44" s="1943">
        <f t="shared" si="8"/>
        <v>-39.6</v>
      </c>
      <c r="AI44" s="2384"/>
      <c r="AJ44" s="1770">
        <f t="shared" si="9"/>
        <v>-0.80800000000000005</v>
      </c>
    </row>
    <row r="45" spans="1:36" ht="15">
      <c r="A45" s="2171" t="s">
        <v>1004</v>
      </c>
      <c r="B45" s="1408"/>
      <c r="C45" s="1407">
        <f>+'Exhibit F'!D40+'Exhibit G State'!D32</f>
        <v>109.7</v>
      </c>
      <c r="D45" s="1407"/>
      <c r="E45" s="1407">
        <f>+'Exhibit F'!F40+'Exhibit G State'!F32</f>
        <v>40.100000000000009</v>
      </c>
      <c r="F45" s="1407"/>
      <c r="G45" s="1407"/>
      <c r="H45" s="1407"/>
      <c r="I45" s="1407"/>
      <c r="J45" s="1407"/>
      <c r="K45" s="1407"/>
      <c r="L45" s="1407"/>
      <c r="M45" s="1407"/>
      <c r="N45" s="1408"/>
      <c r="O45" s="1407"/>
      <c r="P45" s="1408"/>
      <c r="Q45" s="1407"/>
      <c r="R45" s="1408"/>
      <c r="S45" s="1407"/>
      <c r="T45" s="1408"/>
      <c r="U45" s="1407"/>
      <c r="V45" s="1408"/>
      <c r="W45" s="1407"/>
      <c r="X45" s="1408"/>
      <c r="Y45" s="1407"/>
      <c r="Z45" s="1408"/>
      <c r="AA45" s="2681"/>
      <c r="AB45" s="3033">
        <f t="shared" si="7"/>
        <v>149.80000000000001</v>
      </c>
      <c r="AC45" s="2992"/>
      <c r="AD45" s="3283"/>
      <c r="AE45" s="3033">
        <f>+'Exhibit F'!AF40+'Exhibit G State'!AG32</f>
        <v>121.5</v>
      </c>
      <c r="AF45" s="3244"/>
      <c r="AG45" s="3244"/>
      <c r="AH45" s="1943">
        <f t="shared" si="8"/>
        <v>28.3</v>
      </c>
      <c r="AI45" s="2384"/>
      <c r="AJ45" s="1770">
        <f t="shared" si="9"/>
        <v>0.23300000000000001</v>
      </c>
    </row>
    <row r="46" spans="1:36" ht="15">
      <c r="A46" s="2171" t="s">
        <v>1005</v>
      </c>
      <c r="B46" s="1408"/>
      <c r="C46" s="1407">
        <f>+'Exhibit F'!D41+'Exhibit G State'!D33</f>
        <v>0</v>
      </c>
      <c r="D46" s="1407"/>
      <c r="E46" s="1407">
        <f>+'Exhibit F'!F41+'Exhibit G State'!F33</f>
        <v>0</v>
      </c>
      <c r="F46" s="1407"/>
      <c r="G46" s="1407"/>
      <c r="H46" s="1407"/>
      <c r="I46" s="1407"/>
      <c r="J46" s="1407"/>
      <c r="K46" s="1407"/>
      <c r="L46" s="1407"/>
      <c r="M46" s="1407"/>
      <c r="N46" s="1408"/>
      <c r="O46" s="1407"/>
      <c r="P46" s="1408"/>
      <c r="Q46" s="1407"/>
      <c r="R46" s="1408"/>
      <c r="S46" s="1407"/>
      <c r="T46" s="1408"/>
      <c r="U46" s="1407"/>
      <c r="V46" s="1408"/>
      <c r="W46" s="1407"/>
      <c r="X46" s="1408"/>
      <c r="Y46" s="1407"/>
      <c r="Z46" s="1408"/>
      <c r="AA46" s="2681"/>
      <c r="AB46" s="3033">
        <f t="shared" si="7"/>
        <v>0</v>
      </c>
      <c r="AC46" s="2992"/>
      <c r="AD46" s="3283"/>
      <c r="AE46" s="3033">
        <f>+'Exhibit F'!AF41+'Exhibit G State'!AG33</f>
        <v>-2.8</v>
      </c>
      <c r="AF46" s="3244"/>
      <c r="AG46" s="3244"/>
      <c r="AH46" s="1943">
        <f t="shared" si="8"/>
        <v>2.8</v>
      </c>
      <c r="AI46" s="2384"/>
      <c r="AJ46" s="1781">
        <f t="shared" si="9"/>
        <v>1</v>
      </c>
    </row>
    <row r="47" spans="1:36" ht="15">
      <c r="A47" s="2171" t="s">
        <v>1452</v>
      </c>
      <c r="B47" s="1408"/>
      <c r="C47" s="1407">
        <f>+'Exhibit F'!D42+'Exhibit H'!B22</f>
        <v>181.2</v>
      </c>
      <c r="D47" s="1407"/>
      <c r="E47" s="1407">
        <f>+'Exhibit F'!F42+'Exhibit H'!D22</f>
        <v>-48.399999999999977</v>
      </c>
      <c r="F47" s="1407"/>
      <c r="G47" s="1407"/>
      <c r="H47" s="1407"/>
      <c r="I47" s="1407"/>
      <c r="J47" s="1407"/>
      <c r="K47" s="1407"/>
      <c r="L47" s="1407"/>
      <c r="M47" s="1407"/>
      <c r="N47" s="1408"/>
      <c r="O47" s="1407"/>
      <c r="P47" s="1408"/>
      <c r="Q47" s="1407"/>
      <c r="R47" s="1408"/>
      <c r="S47" s="1407"/>
      <c r="T47" s="1408"/>
      <c r="U47" s="1407"/>
      <c r="V47" s="1408"/>
      <c r="W47" s="1407"/>
      <c r="X47" s="1408"/>
      <c r="Y47" s="1407"/>
      <c r="Z47" s="1408"/>
      <c r="AA47" s="2681"/>
      <c r="AB47" s="3033">
        <f t="shared" si="7"/>
        <v>132.80000000000001</v>
      </c>
      <c r="AC47" s="2992"/>
      <c r="AD47" s="3283"/>
      <c r="AE47" s="3033">
        <f>+'Exhibit F'!AF42</f>
        <v>0</v>
      </c>
      <c r="AF47" s="3244"/>
      <c r="AG47" s="3244"/>
      <c r="AH47" s="1943">
        <f t="shared" ref="AH47" si="10">ROUND(SUM(+AB47-AE47),1)</f>
        <v>132.80000000000001</v>
      </c>
      <c r="AI47" s="2384"/>
      <c r="AJ47" s="1677">
        <f>ROUND(IF(AE47=0,1,AH47/ABS(AE47)),3)</f>
        <v>1</v>
      </c>
    </row>
    <row r="48" spans="1:36" ht="15">
      <c r="A48" s="2171" t="s">
        <v>1006</v>
      </c>
      <c r="B48" s="1408"/>
      <c r="C48" s="1407">
        <f>+'Exhibit F'!D43+'Exhibit G State'!D34</f>
        <v>37.200000000000003</v>
      </c>
      <c r="D48" s="1407"/>
      <c r="E48" s="1407">
        <f>+'Exhibit F'!F43+'Exhibit G State'!F34</f>
        <v>39.399999999999991</v>
      </c>
      <c r="F48" s="1407"/>
      <c r="G48" s="1407"/>
      <c r="H48" s="1407"/>
      <c r="I48" s="1407"/>
      <c r="J48" s="1407"/>
      <c r="K48" s="1407"/>
      <c r="L48" s="1407"/>
      <c r="M48" s="1407"/>
      <c r="N48" s="1408"/>
      <c r="O48" s="1407"/>
      <c r="P48" s="1408"/>
      <c r="Q48" s="1407"/>
      <c r="R48" s="1408"/>
      <c r="S48" s="1407"/>
      <c r="T48" s="1408"/>
      <c r="U48" s="1407"/>
      <c r="V48" s="1408"/>
      <c r="W48" s="1407"/>
      <c r="X48" s="1408"/>
      <c r="Y48" s="1407"/>
      <c r="Z48" s="1408"/>
      <c r="AA48" s="2681"/>
      <c r="AB48" s="3033">
        <f t="shared" si="7"/>
        <v>76.599999999999994</v>
      </c>
      <c r="AC48" s="2992"/>
      <c r="AD48" s="3283"/>
      <c r="AE48" s="3033">
        <f>+'Exhibit F'!AF43+'Exhibit G State'!AG34</f>
        <v>70.5</v>
      </c>
      <c r="AF48" s="3244"/>
      <c r="AG48" s="3244"/>
      <c r="AH48" s="1943">
        <f t="shared" si="8"/>
        <v>6.1</v>
      </c>
      <c r="AI48" s="2384"/>
      <c r="AJ48" s="1770">
        <f t="shared" si="9"/>
        <v>8.6999999999999994E-2</v>
      </c>
    </row>
    <row r="49" spans="1:36" ht="15.75">
      <c r="A49" s="2389" t="s">
        <v>1001</v>
      </c>
      <c r="B49" s="1408"/>
      <c r="C49" s="1985">
        <f>ROUND(SUM(C43:C48),1)</f>
        <v>1541.3</v>
      </c>
      <c r="D49" s="1408"/>
      <c r="E49" s="1985">
        <f>ROUND(SUM(E43:E48),1)</f>
        <v>174.3</v>
      </c>
      <c r="F49" s="1408"/>
      <c r="G49" s="1985">
        <f>ROUND(SUM(G43:G48),1)</f>
        <v>0</v>
      </c>
      <c r="H49" s="1408"/>
      <c r="I49" s="1985">
        <f>ROUND(SUM(I43:I48),1)</f>
        <v>0</v>
      </c>
      <c r="J49" s="1408"/>
      <c r="K49" s="1985">
        <f>ROUND(SUM(K43:K48),1)</f>
        <v>0</v>
      </c>
      <c r="L49" s="1408"/>
      <c r="M49" s="1985">
        <f>ROUND(SUM(M43:M48),1)</f>
        <v>0</v>
      </c>
      <c r="N49" s="1408"/>
      <c r="O49" s="1428">
        <f>ROUND(SUM(O43:O48),1)</f>
        <v>0</v>
      </c>
      <c r="P49" s="1408"/>
      <c r="Q49" s="1985">
        <f>ROUND(SUM(Q43:Q48),1)</f>
        <v>0</v>
      </c>
      <c r="R49" s="1408"/>
      <c r="S49" s="1985">
        <f>ROUND(SUM(S43:S48),1)</f>
        <v>0</v>
      </c>
      <c r="T49" s="1408"/>
      <c r="U49" s="1985">
        <f>ROUND(SUM(U43:U48),1)</f>
        <v>0</v>
      </c>
      <c r="V49" s="1408"/>
      <c r="W49" s="1985">
        <f>ROUND(SUM(W43:W48),1)</f>
        <v>0</v>
      </c>
      <c r="X49" s="1408"/>
      <c r="Y49" s="1985">
        <f>ROUND(SUM(Y43:Y48),1)</f>
        <v>0</v>
      </c>
      <c r="Z49" s="1408"/>
      <c r="AA49" s="2681"/>
      <c r="AB49" s="1428">
        <f>ROUND(SUM(AB43:AB48),1)</f>
        <v>1715.6</v>
      </c>
      <c r="AC49" s="2992"/>
      <c r="AD49" s="3283"/>
      <c r="AE49" s="1428">
        <f>ROUND(SUM(AE43:AE48),1)</f>
        <v>1112.5999999999999</v>
      </c>
      <c r="AF49" s="3244"/>
      <c r="AG49" s="3244"/>
      <c r="AH49" s="1428">
        <f>ROUND(SUM(AH43:AH48),1)</f>
        <v>603</v>
      </c>
      <c r="AI49" s="3247"/>
      <c r="AJ49" s="2464">
        <f t="shared" si="9"/>
        <v>0.54200000000000004</v>
      </c>
    </row>
    <row r="50" spans="1:36" ht="15">
      <c r="A50" s="2379" t="s">
        <v>1041</v>
      </c>
      <c r="B50" s="1408"/>
      <c r="C50" s="1408"/>
      <c r="D50" s="1408"/>
      <c r="E50" s="1408"/>
      <c r="F50" s="1408"/>
      <c r="G50" s="1408"/>
      <c r="H50" s="1408"/>
      <c r="I50" s="1408"/>
      <c r="J50" s="1408"/>
      <c r="K50" s="1408"/>
      <c r="L50" s="1408"/>
      <c r="M50" s="1408"/>
      <c r="N50" s="1408"/>
      <c r="O50" s="2992"/>
      <c r="P50" s="1408"/>
      <c r="Q50" s="1408"/>
      <c r="R50" s="1408"/>
      <c r="S50" s="1408"/>
      <c r="T50" s="1408"/>
      <c r="U50" s="1408"/>
      <c r="V50" s="1408"/>
      <c r="W50" s="1408"/>
      <c r="X50" s="1408"/>
      <c r="Y50" s="1408"/>
      <c r="Z50" s="1408"/>
      <c r="AA50" s="2681"/>
      <c r="AB50" s="2992"/>
      <c r="AC50" s="2992"/>
      <c r="AD50" s="3283"/>
      <c r="AE50" s="3033"/>
      <c r="AF50" s="3244"/>
      <c r="AG50" s="3244"/>
      <c r="AH50" s="3246"/>
      <c r="AI50" s="2992"/>
      <c r="AJ50" s="3246"/>
    </row>
    <row r="51" spans="1:36" ht="15">
      <c r="A51" s="2171" t="s">
        <v>1009</v>
      </c>
      <c r="B51" s="1408"/>
      <c r="C51" s="1407">
        <f>+'Exhibit F'!D46</f>
        <v>0</v>
      </c>
      <c r="D51" s="1407"/>
      <c r="E51" s="1407">
        <f>+'Exhibit F'!F46</f>
        <v>0</v>
      </c>
      <c r="F51" s="1407"/>
      <c r="G51" s="1407"/>
      <c r="H51" s="1407"/>
      <c r="I51" s="1407"/>
      <c r="J51" s="1407"/>
      <c r="K51" s="1407"/>
      <c r="L51" s="1408"/>
      <c r="M51" s="1407"/>
      <c r="N51" s="1408"/>
      <c r="O51" s="1407"/>
      <c r="P51" s="1408"/>
      <c r="Q51" s="1407"/>
      <c r="R51" s="1408"/>
      <c r="S51" s="1407"/>
      <c r="T51" s="1408"/>
      <c r="U51" s="1407"/>
      <c r="V51" s="1408"/>
      <c r="W51" s="1407"/>
      <c r="X51" s="1408"/>
      <c r="Y51" s="1407"/>
      <c r="Z51" s="1408"/>
      <c r="AA51" s="2681"/>
      <c r="AB51" s="3033">
        <f t="shared" ref="AB51:AB55" si="11">ROUND(SUM(C51:Y51),1)</f>
        <v>0</v>
      </c>
      <c r="AC51" s="2992"/>
      <c r="AD51" s="3283"/>
      <c r="AE51" s="3033">
        <f>+'Exhibit F'!AF46</f>
        <v>0</v>
      </c>
      <c r="AF51" s="3244"/>
      <c r="AG51" s="3244"/>
      <c r="AH51" s="1943">
        <f t="shared" si="8"/>
        <v>0</v>
      </c>
      <c r="AI51" s="2992"/>
      <c r="AJ51" s="1677">
        <f>ROUND(IF(AE51=0,0,AH51/ABS(AE51)),3)</f>
        <v>0</v>
      </c>
    </row>
    <row r="52" spans="1:36" ht="15">
      <c r="A52" s="2171" t="s">
        <v>1010</v>
      </c>
      <c r="B52" s="1408"/>
      <c r="C52" s="1407">
        <f>+'Exhibit F'!D47</f>
        <v>127.3</v>
      </c>
      <c r="D52" s="1407"/>
      <c r="E52" s="1407">
        <f>+'Exhibit F'!F47</f>
        <v>126.00000000000001</v>
      </c>
      <c r="F52" s="1407"/>
      <c r="G52" s="1407"/>
      <c r="H52" s="1407"/>
      <c r="I52" s="1407"/>
      <c r="J52" s="1407"/>
      <c r="K52" s="1407"/>
      <c r="L52" s="1408"/>
      <c r="M52" s="1407"/>
      <c r="N52" s="1408"/>
      <c r="O52" s="1407"/>
      <c r="P52" s="1408"/>
      <c r="Q52" s="1407"/>
      <c r="R52" s="1408"/>
      <c r="S52" s="1407"/>
      <c r="T52" s="1408"/>
      <c r="U52" s="1407"/>
      <c r="V52" s="1408"/>
      <c r="W52" s="1407"/>
      <c r="X52" s="1408"/>
      <c r="Y52" s="1407"/>
      <c r="Z52" s="1408"/>
      <c r="AA52" s="2681"/>
      <c r="AB52" s="3033">
        <f t="shared" si="11"/>
        <v>253.3</v>
      </c>
      <c r="AC52" s="2992"/>
      <c r="AD52" s="3283"/>
      <c r="AE52" s="3033">
        <f>+'Exhibit F'!AF47</f>
        <v>236.8</v>
      </c>
      <c r="AF52" s="3244"/>
      <c r="AG52" s="3244"/>
      <c r="AH52" s="1943">
        <f t="shared" si="8"/>
        <v>16.5</v>
      </c>
      <c r="AI52" s="2992"/>
      <c r="AJ52" s="1770">
        <f t="shared" ref="AJ52:AJ57" si="12">ROUND(SUM(+AH52/ABS(AE52)),3)</f>
        <v>7.0000000000000007E-2</v>
      </c>
    </row>
    <row r="53" spans="1:36" ht="15">
      <c r="A53" s="2171" t="s">
        <v>1011</v>
      </c>
      <c r="B53" s="1408"/>
      <c r="C53" s="1407">
        <f>+'Exhibit F'!D48</f>
        <v>1.5</v>
      </c>
      <c r="D53" s="1407"/>
      <c r="E53" s="1407">
        <f>+'Exhibit F'!F48</f>
        <v>1.1000000000000001</v>
      </c>
      <c r="F53" s="1407"/>
      <c r="G53" s="1407"/>
      <c r="H53" s="1407"/>
      <c r="I53" s="1407"/>
      <c r="J53" s="1407"/>
      <c r="K53" s="1407"/>
      <c r="L53" s="1408"/>
      <c r="M53" s="1407"/>
      <c r="N53" s="1408"/>
      <c r="O53" s="1407"/>
      <c r="P53" s="1408"/>
      <c r="Q53" s="1407"/>
      <c r="R53" s="1408"/>
      <c r="S53" s="1407"/>
      <c r="T53" s="1408"/>
      <c r="U53" s="1407"/>
      <c r="V53" s="1408"/>
      <c r="W53" s="1407"/>
      <c r="X53" s="1408"/>
      <c r="Y53" s="1407"/>
      <c r="Z53" s="1408"/>
      <c r="AA53" s="2681"/>
      <c r="AB53" s="3033">
        <f t="shared" si="11"/>
        <v>2.6</v>
      </c>
      <c r="AC53" s="2992"/>
      <c r="AD53" s="3283"/>
      <c r="AE53" s="3033">
        <f>+'Exhibit F'!AF48</f>
        <v>2.4</v>
      </c>
      <c r="AF53" s="3244"/>
      <c r="AG53" s="3244"/>
      <c r="AH53" s="1943">
        <f t="shared" si="8"/>
        <v>0.2</v>
      </c>
      <c r="AI53" s="2992"/>
      <c r="AJ53" s="1770">
        <f t="shared" si="12"/>
        <v>8.3000000000000004E-2</v>
      </c>
    </row>
    <row r="54" spans="1:36" ht="15">
      <c r="A54" s="2171" t="s">
        <v>1012</v>
      </c>
      <c r="B54" s="1408"/>
      <c r="C54" s="1407">
        <f>+'Exhibit F'!D49+'Exhibit H'!B25</f>
        <v>152.4</v>
      </c>
      <c r="D54" s="1407"/>
      <c r="E54" s="1407">
        <f>+'Exhibit F'!F49+'Exhibit H'!D25</f>
        <v>129.99999999999997</v>
      </c>
      <c r="F54" s="1407"/>
      <c r="G54" s="1407"/>
      <c r="H54" s="1407"/>
      <c r="I54" s="1407"/>
      <c r="J54" s="1407"/>
      <c r="K54" s="1407"/>
      <c r="L54" s="1408"/>
      <c r="M54" s="1407"/>
      <c r="N54" s="1408"/>
      <c r="O54" s="1407"/>
      <c r="P54" s="1408"/>
      <c r="Q54" s="1407"/>
      <c r="R54" s="1408"/>
      <c r="S54" s="1407"/>
      <c r="T54" s="1408"/>
      <c r="U54" s="1407"/>
      <c r="V54" s="1408"/>
      <c r="W54" s="1407"/>
      <c r="X54" s="1408"/>
      <c r="Y54" s="1407"/>
      <c r="Z54" s="1408"/>
      <c r="AA54" s="2681"/>
      <c r="AB54" s="3033">
        <f t="shared" si="11"/>
        <v>282.39999999999998</v>
      </c>
      <c r="AC54" s="2992"/>
      <c r="AD54" s="3283"/>
      <c r="AE54" s="3033">
        <f>+'Exhibit F'!AF49+'Exhibit I State'!AG28+'Exhibit H'!AD25</f>
        <v>207.4</v>
      </c>
      <c r="AF54" s="3244"/>
      <c r="AG54" s="3244"/>
      <c r="AH54" s="1943">
        <f t="shared" si="8"/>
        <v>75</v>
      </c>
      <c r="AI54" s="2992"/>
      <c r="AJ54" s="1770">
        <f t="shared" si="12"/>
        <v>0.36199999999999999</v>
      </c>
    </row>
    <row r="55" spans="1:36" ht="15">
      <c r="A55" s="2171" t="s">
        <v>1455</v>
      </c>
      <c r="B55" s="1408"/>
      <c r="C55" s="1407">
        <f>+'Exhibit F'!D50</f>
        <v>0</v>
      </c>
      <c r="D55" s="1407"/>
      <c r="E55" s="1407">
        <f>+'Exhibit F'!F50</f>
        <v>0.2</v>
      </c>
      <c r="F55" s="1407"/>
      <c r="G55" s="1407"/>
      <c r="H55" s="1407"/>
      <c r="I55" s="1407"/>
      <c r="J55" s="1407"/>
      <c r="K55" s="1407"/>
      <c r="L55" s="1408"/>
      <c r="M55" s="1407"/>
      <c r="N55" s="1408"/>
      <c r="O55" s="1407"/>
      <c r="P55" s="1408"/>
      <c r="Q55" s="1407"/>
      <c r="R55" s="1408"/>
      <c r="S55" s="1407"/>
      <c r="T55" s="1408"/>
      <c r="U55" s="1407"/>
      <c r="V55" s="1408"/>
      <c r="W55" s="1407"/>
      <c r="X55" s="1408"/>
      <c r="Y55" s="1407"/>
      <c r="Z55" s="1408"/>
      <c r="AA55" s="2681"/>
      <c r="AB55" s="3033">
        <f t="shared" si="11"/>
        <v>0.2</v>
      </c>
      <c r="AC55" s="2992"/>
      <c r="AD55" s="3283"/>
      <c r="AE55" s="3033">
        <f>+'Exhibit F'!AF50</f>
        <v>0</v>
      </c>
      <c r="AF55" s="3244"/>
      <c r="AG55" s="3244"/>
      <c r="AH55" s="1943">
        <f t="shared" si="8"/>
        <v>0.2</v>
      </c>
      <c r="AI55" s="2992"/>
      <c r="AJ55" s="1781">
        <f>ROUND(IF(AE55=0,1,AH55/ABS(AE55)),3)</f>
        <v>1</v>
      </c>
    </row>
    <row r="56" spans="1:36" ht="15">
      <c r="A56" s="2683" t="s">
        <v>1257</v>
      </c>
      <c r="B56" s="1408"/>
      <c r="C56" s="1407">
        <f>+'Exhibit F'!D51+'Exhibit H'!B26</f>
        <v>0.4</v>
      </c>
      <c r="D56" s="1407"/>
      <c r="E56" s="1407">
        <f>+'Exhibit F'!F51+'Exhibit H'!D26</f>
        <v>0.19999999999999996</v>
      </c>
      <c r="F56" s="1407"/>
      <c r="G56" s="1407"/>
      <c r="H56" s="1407"/>
      <c r="I56" s="1407"/>
      <c r="J56" s="1407"/>
      <c r="K56" s="1407"/>
      <c r="L56" s="1407"/>
      <c r="M56" s="1407"/>
      <c r="N56" s="1407"/>
      <c r="O56" s="1407"/>
      <c r="P56" s="1408"/>
      <c r="Q56" s="1407"/>
      <c r="R56" s="1408"/>
      <c r="S56" s="1407"/>
      <c r="T56" s="1408"/>
      <c r="U56" s="1407"/>
      <c r="V56" s="1408"/>
      <c r="W56" s="1407"/>
      <c r="X56" s="1408"/>
      <c r="Y56" s="1407"/>
      <c r="Z56" s="1408"/>
      <c r="AA56" s="2681"/>
      <c r="AB56" s="3033">
        <f t="shared" ref="AB56" si="13">ROUND(SUM(C56:Y56),1)</f>
        <v>0.6</v>
      </c>
      <c r="AC56" s="2992"/>
      <c r="AD56" s="3283"/>
      <c r="AE56" s="3035">
        <f>+'Exhibit F'!AF51+'Exhibit H'!AD26</f>
        <v>0.4</v>
      </c>
      <c r="AF56" s="3244"/>
      <c r="AG56" s="3244"/>
      <c r="AH56" s="1943">
        <f t="shared" ref="AH56" si="14">ROUND(SUM(+AB56-AE56),1)</f>
        <v>0.2</v>
      </c>
      <c r="AI56" s="2384"/>
      <c r="AJ56" s="1677">
        <f>ROUND(IF(AE56=0,1,AH56/ABS(AE56)),3)</f>
        <v>0.5</v>
      </c>
    </row>
    <row r="57" spans="1:36" ht="15.75">
      <c r="A57" s="2389" t="s">
        <v>1007</v>
      </c>
      <c r="B57" s="1408"/>
      <c r="C57" s="1428">
        <f>ROUND(SUM(C51:C56),1)</f>
        <v>281.60000000000002</v>
      </c>
      <c r="D57" s="1408"/>
      <c r="E57" s="1428">
        <f>ROUND(SUM(E51:E56),1)</f>
        <v>257.5</v>
      </c>
      <c r="F57" s="1408"/>
      <c r="G57" s="1428">
        <f>ROUND(SUM(G51:G56),1)</f>
        <v>0</v>
      </c>
      <c r="H57" s="1408"/>
      <c r="I57" s="1428">
        <f>ROUND(SUM(I51:I56),1)</f>
        <v>0</v>
      </c>
      <c r="J57" s="1408"/>
      <c r="K57" s="1428">
        <f>ROUND(SUM(K51:K56),1)</f>
        <v>0</v>
      </c>
      <c r="L57" s="1408"/>
      <c r="M57" s="1428">
        <f>ROUND(SUM(M51:M56),1)</f>
        <v>0</v>
      </c>
      <c r="N57" s="1408"/>
      <c r="O57" s="1428">
        <f>ROUND(SUM(O51:O56),1)</f>
        <v>0</v>
      </c>
      <c r="P57" s="1408"/>
      <c r="Q57" s="1428">
        <f>ROUND(SUM(Q51:Q56),1)</f>
        <v>0</v>
      </c>
      <c r="R57" s="1408"/>
      <c r="S57" s="1428">
        <f>ROUND(SUM(S51:S56),1)</f>
        <v>0</v>
      </c>
      <c r="T57" s="1408"/>
      <c r="U57" s="1428">
        <f>ROUND(SUM(U51:U56),1)</f>
        <v>0</v>
      </c>
      <c r="V57" s="1408"/>
      <c r="W57" s="1428">
        <f>ROUND(SUM(W51:W56),1)</f>
        <v>0</v>
      </c>
      <c r="X57" s="1408"/>
      <c r="Y57" s="1428">
        <f>ROUND(SUM(Y51:Y56),1)</f>
        <v>0</v>
      </c>
      <c r="Z57" s="1408"/>
      <c r="AA57" s="2681"/>
      <c r="AB57" s="1428">
        <f>ROUND(SUM(AB51:AB56),1)</f>
        <v>539.1</v>
      </c>
      <c r="AC57" s="2992"/>
      <c r="AD57" s="3283"/>
      <c r="AE57" s="1428">
        <f>ROUND(SUM(AE51:AE56),1)</f>
        <v>447</v>
      </c>
      <c r="AF57" s="3244"/>
      <c r="AG57" s="3244"/>
      <c r="AH57" s="1428">
        <f>ROUND(SUM(AH51:AH56),1)</f>
        <v>92.1</v>
      </c>
      <c r="AI57" s="3247"/>
      <c r="AJ57" s="1772">
        <f t="shared" si="12"/>
        <v>0.20599999999999999</v>
      </c>
    </row>
    <row r="58" spans="1:36" ht="15.75">
      <c r="A58" s="1408"/>
      <c r="B58" s="1408"/>
      <c r="C58" s="2684"/>
      <c r="D58" s="1407"/>
      <c r="E58" s="2684"/>
      <c r="F58" s="2684"/>
      <c r="G58" s="2684"/>
      <c r="H58" s="2684"/>
      <c r="I58" s="2684"/>
      <c r="J58" s="2684"/>
      <c r="K58" s="2684"/>
      <c r="L58" s="2684"/>
      <c r="M58" s="2684"/>
      <c r="N58" s="2684"/>
      <c r="O58" s="3035"/>
      <c r="P58" s="2684"/>
      <c r="Q58" s="2684"/>
      <c r="R58" s="2684"/>
      <c r="S58" s="2684"/>
      <c r="T58" s="2684"/>
      <c r="U58" s="2684"/>
      <c r="V58" s="2684"/>
      <c r="W58" s="2684"/>
      <c r="X58" s="2684"/>
      <c r="Y58" s="2684"/>
      <c r="Z58" s="1407"/>
      <c r="AA58" s="2685"/>
      <c r="AB58" s="3034"/>
      <c r="AC58" s="3033"/>
      <c r="AD58" s="3284"/>
      <c r="AE58" s="3035"/>
      <c r="AF58" s="3035"/>
      <c r="AG58" s="3035"/>
      <c r="AH58" s="3035"/>
      <c r="AI58" s="2992"/>
      <c r="AJ58" s="1773"/>
    </row>
    <row r="59" spans="1:36" ht="15.75">
      <c r="A59" s="2389" t="s">
        <v>981</v>
      </c>
      <c r="B59" s="1965"/>
      <c r="C59" s="17">
        <f>ROUND(SUM(C57+C49+C41+C30),1)</f>
        <v>18047.900000000001</v>
      </c>
      <c r="D59" s="1949"/>
      <c r="E59" s="17">
        <f>ROUND(SUM(E57+E49+E41+E30),1)</f>
        <v>4660.2</v>
      </c>
      <c r="F59" s="1949"/>
      <c r="G59" s="17">
        <f>ROUND(SUM(G57+G49+G41+G30),1)</f>
        <v>0</v>
      </c>
      <c r="H59" s="1949"/>
      <c r="I59" s="17">
        <f>ROUND(SUM(I57+I49+I41+I30),1)</f>
        <v>0</v>
      </c>
      <c r="J59" s="1949"/>
      <c r="K59" s="17">
        <f>ROUND(SUM(K57+K49+K41+K30),1)</f>
        <v>0</v>
      </c>
      <c r="L59" s="1949"/>
      <c r="M59" s="17">
        <f>ROUND(SUM(M57+M49+M41+M30),1)</f>
        <v>0</v>
      </c>
      <c r="N59" s="1949"/>
      <c r="O59" s="1605">
        <f>ROUND(SUM(O57+O49+O41+O30),1)</f>
        <v>0</v>
      </c>
      <c r="P59" s="1949"/>
      <c r="Q59" s="17">
        <f>ROUND(SUM(Q57+Q49+Q41+Q30),1)</f>
        <v>0</v>
      </c>
      <c r="R59" s="1949"/>
      <c r="S59" s="17">
        <f>ROUND(SUM(S57+S49+S41+S30),1)</f>
        <v>0</v>
      </c>
      <c r="T59" s="1949"/>
      <c r="U59" s="17">
        <f>ROUND(SUM(U57+U49+U41+U30),1)</f>
        <v>0</v>
      </c>
      <c r="V59" s="1949"/>
      <c r="W59" s="17">
        <f>ROUND(SUM(W57+W49+W41+W30),1)</f>
        <v>0</v>
      </c>
      <c r="X59" s="1431"/>
      <c r="Y59" s="17">
        <f>ROUND(SUM(Y57+Y49+Y41+Y30),1)</f>
        <v>0</v>
      </c>
      <c r="Z59" s="1431"/>
      <c r="AA59" s="1986"/>
      <c r="AB59" s="3285">
        <f>ROUND(SUM(C59:Y59),1)</f>
        <v>22708.1</v>
      </c>
      <c r="AC59" s="1938"/>
      <c r="AD59" s="1982"/>
      <c r="AE59" s="1926">
        <f>ROUND(SUM(+AE30+AE41+AE49+AE57),1)</f>
        <v>20722.2</v>
      </c>
      <c r="AF59" s="1920"/>
      <c r="AG59" s="3047"/>
      <c r="AH59" s="1926">
        <f>ROUND(+AB59-AE59,1)</f>
        <v>1985.9</v>
      </c>
      <c r="AI59" s="1984"/>
      <c r="AJ59" s="3248">
        <f>ROUND(SUM(+AH59/ABS(AE59)),3)</f>
        <v>9.6000000000000002E-2</v>
      </c>
    </row>
    <row r="60" spans="1:36" ht="15">
      <c r="A60" s="1408"/>
      <c r="B60" s="1408"/>
      <c r="C60" s="1407"/>
      <c r="D60" s="1407"/>
      <c r="E60" s="1407"/>
      <c r="F60" s="1407"/>
      <c r="G60" s="1407"/>
      <c r="H60" s="1407"/>
      <c r="I60" s="1407"/>
      <c r="J60" s="1407"/>
      <c r="K60" s="1407"/>
      <c r="L60" s="1407"/>
      <c r="M60" s="1407"/>
      <c r="N60" s="1407"/>
      <c r="O60" s="3033"/>
      <c r="P60" s="1407"/>
      <c r="Q60" s="1407"/>
      <c r="R60" s="1407"/>
      <c r="S60" s="1407"/>
      <c r="T60" s="1407"/>
      <c r="U60" s="1407"/>
      <c r="V60" s="1407"/>
      <c r="W60" s="1407"/>
      <c r="X60" s="1407"/>
      <c r="Y60" s="1407"/>
      <c r="Z60" s="1407"/>
      <c r="AA60" s="2685"/>
      <c r="AB60" s="3033"/>
      <c r="AC60" s="3033"/>
      <c r="AD60" s="3284"/>
      <c r="AE60" s="3033"/>
      <c r="AF60" s="3035"/>
      <c r="AG60" s="3035"/>
      <c r="AH60" s="3033"/>
      <c r="AI60" s="2992"/>
      <c r="AJ60" s="1770"/>
    </row>
    <row r="61" spans="1:36" ht="15.75">
      <c r="A61" s="2378" t="s">
        <v>918</v>
      </c>
      <c r="B61" s="1408"/>
      <c r="C61" s="1407"/>
      <c r="D61" s="1407"/>
      <c r="E61" s="1407"/>
      <c r="F61" s="1407"/>
      <c r="G61" s="1407"/>
      <c r="H61" s="1407"/>
      <c r="I61" s="1407"/>
      <c r="J61" s="1407"/>
      <c r="K61" s="1407"/>
      <c r="L61" s="1407"/>
      <c r="M61" s="1407"/>
      <c r="N61" s="1407"/>
      <c r="O61" s="3033"/>
      <c r="P61" s="1407"/>
      <c r="Q61" s="1407"/>
      <c r="R61" s="1407"/>
      <c r="S61" s="1407"/>
      <c r="T61" s="1407"/>
      <c r="U61" s="1407"/>
      <c r="V61" s="1407"/>
      <c r="W61" s="1407"/>
      <c r="X61" s="1407"/>
      <c r="Y61" s="1407"/>
      <c r="Z61" s="1407"/>
      <c r="AA61" s="2686"/>
      <c r="AB61" s="3033"/>
      <c r="AC61" s="3033"/>
      <c r="AD61" s="3284"/>
      <c r="AE61" s="3033"/>
      <c r="AF61" s="3035"/>
      <c r="AG61" s="3035"/>
      <c r="AH61" s="3033"/>
      <c r="AI61" s="2992"/>
      <c r="AJ61" s="1677"/>
    </row>
    <row r="62" spans="1:36" ht="15">
      <c r="A62" s="2401" t="s">
        <v>1033</v>
      </c>
      <c r="B62" s="1408"/>
      <c r="C62" s="1407"/>
      <c r="D62" s="1407"/>
      <c r="E62" s="1407"/>
      <c r="F62" s="1407"/>
      <c r="G62" s="1407"/>
      <c r="H62" s="1407"/>
      <c r="I62" s="1407"/>
      <c r="J62" s="1407"/>
      <c r="K62" s="1407"/>
      <c r="L62" s="1407"/>
      <c r="M62" s="1407"/>
      <c r="N62" s="1407"/>
      <c r="O62" s="3033"/>
      <c r="P62" s="1407"/>
      <c r="Q62" s="1407"/>
      <c r="R62" s="1407"/>
      <c r="S62" s="1407"/>
      <c r="T62" s="1407"/>
      <c r="U62" s="1407"/>
      <c r="V62" s="1407"/>
      <c r="W62" s="1407"/>
      <c r="X62" s="1407"/>
      <c r="Y62" s="1407"/>
      <c r="Z62" s="1407"/>
      <c r="AA62" s="2686"/>
      <c r="AB62" s="3033"/>
      <c r="AC62" s="3033"/>
      <c r="AD62" s="3284"/>
      <c r="AE62" s="3033"/>
      <c r="AF62" s="3035"/>
      <c r="AG62" s="3035"/>
      <c r="AH62" s="3033"/>
      <c r="AI62" s="2992"/>
      <c r="AJ62" s="1677"/>
    </row>
    <row r="63" spans="1:36" ht="15">
      <c r="A63" s="2401" t="s">
        <v>916</v>
      </c>
      <c r="B63" s="1408"/>
      <c r="C63" s="1407">
        <f>+'Exhibit F'!D58+'Exhibit G State'!D41</f>
        <v>1.9</v>
      </c>
      <c r="D63" s="1407"/>
      <c r="E63" s="1407">
        <f>+'Exhibit F'!F58+'Exhibit G State'!F41</f>
        <v>0.9</v>
      </c>
      <c r="F63" s="1407"/>
      <c r="G63" s="1407"/>
      <c r="H63" s="1407"/>
      <c r="I63" s="1407"/>
      <c r="J63" s="1407"/>
      <c r="K63" s="1407"/>
      <c r="L63" s="1407"/>
      <c r="M63" s="1407"/>
      <c r="N63" s="1407"/>
      <c r="O63" s="1407"/>
      <c r="P63" s="1407"/>
      <c r="Q63" s="1407"/>
      <c r="R63" s="1407"/>
      <c r="S63" s="1407"/>
      <c r="T63" s="1407"/>
      <c r="U63" s="1407"/>
      <c r="V63" s="1407"/>
      <c r="W63" s="1407"/>
      <c r="X63" s="1407"/>
      <c r="Y63" s="1407"/>
      <c r="Z63" s="1407"/>
      <c r="AA63" s="2686"/>
      <c r="AB63" s="3033">
        <f>ROUND(SUM(C63:Y63),1)</f>
        <v>2.8</v>
      </c>
      <c r="AC63" s="3033"/>
      <c r="AD63" s="3284"/>
      <c r="AE63" s="3033">
        <f>+'Exhibit F'!AF58+'Exhibit G State'!AG41</f>
        <v>2.2999999999999998</v>
      </c>
      <c r="AF63" s="3035"/>
      <c r="AG63" s="3035"/>
      <c r="AH63" s="3033">
        <f t="shared" ref="AH63:AH104" si="15">ROUND(SUM(AB63-AE63),1)</f>
        <v>0.5</v>
      </c>
      <c r="AI63" s="2992"/>
      <c r="AJ63" s="1770">
        <f>ROUND(SUM(AH63/ABS(AE63)),3)</f>
        <v>0.217</v>
      </c>
    </row>
    <row r="64" spans="1:36" ht="15">
      <c r="A64" s="2401" t="s">
        <v>917</v>
      </c>
      <c r="B64" s="1408"/>
      <c r="C64" s="1407">
        <f>+'Exhibit F'!D59</f>
        <v>0.2</v>
      </c>
      <c r="D64" s="1407"/>
      <c r="E64" s="1407">
        <f>+'Exhibit F'!F59</f>
        <v>0.2</v>
      </c>
      <c r="F64" s="1407"/>
      <c r="G64" s="1407"/>
      <c r="H64" s="1407"/>
      <c r="I64" s="1407"/>
      <c r="J64" s="1407"/>
      <c r="K64" s="1407"/>
      <c r="L64" s="1407"/>
      <c r="M64" s="1407"/>
      <c r="N64" s="1407"/>
      <c r="O64" s="1407"/>
      <c r="P64" s="1407"/>
      <c r="Q64" s="1407"/>
      <c r="R64" s="1407"/>
      <c r="S64" s="1407"/>
      <c r="T64" s="1407"/>
      <c r="U64" s="1407"/>
      <c r="V64" s="1407"/>
      <c r="W64" s="1407"/>
      <c r="X64" s="1407"/>
      <c r="Y64" s="1407"/>
      <c r="Z64" s="1407"/>
      <c r="AA64" s="2686"/>
      <c r="AB64" s="3033">
        <f>ROUND(SUM(C64:Y64),1)</f>
        <v>0.4</v>
      </c>
      <c r="AC64" s="3033"/>
      <c r="AD64" s="3284"/>
      <c r="AE64" s="3033">
        <f>+'Exhibit F'!AF59</f>
        <v>1.3</v>
      </c>
      <c r="AF64" s="3035"/>
      <c r="AG64" s="3035"/>
      <c r="AH64" s="3033">
        <f t="shared" si="15"/>
        <v>-0.9</v>
      </c>
      <c r="AI64" s="2992"/>
      <c r="AJ64" s="1770">
        <f>ROUND(SUM(AH64/ABS(AE64)),3)</f>
        <v>-0.69199999999999995</v>
      </c>
    </row>
    <row r="65" spans="1:36" ht="15">
      <c r="A65" s="2401" t="s">
        <v>1034</v>
      </c>
      <c r="B65" s="1408"/>
      <c r="C65" s="1407"/>
      <c r="D65" s="1407"/>
      <c r="E65" s="1407"/>
      <c r="F65" s="1407"/>
      <c r="G65" s="1407"/>
      <c r="H65" s="1407"/>
      <c r="I65" s="1407"/>
      <c r="J65" s="1407"/>
      <c r="K65" s="1407"/>
      <c r="L65" s="1407"/>
      <c r="M65" s="1407"/>
      <c r="N65" s="1407"/>
      <c r="O65" s="1407"/>
      <c r="P65" s="1407"/>
      <c r="Q65" s="1407"/>
      <c r="R65" s="1407"/>
      <c r="S65" s="1407"/>
      <c r="T65" s="1407"/>
      <c r="U65" s="1407"/>
      <c r="V65" s="1407"/>
      <c r="W65" s="1407"/>
      <c r="X65" s="1407"/>
      <c r="Y65" s="1407"/>
      <c r="Z65" s="1407"/>
      <c r="AA65" s="2686"/>
      <c r="AB65" s="3033"/>
      <c r="AC65" s="3033"/>
      <c r="AD65" s="3284"/>
      <c r="AE65" s="3033"/>
      <c r="AF65" s="3035"/>
      <c r="AG65" s="3035"/>
      <c r="AH65" s="3033" t="s">
        <v>14</v>
      </c>
      <c r="AI65" s="2992" t="s">
        <v>14</v>
      </c>
      <c r="AJ65" s="1677" t="s">
        <v>14</v>
      </c>
    </row>
    <row r="66" spans="1:36" ht="15">
      <c r="A66" s="2401" t="s">
        <v>921</v>
      </c>
      <c r="B66" s="1408"/>
      <c r="C66" s="1407">
        <f>+'Exhibit F'!D61+'Exhibit G State'!D43</f>
        <v>128.19999999999999</v>
      </c>
      <c r="D66" s="1407"/>
      <c r="E66" s="1407">
        <f>+'Exhibit F'!F61+'Exhibit G State'!F43</f>
        <v>-1.1999999999999886</v>
      </c>
      <c r="F66" s="1407"/>
      <c r="G66" s="1407"/>
      <c r="H66" s="1407"/>
      <c r="I66" s="1407"/>
      <c r="J66" s="1407"/>
      <c r="K66" s="1407"/>
      <c r="L66" s="1407"/>
      <c r="M66" s="1407"/>
      <c r="N66" s="1407"/>
      <c r="O66" s="1407"/>
      <c r="P66" s="1407"/>
      <c r="Q66" s="1407"/>
      <c r="R66" s="1407"/>
      <c r="S66" s="1407"/>
      <c r="T66" s="1407"/>
      <c r="U66" s="1407"/>
      <c r="V66" s="1407"/>
      <c r="W66" s="1407"/>
      <c r="X66" s="1407"/>
      <c r="Y66" s="1407"/>
      <c r="Z66" s="1407"/>
      <c r="AA66" s="2686"/>
      <c r="AB66" s="3033">
        <f>ROUND(SUM(C66:Y66),1)</f>
        <v>127</v>
      </c>
      <c r="AC66" s="3033"/>
      <c r="AD66" s="3284"/>
      <c r="AE66" s="3033">
        <f>+'Exhibit F'!AF61+'Exhibit G State'!AG43</f>
        <v>68.8</v>
      </c>
      <c r="AF66" s="3035"/>
      <c r="AG66" s="3035"/>
      <c r="AH66" s="3033">
        <f t="shared" si="15"/>
        <v>58.2</v>
      </c>
      <c r="AI66" s="2992"/>
      <c r="AJ66" s="1770">
        <f>ROUND(SUM(AH66/ABS(AE66)),3)</f>
        <v>0.84599999999999997</v>
      </c>
    </row>
    <row r="67" spans="1:36" ht="15">
      <c r="A67" s="2401" t="s">
        <v>922</v>
      </c>
      <c r="B67" s="1408"/>
      <c r="C67" s="1407">
        <f>+'Exhibit F'!D62+'Exhibit G State'!D44</f>
        <v>536.9</v>
      </c>
      <c r="D67" s="1407"/>
      <c r="E67" s="1407">
        <f>+'Exhibit F'!F62+'Exhibit G State'!F44</f>
        <v>533.80000000000018</v>
      </c>
      <c r="F67" s="1407"/>
      <c r="G67" s="1407"/>
      <c r="H67" s="1407"/>
      <c r="I67" s="1407"/>
      <c r="J67" s="1407"/>
      <c r="K67" s="1407"/>
      <c r="L67" s="1407"/>
      <c r="M67" s="1407"/>
      <c r="N67" s="1407"/>
      <c r="O67" s="1407"/>
      <c r="P67" s="1407"/>
      <c r="Q67" s="1407"/>
      <c r="R67" s="1407"/>
      <c r="S67" s="1407"/>
      <c r="T67" s="1407"/>
      <c r="U67" s="1407"/>
      <c r="V67" s="1407"/>
      <c r="W67" s="1407"/>
      <c r="X67" s="1407"/>
      <c r="Y67" s="1407"/>
      <c r="Z67" s="1407"/>
      <c r="AA67" s="2686"/>
      <c r="AB67" s="3033">
        <f>ROUND(SUM(C67:Y67),1)</f>
        <v>1070.7</v>
      </c>
      <c r="AC67" s="3033"/>
      <c r="AD67" s="3284"/>
      <c r="AE67" s="3033">
        <f>+'Exhibit F'!AF62+'Exhibit G State'!AG44+'Exhibit H'!AD33</f>
        <v>1018.4</v>
      </c>
      <c r="AF67" s="3035"/>
      <c r="AG67" s="3035"/>
      <c r="AH67" s="3033">
        <f t="shared" si="15"/>
        <v>52.3</v>
      </c>
      <c r="AI67" s="2992"/>
      <c r="AJ67" s="1770">
        <f>ROUND(SUM(AH67/ABS(AE67)),3)</f>
        <v>5.0999999999999997E-2</v>
      </c>
    </row>
    <row r="68" spans="1:36" ht="15">
      <c r="A68" s="2401" t="s">
        <v>923</v>
      </c>
      <c r="B68" s="1408"/>
      <c r="C68" s="1407">
        <f>+'Exhibit F'!D63+'Exhibit G State'!D45</f>
        <v>4.5999999999999996</v>
      </c>
      <c r="D68" s="1407"/>
      <c r="E68" s="1407">
        <f>+'Exhibit F'!F63+'Exhibit G State'!F45</f>
        <v>0</v>
      </c>
      <c r="F68" s="1407"/>
      <c r="G68" s="1407"/>
      <c r="H68" s="1407"/>
      <c r="I68" s="1407"/>
      <c r="J68" s="1407"/>
      <c r="K68" s="1407"/>
      <c r="L68" s="1407"/>
      <c r="M68" s="1407"/>
      <c r="N68" s="1407"/>
      <c r="O68" s="1407"/>
      <c r="P68" s="1407"/>
      <c r="Q68" s="1407"/>
      <c r="R68" s="1407"/>
      <c r="S68" s="1407"/>
      <c r="T68" s="1407"/>
      <c r="U68" s="1407"/>
      <c r="V68" s="1407"/>
      <c r="W68" s="1407"/>
      <c r="X68" s="1407"/>
      <c r="Y68" s="1407"/>
      <c r="Z68" s="1407"/>
      <c r="AA68" s="2686"/>
      <c r="AB68" s="3033">
        <f>ROUND(SUM(C68:Y68),1)</f>
        <v>4.5999999999999996</v>
      </c>
      <c r="AC68" s="3033"/>
      <c r="AD68" s="3284"/>
      <c r="AE68" s="3033">
        <f>+'Exhibit F'!AF63+'Exhibit G State'!AG45</f>
        <v>1.5</v>
      </c>
      <c r="AF68" s="3035"/>
      <c r="AG68" s="3035"/>
      <c r="AH68" s="3033">
        <f t="shared" si="15"/>
        <v>3.1</v>
      </c>
      <c r="AI68" s="2992"/>
      <c r="AJ68" s="1682">
        <f>ROUND(IF(AE68=0,0,AH68/ABS(AE68)),3)</f>
        <v>2.0670000000000002</v>
      </c>
    </row>
    <row r="69" spans="1:36" ht="15">
      <c r="A69" s="2401" t="s">
        <v>924</v>
      </c>
      <c r="B69" s="1408"/>
      <c r="C69" s="1407">
        <f>+'Exhibit F'!D64+'Exhibit G State'!D46</f>
        <v>0</v>
      </c>
      <c r="D69" s="1407"/>
      <c r="E69" s="1407">
        <f>+'Exhibit F'!F64+'Exhibit G State'!F46</f>
        <v>0</v>
      </c>
      <c r="F69" s="1407"/>
      <c r="G69" s="1407"/>
      <c r="H69" s="1407"/>
      <c r="I69" s="1407"/>
      <c r="J69" s="1407"/>
      <c r="K69" s="1407"/>
      <c r="L69" s="1407"/>
      <c r="M69" s="1407"/>
      <c r="N69" s="1407"/>
      <c r="O69" s="1407"/>
      <c r="P69" s="1407"/>
      <c r="Q69" s="1407"/>
      <c r="R69" s="1407"/>
      <c r="S69" s="1407"/>
      <c r="T69" s="1407"/>
      <c r="U69" s="1407"/>
      <c r="V69" s="1407"/>
      <c r="W69" s="1407"/>
      <c r="X69" s="1407"/>
      <c r="Y69" s="1407"/>
      <c r="Z69" s="1407"/>
      <c r="AA69" s="2686"/>
      <c r="AB69" s="3033">
        <f>ROUND(SUM(C69:Y69),1)</f>
        <v>0</v>
      </c>
      <c r="AC69" s="3033"/>
      <c r="AD69" s="3284"/>
      <c r="AE69" s="3033">
        <f>+'Exhibit F'!AF64+'Exhibit G State'!AG46</f>
        <v>0.1</v>
      </c>
      <c r="AF69" s="3035"/>
      <c r="AG69" s="3035"/>
      <c r="AH69" s="3033">
        <f t="shared" si="15"/>
        <v>-0.1</v>
      </c>
      <c r="AI69" s="2992"/>
      <c r="AJ69" s="1677">
        <f>ROUND(IF(AE69=0,0,AH69/ABS(AE69)),3)</f>
        <v>-1</v>
      </c>
    </row>
    <row r="70" spans="1:36" ht="15">
      <c r="A70" s="2401" t="s">
        <v>1038</v>
      </c>
      <c r="B70" s="1408"/>
      <c r="C70" s="1407"/>
      <c r="D70" s="1407"/>
      <c r="E70" s="1407"/>
      <c r="F70" s="1407"/>
      <c r="G70" s="1407"/>
      <c r="H70" s="1407"/>
      <c r="I70" s="1407"/>
      <c r="J70" s="1407"/>
      <c r="K70" s="1407"/>
      <c r="L70" s="1407"/>
      <c r="M70" s="1407"/>
      <c r="N70" s="1407"/>
      <c r="O70" s="1407"/>
      <c r="P70" s="1407"/>
      <c r="Q70" s="1407"/>
      <c r="R70" s="1407"/>
      <c r="S70" s="1407"/>
      <c r="T70" s="1407"/>
      <c r="U70" s="1407"/>
      <c r="V70" s="1407"/>
      <c r="W70" s="1407"/>
      <c r="X70" s="1407"/>
      <c r="Y70" s="1407"/>
      <c r="Z70" s="1407"/>
      <c r="AA70" s="2686"/>
      <c r="AB70" s="3033"/>
      <c r="AC70" s="3033"/>
      <c r="AD70" s="3284"/>
      <c r="AE70" s="3033"/>
      <c r="AF70" s="3035"/>
      <c r="AG70" s="3035"/>
      <c r="AH70" s="3033"/>
      <c r="AI70" s="2992"/>
      <c r="AJ70" s="1677"/>
    </row>
    <row r="71" spans="1:36" ht="15">
      <c r="A71" s="2401" t="s">
        <v>925</v>
      </c>
      <c r="B71" s="1408"/>
      <c r="C71" s="1407">
        <f>+'Exhibit F'!D66+'Exhibit H'!B35</f>
        <v>5.4</v>
      </c>
      <c r="D71" s="1407"/>
      <c r="E71" s="1407">
        <f>+'Exhibit F'!F66+'Exhibit H'!D35</f>
        <v>5.6999999999999993</v>
      </c>
      <c r="F71" s="1407"/>
      <c r="G71" s="1407"/>
      <c r="H71" s="1407"/>
      <c r="I71" s="1407"/>
      <c r="J71" s="1407"/>
      <c r="K71" s="1407"/>
      <c r="L71" s="1407"/>
      <c r="M71" s="1407"/>
      <c r="N71" s="1407"/>
      <c r="O71" s="1407"/>
      <c r="P71" s="1407"/>
      <c r="Q71" s="1407"/>
      <c r="R71" s="1407"/>
      <c r="S71" s="1407"/>
      <c r="T71" s="1407"/>
      <c r="U71" s="1407"/>
      <c r="V71" s="1407"/>
      <c r="W71" s="1407"/>
      <c r="X71" s="1407"/>
      <c r="Y71" s="1407"/>
      <c r="Z71" s="1407"/>
      <c r="AA71" s="2686"/>
      <c r="AB71" s="3033">
        <f t="shared" ref="AB71:AB78" si="16">ROUND(SUM(C71:Y71),1)</f>
        <v>11.1</v>
      </c>
      <c r="AC71" s="3033"/>
      <c r="AD71" s="3284"/>
      <c r="AE71" s="3033">
        <f>+'Exhibit F'!AF66+'Exhibit H'!AD35</f>
        <v>10.8</v>
      </c>
      <c r="AF71" s="3035"/>
      <c r="AG71" s="3035"/>
      <c r="AH71" s="3033">
        <f t="shared" si="15"/>
        <v>0.3</v>
      </c>
      <c r="AI71" s="2992"/>
      <c r="AJ71" s="1770">
        <f>ROUND(SUM(AH71/ABS(AE71)),3)</f>
        <v>2.8000000000000001E-2</v>
      </c>
    </row>
    <row r="72" spans="1:36" ht="15">
      <c r="A72" s="2401" t="s">
        <v>1128</v>
      </c>
      <c r="B72" s="1408"/>
      <c r="C72" s="1407">
        <f>'Exhibit G State'!D48</f>
        <v>0</v>
      </c>
      <c r="D72" s="1407" t="s">
        <v>14</v>
      </c>
      <c r="E72" s="1407">
        <f>'Exhibit G State'!F48</f>
        <v>0.2</v>
      </c>
      <c r="F72" s="1407"/>
      <c r="G72" s="1407"/>
      <c r="H72" s="1407"/>
      <c r="I72" s="1407"/>
      <c r="J72" s="1407"/>
      <c r="K72" s="1407"/>
      <c r="L72" s="1407"/>
      <c r="M72" s="1407"/>
      <c r="N72" s="1407"/>
      <c r="O72" s="1407"/>
      <c r="P72" s="1407"/>
      <c r="Q72" s="1407"/>
      <c r="R72" s="1407"/>
      <c r="S72" s="1407"/>
      <c r="T72" s="1407"/>
      <c r="U72" s="1407"/>
      <c r="V72" s="1407"/>
      <c r="W72" s="1407"/>
      <c r="X72" s="1407"/>
      <c r="Y72" s="1407"/>
      <c r="Z72" s="1407"/>
      <c r="AA72" s="2685"/>
      <c r="AB72" s="3033">
        <f t="shared" si="16"/>
        <v>0.2</v>
      </c>
      <c r="AC72" s="3033"/>
      <c r="AD72" s="3284"/>
      <c r="AE72" s="3033">
        <f>'Exhibit G State'!AG48</f>
        <v>0</v>
      </c>
      <c r="AF72" s="3035"/>
      <c r="AG72" s="3035"/>
      <c r="AH72" s="3033">
        <f t="shared" si="15"/>
        <v>0.2</v>
      </c>
      <c r="AI72" s="2992"/>
      <c r="AJ72" s="1677">
        <f>ROUND(IF(AE72=0,1,AH72/ABS(AE72)),3)</f>
        <v>1</v>
      </c>
    </row>
    <row r="73" spans="1:36" ht="15">
      <c r="A73" s="2401" t="s">
        <v>926</v>
      </c>
      <c r="B73" s="1408"/>
      <c r="C73" s="1407">
        <f>+'Exhibit F'!D68+'Exhibit G State'!D49+'Exhibit H'!B36</f>
        <v>47.099999999999994</v>
      </c>
      <c r="D73" s="1407"/>
      <c r="E73" s="1407">
        <f>+'Exhibit F'!F68+'Exhibit G State'!F49+'Exhibit H'!D36</f>
        <v>47.800000000000004</v>
      </c>
      <c r="F73" s="1407"/>
      <c r="G73" s="1407"/>
      <c r="H73" s="1407"/>
      <c r="I73" s="1407"/>
      <c r="J73" s="1407"/>
      <c r="K73" s="1407"/>
      <c r="L73" s="1407"/>
      <c r="M73" s="1407"/>
      <c r="N73" s="1407"/>
      <c r="O73" s="1407"/>
      <c r="P73" s="1407"/>
      <c r="Q73" s="1407"/>
      <c r="R73" s="1407"/>
      <c r="S73" s="1407"/>
      <c r="T73" s="1407"/>
      <c r="U73" s="1407"/>
      <c r="V73" s="1407"/>
      <c r="W73" s="1407"/>
      <c r="X73" s="1407"/>
      <c r="Y73" s="1407"/>
      <c r="Z73" s="1407"/>
      <c r="AA73" s="2686"/>
      <c r="AB73" s="3033">
        <f t="shared" si="16"/>
        <v>94.9</v>
      </c>
      <c r="AC73" s="3033"/>
      <c r="AD73" s="3284"/>
      <c r="AE73" s="3033">
        <f>+'Exhibit F'!AF68+'Exhibit G State'!AG49+'Exhibit H'!AD36</f>
        <v>100</v>
      </c>
      <c r="AF73" s="3035"/>
      <c r="AG73" s="3035"/>
      <c r="AH73" s="3033">
        <f t="shared" si="15"/>
        <v>-5.0999999999999996</v>
      </c>
      <c r="AI73" s="2992"/>
      <c r="AJ73" s="1770">
        <f>ROUND(SUM(AH73/AE73),3)</f>
        <v>-5.0999999999999997E-2</v>
      </c>
    </row>
    <row r="74" spans="1:36" ht="15">
      <c r="A74" s="2401" t="s">
        <v>927</v>
      </c>
      <c r="B74" s="1408"/>
      <c r="C74" s="1407">
        <f>+'Exhibit F'!D69+'Exhibit G State'!D50+'Exhibit H'!B37</f>
        <v>8.1</v>
      </c>
      <c r="D74" s="1407"/>
      <c r="E74" s="1407">
        <f>+'Exhibit F'!F69+'Exhibit G State'!F50+'Exhibit H'!D37</f>
        <v>32.799999999999997</v>
      </c>
      <c r="F74" s="1407"/>
      <c r="G74" s="1407"/>
      <c r="H74" s="1407"/>
      <c r="I74" s="1407"/>
      <c r="J74" s="1407"/>
      <c r="K74" s="1407"/>
      <c r="L74" s="1407"/>
      <c r="M74" s="1407"/>
      <c r="N74" s="1407"/>
      <c r="O74" s="1407"/>
      <c r="P74" s="1407"/>
      <c r="Q74" s="1407"/>
      <c r="R74" s="1407"/>
      <c r="S74" s="1407"/>
      <c r="T74" s="1407"/>
      <c r="U74" s="1407"/>
      <c r="V74" s="1407"/>
      <c r="W74" s="1407"/>
      <c r="X74" s="1407"/>
      <c r="Y74" s="1407"/>
      <c r="Z74" s="1407"/>
      <c r="AA74" s="2686"/>
      <c r="AB74" s="3033">
        <f t="shared" si="16"/>
        <v>40.9</v>
      </c>
      <c r="AC74" s="3033"/>
      <c r="AD74" s="3284"/>
      <c r="AE74" s="3033">
        <f>+'Exhibit F'!AF69+'Exhibit G State'!AG50+'Exhibit H'!AD37</f>
        <v>54.1</v>
      </c>
      <c r="AF74" s="3035"/>
      <c r="AG74" s="3035"/>
      <c r="AH74" s="3033">
        <f t="shared" si="15"/>
        <v>-13.2</v>
      </c>
      <c r="AI74" s="2992"/>
      <c r="AJ74" s="1770">
        <f>ROUND(SUM(AH74/ABS(AE74)),3)</f>
        <v>-0.24399999999999999</v>
      </c>
    </row>
    <row r="75" spans="1:36" ht="15">
      <c r="A75" s="2401" t="s">
        <v>928</v>
      </c>
      <c r="B75" s="1408"/>
      <c r="C75" s="1407">
        <f>+'Exhibit F'!D70+'Exhibit G State'!D51+'Exhibit H'!B38</f>
        <v>0.7</v>
      </c>
      <c r="D75" s="1407"/>
      <c r="E75" s="1407">
        <f>+'Exhibit F'!F70+'Exhibit G State'!F51+'Exhibit H'!D38</f>
        <v>0.40000000000000008</v>
      </c>
      <c r="F75" s="1407"/>
      <c r="G75" s="1407"/>
      <c r="H75" s="1407"/>
      <c r="I75" s="1407"/>
      <c r="J75" s="1407"/>
      <c r="K75" s="1407"/>
      <c r="L75" s="1407"/>
      <c r="M75" s="1407"/>
      <c r="N75" s="1407"/>
      <c r="O75" s="1407"/>
      <c r="P75" s="1407"/>
      <c r="Q75" s="1407"/>
      <c r="R75" s="1407"/>
      <c r="S75" s="1407"/>
      <c r="T75" s="1407"/>
      <c r="U75" s="1407"/>
      <c r="V75" s="1407"/>
      <c r="W75" s="1407"/>
      <c r="X75" s="1407"/>
      <c r="Y75" s="1407"/>
      <c r="Z75" s="1407"/>
      <c r="AA75" s="2686"/>
      <c r="AB75" s="3033">
        <f t="shared" si="16"/>
        <v>1.1000000000000001</v>
      </c>
      <c r="AC75" s="3033"/>
      <c r="AD75" s="3284"/>
      <c r="AE75" s="3033">
        <f>+'Exhibit F'!AF70+'Exhibit G State'!AG51+'Exhibit H'!AD38</f>
        <v>1.3</v>
      </c>
      <c r="AF75" s="3035"/>
      <c r="AG75" s="3035"/>
      <c r="AH75" s="3033">
        <f t="shared" si="15"/>
        <v>-0.2</v>
      </c>
      <c r="AI75" s="2992"/>
      <c r="AJ75" s="1770">
        <f>ROUND(SUM(AH75/ABS(AE75)),3)</f>
        <v>-0.154</v>
      </c>
    </row>
    <row r="76" spans="1:36" ht="15">
      <c r="A76" s="2401" t="s">
        <v>929</v>
      </c>
      <c r="B76" s="1408"/>
      <c r="C76" s="1407">
        <f>+'Exhibit F'!D71+'Exhibit G State'!D52+'Exhibit H'!B39</f>
        <v>34.4</v>
      </c>
      <c r="D76" s="1407"/>
      <c r="E76" s="1407">
        <f>+'Exhibit F'!F71+'Exhibit G State'!F52+'Exhibit H'!D39</f>
        <v>42.4</v>
      </c>
      <c r="F76" s="1407"/>
      <c r="G76" s="1407"/>
      <c r="H76" s="1407"/>
      <c r="I76" s="1407"/>
      <c r="J76" s="1407"/>
      <c r="K76" s="1407"/>
      <c r="L76" s="1407"/>
      <c r="M76" s="1407"/>
      <c r="N76" s="1407"/>
      <c r="O76" s="1407"/>
      <c r="P76" s="1407"/>
      <c r="Q76" s="1407"/>
      <c r="R76" s="1407"/>
      <c r="S76" s="1407"/>
      <c r="T76" s="1407"/>
      <c r="U76" s="1407"/>
      <c r="V76" s="1407"/>
      <c r="W76" s="1407"/>
      <c r="X76" s="1407"/>
      <c r="Y76" s="1407"/>
      <c r="Z76" s="1407"/>
      <c r="AA76" s="2686"/>
      <c r="AB76" s="3033">
        <f t="shared" si="16"/>
        <v>76.8</v>
      </c>
      <c r="AC76" s="3033"/>
      <c r="AD76" s="3284"/>
      <c r="AE76" s="3033">
        <f>+'Exhibit F'!AF71+'Exhibit G State'!AG52+'Exhibit H'!AD39</f>
        <v>93.199999999999989</v>
      </c>
      <c r="AF76" s="3035"/>
      <c r="AG76" s="3035"/>
      <c r="AH76" s="3033">
        <f t="shared" si="15"/>
        <v>-16.399999999999999</v>
      </c>
      <c r="AI76" s="2992"/>
      <c r="AJ76" s="1677">
        <f>ROUND(IF(AE76=0,0,AH76/ABS(AE76)),3)</f>
        <v>-0.17599999999999999</v>
      </c>
    </row>
    <row r="77" spans="1:36" ht="15">
      <c r="A77" s="2401" t="s">
        <v>930</v>
      </c>
      <c r="B77" s="1408"/>
      <c r="C77" s="1407">
        <f>+'Exhibit F'!D72+'Exhibit G State'!D53+'Exhibit H'!B40</f>
        <v>39</v>
      </c>
      <c r="D77" s="1407"/>
      <c r="E77" s="1407">
        <f>+'Exhibit F'!F72+'Exhibit G State'!F53+'Exhibit H'!D40</f>
        <v>80.900000000000006</v>
      </c>
      <c r="F77" s="1407"/>
      <c r="G77" s="1407"/>
      <c r="H77" s="1407"/>
      <c r="I77" s="1407"/>
      <c r="J77" s="1407"/>
      <c r="K77" s="1407"/>
      <c r="L77" s="1407"/>
      <c r="M77" s="1407"/>
      <c r="N77" s="1407"/>
      <c r="O77" s="1407"/>
      <c r="P77" s="1407"/>
      <c r="Q77" s="1407"/>
      <c r="R77" s="1407"/>
      <c r="S77" s="1407"/>
      <c r="T77" s="1407"/>
      <c r="U77" s="1407"/>
      <c r="V77" s="1407"/>
      <c r="W77" s="1407"/>
      <c r="X77" s="1407"/>
      <c r="Y77" s="1407"/>
      <c r="Z77" s="1407"/>
      <c r="AA77" s="2686"/>
      <c r="AB77" s="3033">
        <f t="shared" si="16"/>
        <v>119.9</v>
      </c>
      <c r="AC77" s="3033"/>
      <c r="AD77" s="3284"/>
      <c r="AE77" s="3033">
        <f>+'Exhibit F'!AF72+'Exhibit G State'!AG53+'Exhibit H'!AD40</f>
        <v>117.3</v>
      </c>
      <c r="AF77" s="3035"/>
      <c r="AG77" s="3035"/>
      <c r="AH77" s="3033">
        <f t="shared" si="15"/>
        <v>2.6</v>
      </c>
      <c r="AI77" s="2992"/>
      <c r="AJ77" s="1770">
        <f>ROUND(SUM(AH77/ABS(AE77)),3)</f>
        <v>2.1999999999999999E-2</v>
      </c>
    </row>
    <row r="78" spans="1:36" ht="15">
      <c r="A78" s="2401" t="s">
        <v>919</v>
      </c>
      <c r="B78" s="1408"/>
      <c r="C78" s="1407">
        <f>+'Exhibit F'!D73+'Exhibit G State'!D54</f>
        <v>28.5</v>
      </c>
      <c r="D78" s="1407"/>
      <c r="E78" s="1407">
        <f>+'Exhibit F'!F73+'Exhibit G State'!F54</f>
        <v>16.299999999999997</v>
      </c>
      <c r="F78" s="1407"/>
      <c r="G78" s="1407"/>
      <c r="H78" s="1407"/>
      <c r="I78" s="1407"/>
      <c r="J78" s="1407"/>
      <c r="K78" s="1407"/>
      <c r="L78" s="1407"/>
      <c r="M78" s="1407"/>
      <c r="N78" s="1407"/>
      <c r="O78" s="1407"/>
      <c r="P78" s="1407"/>
      <c r="Q78" s="1407"/>
      <c r="R78" s="1407"/>
      <c r="S78" s="1407"/>
      <c r="T78" s="1407"/>
      <c r="U78" s="1407"/>
      <c r="V78" s="1407"/>
      <c r="W78" s="1407"/>
      <c r="X78" s="1407"/>
      <c r="Y78" s="1407"/>
      <c r="Z78" s="1407"/>
      <c r="AA78" s="2686"/>
      <c r="AB78" s="3033">
        <f t="shared" si="16"/>
        <v>44.8</v>
      </c>
      <c r="AC78" s="3033"/>
      <c r="AD78" s="3284"/>
      <c r="AE78" s="3033">
        <f>+'Exhibit F'!AF73+'Exhibit G State'!AG54</f>
        <v>88.899999999999991</v>
      </c>
      <c r="AF78" s="3035"/>
      <c r="AG78" s="3035"/>
      <c r="AH78" s="3033">
        <f t="shared" si="15"/>
        <v>-44.1</v>
      </c>
      <c r="AI78" s="2992"/>
      <c r="AJ78" s="1770">
        <f>ROUND(SUM(AH78/ABS(AE78)),3)</f>
        <v>-0.496</v>
      </c>
    </row>
    <row r="79" spans="1:36" ht="15">
      <c r="A79" s="2401" t="s">
        <v>1035</v>
      </c>
      <c r="B79" s="1408"/>
      <c r="C79" s="1407"/>
      <c r="D79" s="1407"/>
      <c r="E79" s="1407"/>
      <c r="F79" s="1407"/>
      <c r="G79" s="1407"/>
      <c r="H79" s="1407"/>
      <c r="I79" s="1407"/>
      <c r="J79" s="1407"/>
      <c r="K79" s="1407"/>
      <c r="L79" s="1407"/>
      <c r="M79" s="1407"/>
      <c r="N79" s="1407"/>
      <c r="O79" s="1407"/>
      <c r="P79" s="1407"/>
      <c r="Q79" s="1407"/>
      <c r="R79" s="1407"/>
      <c r="S79" s="1407"/>
      <c r="T79" s="1407"/>
      <c r="U79" s="1407"/>
      <c r="V79" s="1407"/>
      <c r="W79" s="1407"/>
      <c r="X79" s="1407"/>
      <c r="Y79" s="1407"/>
      <c r="Z79" s="1407"/>
      <c r="AA79" s="2686"/>
      <c r="AB79" s="3033"/>
      <c r="AC79" s="3033"/>
      <c r="AD79" s="3284"/>
      <c r="AE79" s="3033"/>
      <c r="AF79" s="3035"/>
      <c r="AG79" s="3035"/>
      <c r="AH79" s="3033"/>
      <c r="AI79" s="2992"/>
      <c r="AJ79" s="1770" t="s">
        <v>14</v>
      </c>
    </row>
    <row r="80" spans="1:36" ht="15">
      <c r="A80" s="2401" t="s">
        <v>931</v>
      </c>
      <c r="B80" s="1408"/>
      <c r="C80" s="1407">
        <f>+'Exhibit G State'!D56+'Exhibit F'!D75</f>
        <v>44.6</v>
      </c>
      <c r="D80" s="1407"/>
      <c r="E80" s="1407">
        <f>+'Exhibit G State'!F56+'Exhibit F'!F75</f>
        <v>11.5</v>
      </c>
      <c r="F80" s="1407"/>
      <c r="G80" s="1407"/>
      <c r="H80" s="1407"/>
      <c r="I80" s="1407"/>
      <c r="J80" s="1407"/>
      <c r="K80" s="1407"/>
      <c r="L80" s="1407"/>
      <c r="M80" s="1407"/>
      <c r="N80" s="1407"/>
      <c r="O80" s="1407"/>
      <c r="P80" s="1407"/>
      <c r="Q80" s="1407"/>
      <c r="R80" s="1407"/>
      <c r="S80" s="1407"/>
      <c r="T80" s="1407"/>
      <c r="U80" s="1407"/>
      <c r="V80" s="1407"/>
      <c r="W80" s="1407"/>
      <c r="X80" s="1407"/>
      <c r="Y80" s="1407"/>
      <c r="Z80" s="1407"/>
      <c r="AA80" s="2686"/>
      <c r="AB80" s="3033">
        <f t="shared" ref="AB80:AB85" si="17">ROUND(SUM(C80:Y80),1)</f>
        <v>56.1</v>
      </c>
      <c r="AC80" s="3033"/>
      <c r="AD80" s="3284"/>
      <c r="AE80" s="3033">
        <f>+'Exhibit G State'!AG56</f>
        <v>48.4</v>
      </c>
      <c r="AF80" s="3035"/>
      <c r="AG80" s="3035"/>
      <c r="AH80" s="3033">
        <f t="shared" si="15"/>
        <v>7.7</v>
      </c>
      <c r="AI80" s="2992"/>
      <c r="AJ80" s="1677">
        <f>ROUND(IF(AE80=0,1,AH80/ABS(AE80)),3)</f>
        <v>0.159</v>
      </c>
    </row>
    <row r="81" spans="1:36" ht="15">
      <c r="A81" s="2401" t="s">
        <v>1500</v>
      </c>
      <c r="B81" s="1408"/>
      <c r="C81" s="1407">
        <f>+'Exhibit G State'!D57</f>
        <v>186.3</v>
      </c>
      <c r="D81" s="1407"/>
      <c r="E81" s="1407">
        <f>+'Exhibit G State'!F57</f>
        <v>189.59999999999997</v>
      </c>
      <c r="F81" s="1407"/>
      <c r="G81" s="1407"/>
      <c r="H81" s="1407"/>
      <c r="I81" s="1407"/>
      <c r="J81" s="1407"/>
      <c r="K81" s="1407"/>
      <c r="L81" s="1407"/>
      <c r="M81" s="1407"/>
      <c r="N81" s="1407"/>
      <c r="O81" s="1407"/>
      <c r="P81" s="1407"/>
      <c r="Q81" s="1407"/>
      <c r="R81" s="1407"/>
      <c r="S81" s="1407"/>
      <c r="T81" s="1407"/>
      <c r="U81" s="1407"/>
      <c r="V81" s="1407"/>
      <c r="W81" s="1407"/>
      <c r="X81" s="1407"/>
      <c r="Y81" s="1407"/>
      <c r="Z81" s="1407"/>
      <c r="AA81" s="2686"/>
      <c r="AB81" s="3033">
        <f t="shared" si="17"/>
        <v>375.9</v>
      </c>
      <c r="AC81" s="3033"/>
      <c r="AD81" s="3284"/>
      <c r="AE81" s="3033">
        <f>+'Exhibit G State'!AG57</f>
        <v>413</v>
      </c>
      <c r="AF81" s="3035"/>
      <c r="AG81" s="3035"/>
      <c r="AH81" s="3033">
        <f t="shared" si="15"/>
        <v>-37.1</v>
      </c>
      <c r="AI81" s="2992"/>
      <c r="AJ81" s="1677">
        <f t="shared" ref="AJ81" si="18">ROUND(IF(AE81=0,0,AH81/ABS(AE81)),3)</f>
        <v>-0.09</v>
      </c>
    </row>
    <row r="82" spans="1:36" ht="15">
      <c r="A82" s="2401" t="s">
        <v>1501</v>
      </c>
      <c r="B82" s="1408"/>
      <c r="C82" s="1407">
        <f>+'Exhibit G State'!D58</f>
        <v>38.6</v>
      </c>
      <c r="D82" s="1407"/>
      <c r="E82" s="1407">
        <f>+'Exhibit G State'!F58</f>
        <v>53.4</v>
      </c>
      <c r="F82" s="1407"/>
      <c r="G82" s="1407"/>
      <c r="H82" s="1407"/>
      <c r="I82" s="1407"/>
      <c r="J82" s="1407"/>
      <c r="K82" s="1407"/>
      <c r="L82" s="1407"/>
      <c r="M82" s="1407"/>
      <c r="N82" s="1407"/>
      <c r="O82" s="1407"/>
      <c r="P82" s="1407"/>
      <c r="Q82" s="1407"/>
      <c r="R82" s="1407"/>
      <c r="S82" s="1407"/>
      <c r="T82" s="1407"/>
      <c r="U82" s="1407"/>
      <c r="V82" s="1407"/>
      <c r="W82" s="1407"/>
      <c r="X82" s="1407"/>
      <c r="Y82" s="1407"/>
      <c r="Z82" s="1407"/>
      <c r="AA82" s="2686"/>
      <c r="AB82" s="3033">
        <f t="shared" si="17"/>
        <v>92</v>
      </c>
      <c r="AC82" s="3033"/>
      <c r="AD82" s="3284"/>
      <c r="AE82" s="3033">
        <f>+'Exhibit G State'!AG58</f>
        <v>0</v>
      </c>
      <c r="AF82" s="3035"/>
      <c r="AG82" s="3035"/>
      <c r="AH82" s="3033">
        <f t="shared" si="15"/>
        <v>92</v>
      </c>
      <c r="AI82" s="2992"/>
      <c r="AJ82" s="1677">
        <f>ROUND(IF(AE82=0,1,AH82/ABS(AE82)),3)</f>
        <v>1</v>
      </c>
    </row>
    <row r="83" spans="1:36" ht="15">
      <c r="A83" s="2401" t="s">
        <v>932</v>
      </c>
      <c r="B83" s="1408"/>
      <c r="C83" s="1407">
        <f>+'Exhibit G State'!D59</f>
        <v>73.400000000000006</v>
      </c>
      <c r="D83" s="1407"/>
      <c r="E83" s="1407">
        <f>+'Exhibit G State'!F59</f>
        <v>71.299999999999983</v>
      </c>
      <c r="F83" s="1407"/>
      <c r="G83" s="1407"/>
      <c r="H83" s="1407"/>
      <c r="I83" s="1407"/>
      <c r="J83" s="1407"/>
      <c r="K83" s="1407"/>
      <c r="L83" s="1407"/>
      <c r="M83" s="1407"/>
      <c r="N83" s="1407"/>
      <c r="O83" s="1407"/>
      <c r="P83" s="1407"/>
      <c r="Q83" s="1407"/>
      <c r="R83" s="1407"/>
      <c r="S83" s="1407"/>
      <c r="T83" s="1407"/>
      <c r="U83" s="1407"/>
      <c r="V83" s="1407"/>
      <c r="W83" s="1407"/>
      <c r="X83" s="1407"/>
      <c r="Y83" s="1407"/>
      <c r="Z83" s="1407"/>
      <c r="AA83" s="2686"/>
      <c r="AB83" s="3033">
        <f t="shared" si="17"/>
        <v>144.69999999999999</v>
      </c>
      <c r="AC83" s="3033"/>
      <c r="AD83" s="3284"/>
      <c r="AE83" s="3033">
        <f>+'Exhibit G State'!AG59</f>
        <v>153.79999999999998</v>
      </c>
      <c r="AF83" s="3035"/>
      <c r="AG83" s="3035"/>
      <c r="AH83" s="3033">
        <f t="shared" si="15"/>
        <v>-9.1</v>
      </c>
      <c r="AI83" s="2992"/>
      <c r="AJ83" s="1682">
        <f>ROUND(IF(AE83=0,1,AH83/ABS(AE83)),3)</f>
        <v>-5.8999999999999997E-2</v>
      </c>
    </row>
    <row r="84" spans="1:36" ht="15">
      <c r="A84" s="2401" t="s">
        <v>920</v>
      </c>
      <c r="B84" s="1408"/>
      <c r="C84" s="1407">
        <f>+'Exhibit F'!D76+'Exhibit H'!B41+'Exhibit G State'!D60</f>
        <v>11.4</v>
      </c>
      <c r="D84" s="1407"/>
      <c r="E84" s="1407">
        <f>+'Exhibit F'!F76+'Exhibit H'!D41+'Exhibit G State'!F60</f>
        <v>17.700000000000003</v>
      </c>
      <c r="F84" s="1407"/>
      <c r="G84" s="1407"/>
      <c r="H84" s="1407"/>
      <c r="I84" s="1407"/>
      <c r="J84" s="1407"/>
      <c r="K84" s="1407"/>
      <c r="L84" s="1407"/>
      <c r="M84" s="1407"/>
      <c r="N84" s="1407"/>
      <c r="O84" s="1407"/>
      <c r="P84" s="1407"/>
      <c r="Q84" s="1407"/>
      <c r="R84" s="1407"/>
      <c r="S84" s="1407"/>
      <c r="T84" s="1407"/>
      <c r="U84" s="1407"/>
      <c r="V84" s="1407"/>
      <c r="W84" s="1407"/>
      <c r="X84" s="1407"/>
      <c r="Y84" s="1407"/>
      <c r="Z84" s="1407"/>
      <c r="AA84" s="2686"/>
      <c r="AB84" s="3033">
        <f t="shared" si="17"/>
        <v>29.1</v>
      </c>
      <c r="AC84" s="3033"/>
      <c r="AD84" s="3284"/>
      <c r="AE84" s="3033">
        <f>+'Exhibit F'!AF76+'Exhibit H'!AD41+'Exhibit G State'!AG60</f>
        <v>8.8000000000000007</v>
      </c>
      <c r="AF84" s="3035"/>
      <c r="AG84" s="3035"/>
      <c r="AH84" s="3033">
        <f t="shared" si="15"/>
        <v>20.3</v>
      </c>
      <c r="AI84" s="2992"/>
      <c r="AJ84" s="1781">
        <f>ROUND(SUM(AH84/ABS(AE84)),3)</f>
        <v>2.3069999999999999</v>
      </c>
    </row>
    <row r="85" spans="1:36" ht="15">
      <c r="A85" s="2401" t="s">
        <v>937</v>
      </c>
      <c r="B85" s="1408"/>
      <c r="C85" s="1407">
        <f>+'Exhibit F'!D77+'Exhibit H'!B42+'Exhibit G State'!D61</f>
        <v>7.2</v>
      </c>
      <c r="D85" s="1407"/>
      <c r="E85" s="1407">
        <f>+'Exhibit F'!F77+'Exhibit H'!D42+'Exhibit G State'!F61</f>
        <v>1.8999999999999995</v>
      </c>
      <c r="F85" s="1407"/>
      <c r="G85" s="1407"/>
      <c r="H85" s="1407"/>
      <c r="I85" s="1407"/>
      <c r="J85" s="1407"/>
      <c r="K85" s="1407"/>
      <c r="L85" s="1407"/>
      <c r="M85" s="1407"/>
      <c r="N85" s="1407"/>
      <c r="O85" s="1407"/>
      <c r="P85" s="1407"/>
      <c r="Q85" s="1407"/>
      <c r="R85" s="1407"/>
      <c r="S85" s="1407"/>
      <c r="T85" s="1407"/>
      <c r="U85" s="1407"/>
      <c r="V85" s="1407"/>
      <c r="W85" s="1407"/>
      <c r="X85" s="1407"/>
      <c r="Y85" s="1407"/>
      <c r="Z85" s="1407"/>
      <c r="AA85" s="2686"/>
      <c r="AB85" s="3033">
        <f t="shared" si="17"/>
        <v>9.1</v>
      </c>
      <c r="AC85" s="3033"/>
      <c r="AD85" s="3284"/>
      <c r="AE85" s="3033">
        <f>+'Exhibit F'!AF77+'Exhibit H'!AD42+'Exhibit G State'!AG61</f>
        <v>8.9</v>
      </c>
      <c r="AF85" s="3035"/>
      <c r="AG85" s="3035"/>
      <c r="AH85" s="3033">
        <f>ROUND(SUM(AB85-AE85),1)</f>
        <v>0.2</v>
      </c>
      <c r="AI85" s="2992"/>
      <c r="AJ85" s="1781">
        <f>ROUND(SUM(AH85/ABS(AE85)),3)</f>
        <v>2.1999999999999999E-2</v>
      </c>
    </row>
    <row r="86" spans="1:36" ht="15">
      <c r="A86" s="2401" t="s">
        <v>1036</v>
      </c>
      <c r="B86" s="1408"/>
      <c r="C86" s="1407"/>
      <c r="D86" s="1407"/>
      <c r="E86" s="1407"/>
      <c r="F86" s="1407"/>
      <c r="G86" s="1407"/>
      <c r="H86" s="1407"/>
      <c r="I86" s="1407"/>
      <c r="J86" s="1407"/>
      <c r="K86" s="1407"/>
      <c r="L86" s="1407"/>
      <c r="M86" s="1407"/>
      <c r="N86" s="1407"/>
      <c r="O86" s="1407"/>
      <c r="P86" s="1407"/>
      <c r="Q86" s="1407"/>
      <c r="R86" s="1407"/>
      <c r="S86" s="1407"/>
      <c r="T86" s="1407"/>
      <c r="U86" s="1407"/>
      <c r="V86" s="1407"/>
      <c r="W86" s="1407"/>
      <c r="X86" s="1407"/>
      <c r="Y86" s="1407"/>
      <c r="Z86" s="1407"/>
      <c r="AA86" s="2686"/>
      <c r="AB86" s="3033"/>
      <c r="AC86" s="3033"/>
      <c r="AD86" s="3284"/>
      <c r="AE86" s="3033"/>
      <c r="AF86" s="3035"/>
      <c r="AG86" s="3035"/>
      <c r="AH86" s="3033"/>
      <c r="AI86" s="2992"/>
      <c r="AJ86" s="1677"/>
    </row>
    <row r="87" spans="1:36" ht="15">
      <c r="A87" s="2401" t="s">
        <v>933</v>
      </c>
      <c r="B87" s="1408"/>
      <c r="C87" s="1407">
        <f>+'Exhibit G State'!D63</f>
        <v>0</v>
      </c>
      <c r="D87" s="1407"/>
      <c r="E87" s="1407">
        <f>+'Exhibit G State'!F63</f>
        <v>0</v>
      </c>
      <c r="F87" s="1407"/>
      <c r="G87" s="1407"/>
      <c r="H87" s="1407"/>
      <c r="I87" s="1407"/>
      <c r="J87" s="1407"/>
      <c r="K87" s="1407"/>
      <c r="L87" s="1407"/>
      <c r="M87" s="1407"/>
      <c r="N87" s="1407"/>
      <c r="O87" s="1407"/>
      <c r="P87" s="1407"/>
      <c r="Q87" s="1407"/>
      <c r="R87" s="1407"/>
      <c r="S87" s="1407"/>
      <c r="T87" s="1407"/>
      <c r="U87" s="1407"/>
      <c r="V87" s="1407"/>
      <c r="W87" s="1407"/>
      <c r="X87" s="1407"/>
      <c r="Y87" s="1407"/>
      <c r="Z87" s="1407"/>
      <c r="AA87" s="2686"/>
      <c r="AB87" s="3033">
        <f t="shared" ref="AB87:AB91" si="19">ROUND(SUM(C87:Y87),1)</f>
        <v>0</v>
      </c>
      <c r="AC87" s="3033"/>
      <c r="AD87" s="3284"/>
      <c r="AE87" s="3033">
        <f>+'Exhibit G State'!AG63+'Exhibit H'!AD44+'Exhibit F'!AF79</f>
        <v>0</v>
      </c>
      <c r="AF87" s="3035"/>
      <c r="AG87" s="3035"/>
      <c r="AH87" s="3033">
        <f t="shared" si="15"/>
        <v>0</v>
      </c>
      <c r="AI87" s="2992"/>
      <c r="AJ87" s="1677">
        <f>ROUND(IF(AE87=0,0,AH87/ABS(AE87)),3)</f>
        <v>0</v>
      </c>
    </row>
    <row r="88" spans="1:36" ht="15">
      <c r="A88" s="2401" t="s">
        <v>934</v>
      </c>
      <c r="B88" s="1408"/>
      <c r="C88" s="1407">
        <f>+'Exhibit F'!D80+'Exhibit G State'!D64</f>
        <v>14.2</v>
      </c>
      <c r="D88" s="1407"/>
      <c r="E88" s="1407">
        <f>+'Exhibit F'!F80+'Exhibit G State'!F64</f>
        <v>0</v>
      </c>
      <c r="F88" s="1407"/>
      <c r="G88" s="1407"/>
      <c r="H88" s="1407"/>
      <c r="I88" s="1407"/>
      <c r="J88" s="1407"/>
      <c r="K88" s="1407"/>
      <c r="L88" s="1407"/>
      <c r="M88" s="1407"/>
      <c r="N88" s="1407"/>
      <c r="O88" s="1407"/>
      <c r="P88" s="1407"/>
      <c r="Q88" s="1407"/>
      <c r="R88" s="1407"/>
      <c r="S88" s="1407"/>
      <c r="T88" s="1407"/>
      <c r="U88" s="1407"/>
      <c r="V88" s="1407"/>
      <c r="W88" s="1407"/>
      <c r="X88" s="1407"/>
      <c r="Y88" s="1407"/>
      <c r="Z88" s="1407"/>
      <c r="AA88" s="2686"/>
      <c r="AB88" s="3033">
        <f t="shared" si="19"/>
        <v>14.2</v>
      </c>
      <c r="AC88" s="3033"/>
      <c r="AD88" s="3284"/>
      <c r="AE88" s="3033">
        <f>+'Exhibit F'!AF80+'Exhibit G State'!AG64</f>
        <v>0</v>
      </c>
      <c r="AF88" s="3035"/>
      <c r="AG88" s="3035"/>
      <c r="AH88" s="3033">
        <f t="shared" si="15"/>
        <v>14.2</v>
      </c>
      <c r="AI88" s="2992"/>
      <c r="AJ88" s="1770">
        <f>ROUND(IF(AE88=0,1,AH88/ABS(AE88)),3)</f>
        <v>1</v>
      </c>
    </row>
    <row r="89" spans="1:36" ht="15">
      <c r="A89" s="2401" t="s">
        <v>935</v>
      </c>
      <c r="B89" s="1408"/>
      <c r="C89" s="1407">
        <f>+'Exhibit F'!D81+'Exhibit G State'!D65</f>
        <v>2.8</v>
      </c>
      <c r="D89" s="1407"/>
      <c r="E89" s="1407">
        <f>+'Exhibit F'!F81+'Exhibit G State'!F65</f>
        <v>3.7</v>
      </c>
      <c r="F89" s="1407"/>
      <c r="G89" s="1407"/>
      <c r="H89" s="1407"/>
      <c r="I89" s="1407"/>
      <c r="J89" s="1407"/>
      <c r="K89" s="1407"/>
      <c r="L89" s="1407"/>
      <c r="M89" s="1407"/>
      <c r="N89" s="1407"/>
      <c r="O89" s="1407"/>
      <c r="P89" s="1407"/>
      <c r="Q89" s="1407"/>
      <c r="R89" s="1407"/>
      <c r="S89" s="1407"/>
      <c r="T89" s="1407"/>
      <c r="U89" s="1407"/>
      <c r="V89" s="1407"/>
      <c r="W89" s="1407"/>
      <c r="X89" s="1407"/>
      <c r="Y89" s="1407"/>
      <c r="Z89" s="1407"/>
      <c r="AA89" s="2686"/>
      <c r="AB89" s="3033">
        <f t="shared" si="19"/>
        <v>6.5</v>
      </c>
      <c r="AC89" s="3033"/>
      <c r="AD89" s="3284"/>
      <c r="AE89" s="3033">
        <f>+'Exhibit F'!AF81+'Exhibit G State'!AG65</f>
        <v>5</v>
      </c>
      <c r="AF89" s="3035"/>
      <c r="AG89" s="3035"/>
      <c r="AH89" s="3033">
        <f t="shared" si="15"/>
        <v>1.5</v>
      </c>
      <c r="AI89" s="2992"/>
      <c r="AJ89" s="1781">
        <f>ROUND(SUM(AH89/ABS(AE89)),3)</f>
        <v>0.3</v>
      </c>
    </row>
    <row r="90" spans="1:36" ht="15">
      <c r="A90" s="2401" t="s">
        <v>936</v>
      </c>
      <c r="B90" s="1408"/>
      <c r="C90" s="1407">
        <f>+'Exhibit F'!D82+'Exhibit G State'!D66</f>
        <v>4.9000000000000004</v>
      </c>
      <c r="D90" s="1407"/>
      <c r="E90" s="1407">
        <f>+'Exhibit F'!F82+'Exhibit G State'!F66</f>
        <v>11.200000000000001</v>
      </c>
      <c r="F90" s="1407"/>
      <c r="G90" s="1407"/>
      <c r="H90" s="1407"/>
      <c r="I90" s="1407"/>
      <c r="J90" s="1407"/>
      <c r="K90" s="1407"/>
      <c r="L90" s="1407"/>
      <c r="M90" s="1407"/>
      <c r="N90" s="1407"/>
      <c r="O90" s="1407"/>
      <c r="P90" s="1407"/>
      <c r="Q90" s="1407"/>
      <c r="R90" s="1407"/>
      <c r="S90" s="1407"/>
      <c r="T90" s="1407"/>
      <c r="U90" s="1407"/>
      <c r="V90" s="1407"/>
      <c r="W90" s="1407"/>
      <c r="X90" s="1407"/>
      <c r="Y90" s="1407"/>
      <c r="Z90" s="1407"/>
      <c r="AA90" s="2686"/>
      <c r="AB90" s="3033">
        <f t="shared" si="19"/>
        <v>16.100000000000001</v>
      </c>
      <c r="AC90" s="3033"/>
      <c r="AD90" s="3284"/>
      <c r="AE90" s="3033">
        <f>+'Exhibit F'!AF82+'Exhibit G State'!AG66</f>
        <v>0.2</v>
      </c>
      <c r="AF90" s="3035"/>
      <c r="AG90" s="3035"/>
      <c r="AH90" s="3033">
        <f t="shared" si="15"/>
        <v>15.9</v>
      </c>
      <c r="AI90" s="2992"/>
      <c r="AJ90" s="1781">
        <f>ROUND(SUM(AH90/ABS(AE90)),3)</f>
        <v>79.5</v>
      </c>
    </row>
    <row r="91" spans="1:36" ht="15">
      <c r="A91" s="2401" t="s">
        <v>938</v>
      </c>
      <c r="B91" s="1408"/>
      <c r="C91" s="1407">
        <f>+'Exhibit F'!D83+'Exhibit H'!B45+'Exhibit G State'!D67</f>
        <v>33.4</v>
      </c>
      <c r="D91" s="1407"/>
      <c r="E91" s="1407">
        <f>+'Exhibit F'!F83+'Exhibit H'!D45+'Exhibit G State'!F67</f>
        <v>20.700000000000003</v>
      </c>
      <c r="F91" s="1407"/>
      <c r="G91" s="1407"/>
      <c r="H91" s="1407"/>
      <c r="I91" s="1407"/>
      <c r="J91" s="1407"/>
      <c r="K91" s="1407"/>
      <c r="L91" s="1407"/>
      <c r="M91" s="1407"/>
      <c r="N91" s="1407"/>
      <c r="O91" s="1407"/>
      <c r="P91" s="1407"/>
      <c r="Q91" s="1407"/>
      <c r="R91" s="1407"/>
      <c r="S91" s="1407"/>
      <c r="T91" s="1407"/>
      <c r="U91" s="1407"/>
      <c r="V91" s="1407"/>
      <c r="W91" s="1407"/>
      <c r="X91" s="1407"/>
      <c r="Y91" s="1407"/>
      <c r="Z91" s="1407"/>
      <c r="AA91" s="2686"/>
      <c r="AB91" s="3033">
        <f t="shared" si="19"/>
        <v>54.1</v>
      </c>
      <c r="AC91" s="3033"/>
      <c r="AD91" s="3284"/>
      <c r="AE91" s="3033">
        <f>+'Exhibit F'!AF83+'Exhibit H'!AD45+'Exhibit G State'!AG67</f>
        <v>44</v>
      </c>
      <c r="AF91" s="3035"/>
      <c r="AG91" s="3035"/>
      <c r="AH91" s="3033">
        <f t="shared" si="15"/>
        <v>10.1</v>
      </c>
      <c r="AI91" s="2992"/>
      <c r="AJ91" s="1781">
        <f>ROUND(SUM(AH91/ABS(AE91)),3)</f>
        <v>0.23</v>
      </c>
    </row>
    <row r="92" spans="1:36" ht="15">
      <c r="A92" s="2401" t="s">
        <v>1037</v>
      </c>
      <c r="B92" s="1408"/>
      <c r="C92" s="1407"/>
      <c r="D92" s="1407"/>
      <c r="E92" s="1407"/>
      <c r="F92" s="1407"/>
      <c r="G92" s="1407"/>
      <c r="H92" s="1407"/>
      <c r="I92" s="1407"/>
      <c r="J92" s="1407"/>
      <c r="K92" s="1407"/>
      <c r="L92" s="1407"/>
      <c r="M92" s="1407"/>
      <c r="N92" s="1407"/>
      <c r="O92" s="1407"/>
      <c r="P92" s="1407"/>
      <c r="Q92" s="1407"/>
      <c r="R92" s="1407"/>
      <c r="S92" s="1407"/>
      <c r="T92" s="1407"/>
      <c r="U92" s="1407"/>
      <c r="V92" s="1407"/>
      <c r="W92" s="1407"/>
      <c r="X92" s="1407"/>
      <c r="Y92" s="1407"/>
      <c r="Z92" s="1407"/>
      <c r="AA92" s="2686"/>
      <c r="AB92" s="3033"/>
      <c r="AC92" s="3033"/>
      <c r="AD92" s="3284"/>
      <c r="AE92" s="3033"/>
      <c r="AF92" s="3035"/>
      <c r="AG92" s="3035"/>
      <c r="AH92" s="3033"/>
      <c r="AI92" s="2992"/>
      <c r="AJ92" s="1677"/>
    </row>
    <row r="93" spans="1:36" ht="15">
      <c r="A93" s="2401" t="s">
        <v>939</v>
      </c>
      <c r="B93" s="1408"/>
      <c r="C93" s="1407">
        <f>+'Exhibit F'!D85+'Exhibit G State'!D69</f>
        <v>32.4</v>
      </c>
      <c r="D93" s="1407"/>
      <c r="E93" s="1407">
        <f>+'Exhibit F'!F85+'Exhibit G State'!F69</f>
        <v>9.1000000000000014</v>
      </c>
      <c r="F93" s="1407"/>
      <c r="G93" s="1407"/>
      <c r="H93" s="1407"/>
      <c r="I93" s="1407"/>
      <c r="J93" s="1407"/>
      <c r="K93" s="1407"/>
      <c r="L93" s="1407"/>
      <c r="M93" s="1407"/>
      <c r="N93" s="1407"/>
      <c r="O93" s="1407"/>
      <c r="P93" s="1407"/>
      <c r="Q93" s="1407"/>
      <c r="R93" s="1407"/>
      <c r="S93" s="1407"/>
      <c r="T93" s="1407"/>
      <c r="U93" s="1407"/>
      <c r="V93" s="1407"/>
      <c r="W93" s="1407"/>
      <c r="X93" s="1407"/>
      <c r="Y93" s="1407"/>
      <c r="Z93" s="1407"/>
      <c r="AA93" s="2686"/>
      <c r="AB93" s="3033">
        <f t="shared" ref="AB93:AB104" si="20">ROUND(SUM(C93:Y93),1)</f>
        <v>41.5</v>
      </c>
      <c r="AC93" s="3033"/>
      <c r="AD93" s="3284"/>
      <c r="AE93" s="3033">
        <f>+'Exhibit F'!AF85+'Exhibit G State'!AG69</f>
        <v>55</v>
      </c>
      <c r="AF93" s="3035"/>
      <c r="AG93" s="3035"/>
      <c r="AH93" s="3033">
        <f t="shared" si="15"/>
        <v>-13.5</v>
      </c>
      <c r="AI93" s="2992"/>
      <c r="AJ93" s="1781">
        <f>ROUND(SUM(AH93/ABS(AE93)),3)</f>
        <v>-0.245</v>
      </c>
    </row>
    <row r="94" spans="1:36" ht="15">
      <c r="A94" s="2401" t="s">
        <v>940</v>
      </c>
      <c r="B94" s="1408"/>
      <c r="C94" s="1407">
        <f>+'Exhibit G State'!D70+'Exhibit F'!D86</f>
        <v>6.8999999999999968</v>
      </c>
      <c r="D94" s="1407"/>
      <c r="E94" s="1407">
        <f>+'Exhibit G State'!F70+'Exhibit F'!F86</f>
        <v>0</v>
      </c>
      <c r="F94" s="1407"/>
      <c r="G94" s="1407"/>
      <c r="H94" s="1407"/>
      <c r="I94" s="1407"/>
      <c r="J94" s="1407"/>
      <c r="K94" s="1407"/>
      <c r="L94" s="1407"/>
      <c r="M94" s="1407"/>
      <c r="N94" s="1407"/>
      <c r="O94" s="1407"/>
      <c r="P94" s="1407"/>
      <c r="Q94" s="1407"/>
      <c r="R94" s="1407"/>
      <c r="S94" s="1407"/>
      <c r="T94" s="1407"/>
      <c r="U94" s="1407"/>
      <c r="V94" s="1407"/>
      <c r="W94" s="1407"/>
      <c r="X94" s="1407"/>
      <c r="Y94" s="1407"/>
      <c r="Z94" s="1407"/>
      <c r="AA94" s="2686"/>
      <c r="AB94" s="3033">
        <f t="shared" si="20"/>
        <v>6.9</v>
      </c>
      <c r="AC94" s="3033"/>
      <c r="AD94" s="3284"/>
      <c r="AE94" s="3033">
        <f>+'Exhibit G State'!AG70+'Exhibit F'!AF86</f>
        <v>1.7000000000000002</v>
      </c>
      <c r="AF94" s="3035"/>
      <c r="AG94" s="3035"/>
      <c r="AH94" s="3033">
        <f t="shared" si="15"/>
        <v>5.2</v>
      </c>
      <c r="AI94" s="2992"/>
      <c r="AJ94" s="1682">
        <f>ROUND(IF(AE94=0,1,AH94/ABS(AE94)),3)</f>
        <v>3.0590000000000002</v>
      </c>
    </row>
    <row r="95" spans="1:36" ht="15">
      <c r="A95" s="869" t="s">
        <v>1260</v>
      </c>
      <c r="B95" s="1408"/>
      <c r="C95" s="1407">
        <v>0</v>
      </c>
      <c r="D95" s="1407"/>
      <c r="E95" s="1407">
        <v>0</v>
      </c>
      <c r="F95" s="1407"/>
      <c r="G95" s="1407"/>
      <c r="H95" s="1407"/>
      <c r="I95" s="1407"/>
      <c r="J95" s="1407"/>
      <c r="K95" s="1407"/>
      <c r="L95" s="1407"/>
      <c r="M95" s="1407"/>
      <c r="N95" s="1407"/>
      <c r="O95" s="1407"/>
      <c r="P95" s="1407"/>
      <c r="Q95" s="1407"/>
      <c r="R95" s="1407"/>
      <c r="S95" s="1407"/>
      <c r="T95" s="1407"/>
      <c r="U95" s="1407"/>
      <c r="V95" s="1407"/>
      <c r="W95" s="1407"/>
      <c r="X95" s="1407"/>
      <c r="Y95" s="1407"/>
      <c r="Z95" s="1407"/>
      <c r="AA95" s="2686"/>
      <c r="AB95" s="3033">
        <f t="shared" si="20"/>
        <v>0</v>
      </c>
      <c r="AC95" s="3033"/>
      <c r="AD95" s="3284"/>
      <c r="AE95" s="3033">
        <f>+'Exhibit G State'!AG71</f>
        <v>0</v>
      </c>
      <c r="AF95" s="3035"/>
      <c r="AG95" s="3035"/>
      <c r="AH95" s="3033">
        <f t="shared" si="15"/>
        <v>0</v>
      </c>
      <c r="AI95" s="2992"/>
      <c r="AJ95" s="1677">
        <f>ROUND(IF(AE95=0,0,AH95/ABS(AE95)),3)</f>
        <v>0</v>
      </c>
    </row>
    <row r="96" spans="1:36" ht="15">
      <c r="A96" s="2401" t="s">
        <v>941</v>
      </c>
      <c r="B96" s="1408"/>
      <c r="C96" s="1407">
        <f>+'Exhibit F'!D87+'Exhibit G State'!D72</f>
        <v>2.2999999999999998</v>
      </c>
      <c r="D96" s="1407"/>
      <c r="E96" s="1407">
        <f>+'Exhibit F'!F87+'Exhibit G State'!F72</f>
        <v>0.60000000000000009</v>
      </c>
      <c r="F96" s="1407"/>
      <c r="G96" s="1407"/>
      <c r="H96" s="1407"/>
      <c r="I96" s="1407"/>
      <c r="J96" s="1407"/>
      <c r="K96" s="1407"/>
      <c r="L96" s="1407"/>
      <c r="M96" s="1407"/>
      <c r="N96" s="1407"/>
      <c r="O96" s="1407"/>
      <c r="P96" s="1407"/>
      <c r="Q96" s="1407"/>
      <c r="R96" s="1407"/>
      <c r="S96" s="1407"/>
      <c r="T96" s="1407"/>
      <c r="U96" s="1407"/>
      <c r="V96" s="1407"/>
      <c r="W96" s="1407"/>
      <c r="X96" s="1407"/>
      <c r="Y96" s="1407"/>
      <c r="Z96" s="1407"/>
      <c r="AA96" s="2686"/>
      <c r="AB96" s="3033">
        <f t="shared" si="20"/>
        <v>2.9</v>
      </c>
      <c r="AC96" s="3033"/>
      <c r="AD96" s="3284"/>
      <c r="AE96" s="3033">
        <f>+'Exhibit F'!AF87+'Exhibit G State'!AG72</f>
        <v>1.5</v>
      </c>
      <c r="AF96" s="3035"/>
      <c r="AG96" s="3035"/>
      <c r="AH96" s="3033">
        <f t="shared" si="15"/>
        <v>1.4</v>
      </c>
      <c r="AI96" s="2992"/>
      <c r="AJ96" s="1781">
        <f t="shared" ref="AJ96:AJ103" si="21">ROUND(SUM(AH96/ABS(AE96)),3)</f>
        <v>0.93300000000000005</v>
      </c>
    </row>
    <row r="97" spans="1:45" ht="15">
      <c r="A97" s="2401" t="s">
        <v>942</v>
      </c>
      <c r="B97" s="1408"/>
      <c r="C97" s="1407">
        <f>+'Exhibit F'!D88+'Exhibit G State'!D73</f>
        <v>5.3</v>
      </c>
      <c r="D97" s="1407"/>
      <c r="E97" s="1407">
        <f>+'Exhibit F'!F88+'Exhibit G State'!F73</f>
        <v>6.3</v>
      </c>
      <c r="F97" s="1407"/>
      <c r="G97" s="1407"/>
      <c r="H97" s="1407"/>
      <c r="I97" s="1407"/>
      <c r="J97" s="1407"/>
      <c r="K97" s="1407"/>
      <c r="L97" s="1407"/>
      <c r="M97" s="1407"/>
      <c r="N97" s="1407"/>
      <c r="O97" s="1407"/>
      <c r="P97" s="1407"/>
      <c r="Q97" s="1407"/>
      <c r="R97" s="1407"/>
      <c r="S97" s="1407"/>
      <c r="T97" s="1407"/>
      <c r="U97" s="1407"/>
      <c r="V97" s="1407"/>
      <c r="W97" s="1407"/>
      <c r="X97" s="1407"/>
      <c r="Y97" s="1407"/>
      <c r="Z97" s="1407"/>
      <c r="AA97" s="2686"/>
      <c r="AB97" s="3033">
        <f t="shared" si="20"/>
        <v>11.6</v>
      </c>
      <c r="AC97" s="3033"/>
      <c r="AD97" s="3284"/>
      <c r="AE97" s="3033">
        <f>+'Exhibit F'!AF88+'Exhibit G State'!AG73</f>
        <v>10.6</v>
      </c>
      <c r="AF97" s="3035"/>
      <c r="AG97" s="3035"/>
      <c r="AH97" s="3033">
        <f t="shared" si="15"/>
        <v>1</v>
      </c>
      <c r="AI97" s="2992"/>
      <c r="AJ97" s="1770">
        <f t="shared" si="21"/>
        <v>9.4E-2</v>
      </c>
    </row>
    <row r="98" spans="1:45" ht="15">
      <c r="A98" s="2401" t="s">
        <v>943</v>
      </c>
      <c r="B98" s="1408"/>
      <c r="C98" s="1407">
        <f>+'Exhibit F'!D89+'Exhibit H'!B47+'Exhibit G State'!D74</f>
        <v>268.2</v>
      </c>
      <c r="D98" s="1407"/>
      <c r="E98" s="1407">
        <f>+'Exhibit F'!F89+'Exhibit H'!D47+'Exhibit G State'!F74</f>
        <v>234.7</v>
      </c>
      <c r="F98" s="1407"/>
      <c r="G98" s="1407"/>
      <c r="H98" s="1407"/>
      <c r="I98" s="1407"/>
      <c r="J98" s="1407"/>
      <c r="K98" s="1407"/>
      <c r="L98" s="1407"/>
      <c r="M98" s="1407"/>
      <c r="N98" s="1407"/>
      <c r="O98" s="1407"/>
      <c r="P98" s="1407"/>
      <c r="Q98" s="1407"/>
      <c r="R98" s="1407"/>
      <c r="S98" s="1407"/>
      <c r="T98" s="1407"/>
      <c r="U98" s="1407"/>
      <c r="V98" s="1407"/>
      <c r="W98" s="1407"/>
      <c r="X98" s="1407"/>
      <c r="Y98" s="1407"/>
      <c r="Z98" s="1407"/>
      <c r="AA98" s="2686"/>
      <c r="AB98" s="3033">
        <f t="shared" si="20"/>
        <v>502.9</v>
      </c>
      <c r="AC98" s="3033"/>
      <c r="AD98" s="3284"/>
      <c r="AE98" s="3033">
        <f>+'Exhibit F'!AF89+'Exhibit H'!AD47+'Exhibit G State'!AG74</f>
        <v>519.4</v>
      </c>
      <c r="AF98" s="3035"/>
      <c r="AG98" s="3035"/>
      <c r="AH98" s="3033">
        <f t="shared" si="15"/>
        <v>-16.5</v>
      </c>
      <c r="AI98" s="2992"/>
      <c r="AJ98" s="1770">
        <f t="shared" si="21"/>
        <v>-3.2000000000000001E-2</v>
      </c>
    </row>
    <row r="99" spans="1:45" ht="15">
      <c r="A99" s="2401" t="s">
        <v>944</v>
      </c>
      <c r="B99" s="1408"/>
      <c r="C99" s="1407">
        <f>+'Exhibit G State'!D75+'Exhibit F'!D90</f>
        <v>2.4</v>
      </c>
      <c r="D99" s="1407"/>
      <c r="E99" s="1407">
        <f>+'Exhibit G State'!F75+'Exhibit F'!F90</f>
        <v>2</v>
      </c>
      <c r="F99" s="1407"/>
      <c r="G99" s="1407"/>
      <c r="H99" s="1407"/>
      <c r="I99" s="1407"/>
      <c r="J99" s="1407"/>
      <c r="K99" s="1407"/>
      <c r="L99" s="1407"/>
      <c r="M99" s="1407"/>
      <c r="N99" s="1407"/>
      <c r="O99" s="1407"/>
      <c r="P99" s="1407"/>
      <c r="Q99" s="1407"/>
      <c r="R99" s="1407"/>
      <c r="S99" s="1407"/>
      <c r="T99" s="1407"/>
      <c r="U99" s="1407"/>
      <c r="V99" s="1407"/>
      <c r="W99" s="1407"/>
      <c r="X99" s="1407"/>
      <c r="Y99" s="1407"/>
      <c r="Z99" s="1407"/>
      <c r="AA99" s="2686"/>
      <c r="AB99" s="3033">
        <f t="shared" si="20"/>
        <v>4.4000000000000004</v>
      </c>
      <c r="AC99" s="3033"/>
      <c r="AD99" s="3284"/>
      <c r="AE99" s="3033">
        <f>+'Exhibit G State'!AG75+'Exhibit F'!AF90</f>
        <v>6.8000000000000007</v>
      </c>
      <c r="AF99" s="3035"/>
      <c r="AG99" s="3035"/>
      <c r="AH99" s="3033">
        <f t="shared" si="15"/>
        <v>-2.4</v>
      </c>
      <c r="AI99" s="2992"/>
      <c r="AJ99" s="1770">
        <f>ROUND(SUM(AH99/ABS(AE99)),3)</f>
        <v>-0.35299999999999998</v>
      </c>
    </row>
    <row r="100" spans="1:45" ht="15">
      <c r="A100" s="2401" t="s">
        <v>945</v>
      </c>
      <c r="B100" s="1408"/>
      <c r="C100" s="1407">
        <f>+'Exhibit F'!D91+'Exhibit G State'!D76</f>
        <v>7.5</v>
      </c>
      <c r="D100" s="1407"/>
      <c r="E100" s="1407">
        <f>+'Exhibit F'!F91+'Exhibit G State'!F76</f>
        <v>1.1999999999999993</v>
      </c>
      <c r="F100" s="1407"/>
      <c r="G100" s="1407"/>
      <c r="H100" s="1407"/>
      <c r="I100" s="1407"/>
      <c r="J100" s="1407"/>
      <c r="K100" s="1407"/>
      <c r="L100" s="1407"/>
      <c r="M100" s="1407"/>
      <c r="N100" s="1407"/>
      <c r="O100" s="1407"/>
      <c r="P100" s="1407"/>
      <c r="Q100" s="1407"/>
      <c r="R100" s="1407"/>
      <c r="S100" s="1407"/>
      <c r="T100" s="1407"/>
      <c r="U100" s="1407"/>
      <c r="V100" s="1407"/>
      <c r="W100" s="1407"/>
      <c r="X100" s="1407"/>
      <c r="Y100" s="1407"/>
      <c r="Z100" s="1407"/>
      <c r="AA100" s="2686"/>
      <c r="AB100" s="3033">
        <f t="shared" si="20"/>
        <v>8.6999999999999993</v>
      </c>
      <c r="AC100" s="3033"/>
      <c r="AD100" s="3284"/>
      <c r="AE100" s="3033">
        <f>+'Exhibit F'!AF91+'Exhibit G State'!AG76</f>
        <v>11</v>
      </c>
      <c r="AF100" s="3035"/>
      <c r="AG100" s="3035"/>
      <c r="AH100" s="3033">
        <f t="shared" si="15"/>
        <v>-2.2999999999999998</v>
      </c>
      <c r="AI100" s="2992"/>
      <c r="AJ100" s="1781">
        <f t="shared" si="21"/>
        <v>-0.20899999999999999</v>
      </c>
    </row>
    <row r="101" spans="1:45" ht="15">
      <c r="A101" s="2401" t="s">
        <v>946</v>
      </c>
      <c r="B101" s="1408"/>
      <c r="C101" s="1407">
        <f>+'Exhibit F'!D92+'Exhibit G State'!D77</f>
        <v>1.9</v>
      </c>
      <c r="D101" s="1407"/>
      <c r="E101" s="1407">
        <f>+'Exhibit F'!F92+'Exhibit G State'!F77</f>
        <v>1.4</v>
      </c>
      <c r="F101" s="1407"/>
      <c r="G101" s="1407"/>
      <c r="H101" s="1407"/>
      <c r="I101" s="1407"/>
      <c r="J101" s="1407"/>
      <c r="K101" s="1407"/>
      <c r="L101" s="1407"/>
      <c r="M101" s="1407"/>
      <c r="N101" s="1407"/>
      <c r="O101" s="1407"/>
      <c r="P101" s="1407"/>
      <c r="Q101" s="1407"/>
      <c r="R101" s="1407"/>
      <c r="S101" s="1407"/>
      <c r="T101" s="1407"/>
      <c r="U101" s="1407"/>
      <c r="V101" s="1407"/>
      <c r="W101" s="1407"/>
      <c r="X101" s="1407"/>
      <c r="Y101" s="1407"/>
      <c r="Z101" s="1407"/>
      <c r="AA101" s="2686"/>
      <c r="AB101" s="3033">
        <f t="shared" si="20"/>
        <v>3.3</v>
      </c>
      <c r="AC101" s="3033"/>
      <c r="AD101" s="3284"/>
      <c r="AE101" s="3033">
        <f>+'Exhibit F'!AF92+'Exhibit G State'!AG77</f>
        <v>8</v>
      </c>
      <c r="AF101" s="3035"/>
      <c r="AG101" s="3035"/>
      <c r="AH101" s="3033">
        <f t="shared" si="15"/>
        <v>-4.7</v>
      </c>
      <c r="AI101" s="2992"/>
      <c r="AJ101" s="1770">
        <f t="shared" si="21"/>
        <v>-0.58799999999999997</v>
      </c>
    </row>
    <row r="102" spans="1:45" ht="15">
      <c r="A102" s="2401" t="s">
        <v>947</v>
      </c>
      <c r="B102" s="1408"/>
      <c r="C102" s="1407">
        <f>+'Exhibit F'!D93+'Exhibit G State'!D78+'Exhibit H'!B48</f>
        <v>101.9</v>
      </c>
      <c r="D102" s="1407"/>
      <c r="E102" s="1407">
        <f>+'Exhibit F'!F93+'Exhibit G State'!F78+'Exhibit H'!D48</f>
        <v>66.399999999999991</v>
      </c>
      <c r="F102" s="1407"/>
      <c r="G102" s="1407"/>
      <c r="H102" s="1407"/>
      <c r="I102" s="1407"/>
      <c r="J102" s="1407"/>
      <c r="K102" s="1407"/>
      <c r="L102" s="1407"/>
      <c r="M102" s="1407"/>
      <c r="N102" s="1407"/>
      <c r="O102" s="1407"/>
      <c r="P102" s="1407"/>
      <c r="Q102" s="1407"/>
      <c r="R102" s="1407"/>
      <c r="S102" s="1407"/>
      <c r="T102" s="1407"/>
      <c r="U102" s="1407"/>
      <c r="V102" s="1407"/>
      <c r="W102" s="1407"/>
      <c r="X102" s="1407"/>
      <c r="Y102" s="1407"/>
      <c r="Z102" s="1407"/>
      <c r="AA102" s="2686"/>
      <c r="AB102" s="3033">
        <f t="shared" si="20"/>
        <v>168.3</v>
      </c>
      <c r="AC102" s="3033"/>
      <c r="AD102" s="3284"/>
      <c r="AE102" s="3033">
        <f>+'Exhibit F'!AF93+'Exhibit G State'!AG78+'Exhibit H'!AD48</f>
        <v>144.9</v>
      </c>
      <c r="AF102" s="3035"/>
      <c r="AG102" s="3035"/>
      <c r="AH102" s="3033">
        <f t="shared" si="15"/>
        <v>23.4</v>
      </c>
      <c r="AI102" s="2992"/>
      <c r="AJ102" s="1781">
        <f t="shared" si="21"/>
        <v>0.161</v>
      </c>
    </row>
    <row r="103" spans="1:45" ht="15">
      <c r="A103" s="2401" t="s">
        <v>948</v>
      </c>
      <c r="B103" s="1408"/>
      <c r="C103" s="1407">
        <f>+'Exhibit F'!D94+'Exhibit G State'!D79+'Exhibit H'!B49</f>
        <v>0.70000000000000007</v>
      </c>
      <c r="D103" s="1407"/>
      <c r="E103" s="1407">
        <f>+'Exhibit F'!F94+'Exhibit G State'!F79+'Exhibit H'!D49</f>
        <v>1.4000000000000001</v>
      </c>
      <c r="F103" s="1407"/>
      <c r="G103" s="1407"/>
      <c r="H103" s="1407"/>
      <c r="I103" s="1407"/>
      <c r="J103" s="1407"/>
      <c r="K103" s="1407"/>
      <c r="L103" s="1407"/>
      <c r="M103" s="1407"/>
      <c r="N103" s="1407"/>
      <c r="O103" s="1407"/>
      <c r="P103" s="1407"/>
      <c r="Q103" s="1407"/>
      <c r="R103" s="1407"/>
      <c r="S103" s="1407"/>
      <c r="T103" s="1407"/>
      <c r="U103" s="1407"/>
      <c r="V103" s="1407"/>
      <c r="W103" s="1407"/>
      <c r="X103" s="1407"/>
      <c r="Y103" s="1407"/>
      <c r="Z103" s="1407"/>
      <c r="AA103" s="2686"/>
      <c r="AB103" s="3033">
        <f t="shared" si="20"/>
        <v>2.1</v>
      </c>
      <c r="AC103" s="3033"/>
      <c r="AD103" s="3284"/>
      <c r="AE103" s="3033">
        <f>+'Exhibit F'!AF94+'Exhibit G State'!AG79+'Exhibit H'!AD49</f>
        <v>2.8000000000000003</v>
      </c>
      <c r="AF103" s="3035"/>
      <c r="AG103" s="3035"/>
      <c r="AH103" s="3033">
        <f t="shared" si="15"/>
        <v>-0.7</v>
      </c>
      <c r="AI103" s="2992"/>
      <c r="AJ103" s="1770">
        <f t="shared" si="21"/>
        <v>-0.25</v>
      </c>
    </row>
    <row r="104" spans="1:45" ht="15">
      <c r="A104" s="2401" t="s">
        <v>949</v>
      </c>
      <c r="B104" s="1408"/>
      <c r="C104" s="1407">
        <f>+'Exhibit G State'!D80</f>
        <v>36.700000000000003</v>
      </c>
      <c r="D104" s="1407"/>
      <c r="E104" s="1407">
        <f>+'Exhibit G State'!F80</f>
        <v>-26.1</v>
      </c>
      <c r="F104" s="1407"/>
      <c r="G104" s="1407"/>
      <c r="H104" s="1407"/>
      <c r="I104" s="1407"/>
      <c r="J104" s="1407"/>
      <c r="K104" s="1407"/>
      <c r="L104" s="1407"/>
      <c r="M104" s="1407"/>
      <c r="N104" s="1407"/>
      <c r="O104" s="1407"/>
      <c r="P104" s="1407"/>
      <c r="Q104" s="1407"/>
      <c r="R104" s="1407"/>
      <c r="S104" s="1407"/>
      <c r="T104" s="1407"/>
      <c r="U104" s="1407"/>
      <c r="V104" s="1407"/>
      <c r="W104" s="1407"/>
      <c r="X104" s="1407"/>
      <c r="Y104" s="1407"/>
      <c r="Z104" s="1407"/>
      <c r="AA104" s="2686"/>
      <c r="AB104" s="3033">
        <f t="shared" si="20"/>
        <v>10.6</v>
      </c>
      <c r="AC104" s="3033"/>
      <c r="AD104" s="3284"/>
      <c r="AE104" s="3033">
        <f>+'Exhibit G State'!AG80</f>
        <v>-34.1</v>
      </c>
      <c r="AF104" s="3035"/>
      <c r="AG104" s="3035"/>
      <c r="AH104" s="3033">
        <f t="shared" si="15"/>
        <v>44.7</v>
      </c>
      <c r="AI104" s="2992"/>
      <c r="AJ104" s="1770">
        <f>ROUND(SUM(AH104/ABS(AE104)),3)</f>
        <v>1.3109999999999999</v>
      </c>
    </row>
    <row r="105" spans="1:45" ht="15.75">
      <c r="A105" s="2389" t="s">
        <v>982</v>
      </c>
      <c r="B105" s="2344"/>
      <c r="C105" s="1985">
        <f>ROUND(SUM(C63:C104),1)</f>
        <v>1718</v>
      </c>
      <c r="D105" s="2405"/>
      <c r="E105" s="1985">
        <f>ROUND(SUM(E63:E104),1)</f>
        <v>1438.2</v>
      </c>
      <c r="F105" s="2405"/>
      <c r="G105" s="1985">
        <f>ROUND(SUM(G63:G104),1)</f>
        <v>0</v>
      </c>
      <c r="H105" s="1429"/>
      <c r="I105" s="1985">
        <f>ROUND(SUM(I63:I104),1)</f>
        <v>0</v>
      </c>
      <c r="J105" s="1429"/>
      <c r="K105" s="1985">
        <f>ROUND(SUM(K63:K104),1)</f>
        <v>0</v>
      </c>
      <c r="L105" s="1429"/>
      <c r="M105" s="1985">
        <f>ROUND(SUM(M63:M104),1)</f>
        <v>0</v>
      </c>
      <c r="N105" s="1429"/>
      <c r="O105" s="1428">
        <f>ROUND(SUM(O63:O104),1)</f>
        <v>0</v>
      </c>
      <c r="P105" s="1429"/>
      <c r="Q105" s="1985">
        <f>ROUND(SUM(Q63:Q104),1)</f>
        <v>0</v>
      </c>
      <c r="R105" s="1429"/>
      <c r="S105" s="1985">
        <f>ROUND(SUM(S63:S104),1)</f>
        <v>0</v>
      </c>
      <c r="T105" s="1429"/>
      <c r="U105" s="1985">
        <f>ROUND(SUM(U63:U104),1)</f>
        <v>0</v>
      </c>
      <c r="V105" s="1429"/>
      <c r="W105" s="1985">
        <f>ROUND(SUM(W63:W104),1)</f>
        <v>0</v>
      </c>
      <c r="X105" s="1953"/>
      <c r="Y105" s="1985">
        <f>ROUND(SUM(Y63:Y104),1)</f>
        <v>0</v>
      </c>
      <c r="Z105" s="1953"/>
      <c r="AA105" s="1988"/>
      <c r="AB105" s="1428">
        <f>ROUND(SUM(AB63:AB104),1)</f>
        <v>3156.2</v>
      </c>
      <c r="AC105" s="1993"/>
      <c r="AD105" s="2469"/>
      <c r="AE105" s="1428">
        <f>ROUND(SUM(AE63:AE104),1)</f>
        <v>2967.7</v>
      </c>
      <c r="AF105" s="1430"/>
      <c r="AG105" s="3249"/>
      <c r="AH105" s="1428">
        <f>ROUND(SUM(AH63:AH104),1)</f>
        <v>188.5</v>
      </c>
      <c r="AI105" s="1430"/>
      <c r="AJ105" s="1772">
        <f>ROUND(SUM(+AH105/ABS(AE105)),3)</f>
        <v>6.4000000000000001E-2</v>
      </c>
    </row>
    <row r="106" spans="1:45" ht="15">
      <c r="A106" s="1408"/>
      <c r="B106" s="1408"/>
      <c r="C106" s="1407"/>
      <c r="D106" s="1407"/>
      <c r="E106" s="1407"/>
      <c r="F106" s="1407"/>
      <c r="G106" s="1407"/>
      <c r="H106" s="1407"/>
      <c r="I106" s="1407"/>
      <c r="J106" s="1407"/>
      <c r="K106" s="1407"/>
      <c r="L106" s="1407"/>
      <c r="M106" s="1407"/>
      <c r="N106" s="1407"/>
      <c r="O106" s="3033"/>
      <c r="P106" s="1407"/>
      <c r="Q106" s="1407"/>
      <c r="R106" s="1407"/>
      <c r="S106" s="1407"/>
      <c r="T106" s="1407"/>
      <c r="U106" s="1407"/>
      <c r="V106" s="1407"/>
      <c r="W106" s="1407"/>
      <c r="X106" s="1407"/>
      <c r="Y106" s="1407"/>
      <c r="Z106" s="1407"/>
      <c r="AA106" s="2685"/>
      <c r="AB106" s="3033"/>
      <c r="AC106" s="3035"/>
      <c r="AD106" s="3286"/>
      <c r="AE106" s="3033"/>
      <c r="AF106" s="3035"/>
      <c r="AG106" s="3035"/>
      <c r="AH106" s="3033"/>
      <c r="AI106" s="2992"/>
      <c r="AJ106" s="1770"/>
    </row>
    <row r="107" spans="1:45" ht="15">
      <c r="A107" s="1408" t="s">
        <v>20</v>
      </c>
      <c r="B107" s="1408"/>
      <c r="C107" s="2687">
        <f>+'Exhibit F'!D97+'Exhibit G State'!D83+'Exhibit H'!B52</f>
        <v>0</v>
      </c>
      <c r="D107" s="1407"/>
      <c r="E107" s="2687">
        <f>+'Exhibit F'!F97+'Exhibit G State'!F83+'Exhibit H'!D52</f>
        <v>0.2</v>
      </c>
      <c r="F107" s="1407"/>
      <c r="G107" s="2687"/>
      <c r="H107" s="1407"/>
      <c r="I107" s="2687"/>
      <c r="J107" s="1407"/>
      <c r="K107" s="2687"/>
      <c r="L107" s="1407"/>
      <c r="M107" s="2687"/>
      <c r="N107" s="1407"/>
      <c r="O107" s="2687"/>
      <c r="P107" s="1407"/>
      <c r="Q107" s="2687"/>
      <c r="R107" s="1407"/>
      <c r="S107" s="2687"/>
      <c r="T107" s="1407"/>
      <c r="U107" s="2687"/>
      <c r="V107" s="1407"/>
      <c r="W107" s="2687"/>
      <c r="X107" s="1407"/>
      <c r="Y107" s="2687"/>
      <c r="Z107" s="1407"/>
      <c r="AA107" s="2686"/>
      <c r="AB107" s="3036">
        <f>ROUND(SUM(C107:Y107),1)</f>
        <v>0.2</v>
      </c>
      <c r="AC107" s="3033"/>
      <c r="AD107" s="3284"/>
      <c r="AE107" s="3036">
        <f>'Exhibit F'!AF97+'Exhibit G State'!AG83+'Exhibit H'!AD52</f>
        <v>0.2</v>
      </c>
      <c r="AF107" s="3035"/>
      <c r="AG107" s="3035"/>
      <c r="AH107" s="3036">
        <f>ROUND(SUM(AB107-AE107),1)</f>
        <v>0</v>
      </c>
      <c r="AI107" s="2992"/>
      <c r="AJ107" s="3250">
        <f>ROUND(IF(AE107=0,1,AH107/ABS(AE107)),3)</f>
        <v>0</v>
      </c>
    </row>
    <row r="108" spans="1:45" ht="15">
      <c r="A108" s="1408"/>
      <c r="B108" s="1408"/>
      <c r="C108" s="1407"/>
      <c r="D108" s="1407"/>
      <c r="E108" s="1407"/>
      <c r="F108" s="1407"/>
      <c r="G108" s="1407"/>
      <c r="H108" s="1407"/>
      <c r="I108" s="1407"/>
      <c r="J108" s="1407"/>
      <c r="K108" s="1407"/>
      <c r="L108" s="1407"/>
      <c r="M108" s="1407"/>
      <c r="N108" s="1407"/>
      <c r="O108" s="3033"/>
      <c r="P108" s="1407"/>
      <c r="Q108" s="1407"/>
      <c r="R108" s="1407"/>
      <c r="S108" s="1407"/>
      <c r="T108" s="1407"/>
      <c r="U108" s="1407"/>
      <c r="V108" s="1407"/>
      <c r="W108" s="1407"/>
      <c r="X108" s="1407"/>
      <c r="Y108" s="1407"/>
      <c r="Z108" s="1407"/>
      <c r="AA108" s="2686"/>
      <c r="AB108" s="3033"/>
      <c r="AC108" s="3033"/>
      <c r="AD108" s="3284"/>
      <c r="AE108" s="3033"/>
      <c r="AF108" s="3035"/>
      <c r="AG108" s="3035"/>
      <c r="AH108" s="3033"/>
      <c r="AI108" s="2992"/>
      <c r="AJ108" s="3251"/>
    </row>
    <row r="109" spans="1:45" ht="15.75">
      <c r="A109" s="2343" t="s">
        <v>147</v>
      </c>
      <c r="B109" s="1965"/>
      <c r="C109" s="1963">
        <f>ROUND(SUM(C107+C105+C59),1)</f>
        <v>19765.900000000001</v>
      </c>
      <c r="D109" s="1429"/>
      <c r="E109" s="1963">
        <f>ROUND(SUM(E107+E105+E59),1)</f>
        <v>6098.6</v>
      </c>
      <c r="F109" s="1429"/>
      <c r="G109" s="1963">
        <f>ROUND(SUM(G107+G105+G59),1)</f>
        <v>0</v>
      </c>
      <c r="H109" s="1429"/>
      <c r="I109" s="1963">
        <f>ROUND(SUM(I107+I105+I59),1)</f>
        <v>0</v>
      </c>
      <c r="J109" s="1429"/>
      <c r="K109" s="1963">
        <f>ROUND(SUM(K107+K105+K59),1)</f>
        <v>0</v>
      </c>
      <c r="L109" s="1429"/>
      <c r="M109" s="1963">
        <f>ROUND(SUM(M107+M105+M59),1)</f>
        <v>0</v>
      </c>
      <c r="N109" s="1429"/>
      <c r="O109" s="1517">
        <f>ROUND(SUM(O107+O105+O59),1)</f>
        <v>0</v>
      </c>
      <c r="P109" s="1429"/>
      <c r="Q109" s="1963">
        <f>ROUND(SUM(Q107+Q105+Q59),1)</f>
        <v>0</v>
      </c>
      <c r="R109" s="1429"/>
      <c r="S109" s="1963">
        <f>ROUND(SUM(S107+S105+S59),1)</f>
        <v>0</v>
      </c>
      <c r="T109" s="1429"/>
      <c r="U109" s="1963">
        <f>ROUND(SUM(U107+U105+U59),1)</f>
        <v>0</v>
      </c>
      <c r="V109" s="1429"/>
      <c r="W109" s="1963">
        <f>ROUND(SUM(W107+W105+W59),1)</f>
        <v>0</v>
      </c>
      <c r="X109" s="1953"/>
      <c r="Y109" s="1963">
        <f>ROUND(SUM(Y107+Y105+Y59),1)</f>
        <v>0</v>
      </c>
      <c r="Z109" s="2688"/>
      <c r="AA109" s="2352"/>
      <c r="AB109" s="1517">
        <f>ROUND(SUM(AB107+AB105+AB59),1)</f>
        <v>25864.5</v>
      </c>
      <c r="AC109" s="1993"/>
      <c r="AD109" s="2469"/>
      <c r="AE109" s="1517">
        <f>ROUND(SUM(AE107+AE105+AE59),1)</f>
        <v>23690.1</v>
      </c>
      <c r="AF109" s="1430"/>
      <c r="AG109" s="3249"/>
      <c r="AH109" s="1517">
        <f>ROUND(SUM(AH107+AH105+AH59),1)</f>
        <v>2174.4</v>
      </c>
      <c r="AI109" s="1430"/>
      <c r="AJ109" s="3248">
        <f>ROUND(SUM(+AH109/ABS(AE109)),3)</f>
        <v>9.1999999999999998E-2</v>
      </c>
      <c r="AK109" s="2680"/>
      <c r="AL109" s="2680"/>
      <c r="AM109" s="2680"/>
      <c r="AN109" s="2680"/>
      <c r="AO109" s="2680"/>
      <c r="AP109" s="2680"/>
      <c r="AQ109" s="2680"/>
      <c r="AR109" s="2680"/>
      <c r="AS109" s="2680"/>
    </row>
    <row r="110" spans="1:45" ht="15.75">
      <c r="A110" s="1953"/>
      <c r="B110" s="1408"/>
      <c r="C110" s="2689"/>
      <c r="D110" s="1407"/>
      <c r="E110" s="2689"/>
      <c r="F110" s="1407"/>
      <c r="G110" s="2689"/>
      <c r="H110" s="1407"/>
      <c r="I110" s="2689"/>
      <c r="J110" s="1407"/>
      <c r="K110" s="2689"/>
      <c r="L110" s="1407"/>
      <c r="M110" s="2689"/>
      <c r="N110" s="1407"/>
      <c r="O110" s="2475"/>
      <c r="P110" s="1407"/>
      <c r="Q110" s="2689"/>
      <c r="R110" s="1407"/>
      <c r="S110" s="2689"/>
      <c r="T110" s="1407"/>
      <c r="U110" s="2689"/>
      <c r="V110" s="1407"/>
      <c r="W110" s="2689"/>
      <c r="X110" s="1407"/>
      <c r="Y110" s="2689"/>
      <c r="Z110" s="1407"/>
      <c r="AA110" s="2686"/>
      <c r="AB110" s="2475"/>
      <c r="AC110" s="3033"/>
      <c r="AD110" s="3284"/>
      <c r="AE110" s="2475"/>
      <c r="AF110" s="3035"/>
      <c r="AG110" s="3035"/>
      <c r="AH110" s="1943"/>
      <c r="AI110" s="2992"/>
      <c r="AJ110" s="3246"/>
    </row>
    <row r="111" spans="1:45" ht="15.75">
      <c r="A111" s="1953" t="s">
        <v>22</v>
      </c>
      <c r="B111" s="1408"/>
      <c r="C111" s="2684"/>
      <c r="D111" s="1407"/>
      <c r="E111" s="2684"/>
      <c r="F111" s="1407"/>
      <c r="G111" s="2684"/>
      <c r="H111" s="1407"/>
      <c r="I111" s="2684"/>
      <c r="J111" s="1407"/>
      <c r="K111" s="2684"/>
      <c r="L111" s="1407"/>
      <c r="M111" s="2684"/>
      <c r="N111" s="1407"/>
      <c r="O111" s="3035"/>
      <c r="P111" s="1407"/>
      <c r="Q111" s="2684"/>
      <c r="R111" s="1407"/>
      <c r="S111" s="2684"/>
      <c r="T111" s="1407"/>
      <c r="U111" s="2684"/>
      <c r="V111" s="1407"/>
      <c r="W111" s="2684"/>
      <c r="X111" s="1407"/>
      <c r="Y111" s="2684"/>
      <c r="Z111" s="1407"/>
      <c r="AA111" s="2686"/>
      <c r="AB111" s="3035"/>
      <c r="AC111" s="3033"/>
      <c r="AD111" s="3284"/>
      <c r="AE111" s="3035"/>
      <c r="AF111" s="3035"/>
      <c r="AG111" s="3035"/>
      <c r="AH111" s="1943"/>
      <c r="AI111" s="2992"/>
      <c r="AJ111" s="3246"/>
    </row>
    <row r="112" spans="1:45" ht="15">
      <c r="A112" s="1408" t="s">
        <v>135</v>
      </c>
      <c r="B112" s="1408"/>
      <c r="C112" s="1407"/>
      <c r="D112" s="1407"/>
      <c r="E112" s="1407"/>
      <c r="F112" s="1407"/>
      <c r="G112" s="1407"/>
      <c r="H112" s="1407"/>
      <c r="I112" s="1407"/>
      <c r="J112" s="1407"/>
      <c r="K112" s="1407"/>
      <c r="L112" s="1407"/>
      <c r="M112" s="1407"/>
      <c r="N112" s="1407"/>
      <c r="O112" s="3033"/>
      <c r="P112" s="1407"/>
      <c r="Q112" s="1407"/>
      <c r="R112" s="1407"/>
      <c r="S112" s="1407"/>
      <c r="T112" s="1407"/>
      <c r="U112" s="1407"/>
      <c r="V112" s="1407"/>
      <c r="W112" s="1407"/>
      <c r="X112" s="1407"/>
      <c r="Y112" s="1407"/>
      <c r="Z112" s="1407"/>
      <c r="AA112" s="2686"/>
      <c r="AB112" s="3033"/>
      <c r="AC112" s="3033"/>
      <c r="AD112" s="3284"/>
      <c r="AE112" s="1943"/>
      <c r="AF112" s="3035"/>
      <c r="AG112" s="3035"/>
      <c r="AH112" s="3033"/>
      <c r="AI112" s="2992"/>
      <c r="AJ112" s="1770"/>
    </row>
    <row r="113" spans="1:38" ht="15">
      <c r="A113" s="2690" t="s">
        <v>24</v>
      </c>
      <c r="B113" s="1408"/>
      <c r="C113" s="1407">
        <f>+'Exhibit F'!D103+'Exhibit G State'!D89</f>
        <v>1436</v>
      </c>
      <c r="D113" s="1407"/>
      <c r="E113" s="1407">
        <f>+'Exhibit F'!F103+'Exhibit G State'!F89</f>
        <v>4347.1000000000004</v>
      </c>
      <c r="F113" s="1407"/>
      <c r="G113" s="1407"/>
      <c r="H113" s="1407"/>
      <c r="I113" s="1407"/>
      <c r="J113" s="1407"/>
      <c r="K113" s="1407"/>
      <c r="L113" s="1407"/>
      <c r="M113" s="1407"/>
      <c r="N113" s="1407"/>
      <c r="O113" s="1407"/>
      <c r="P113" s="1407"/>
      <c r="Q113" s="1407"/>
      <c r="R113" s="1407"/>
      <c r="S113" s="1407"/>
      <c r="T113" s="1407"/>
      <c r="U113" s="1407"/>
      <c r="V113" s="1407"/>
      <c r="W113" s="1407"/>
      <c r="X113" s="1407"/>
      <c r="Y113" s="1407"/>
      <c r="Z113" s="1407"/>
      <c r="AA113" s="2686"/>
      <c r="AB113" s="1943">
        <f>ROUND(SUM(C113:Y113),1)</f>
        <v>5783.1</v>
      </c>
      <c r="AC113" s="3033"/>
      <c r="AD113" s="3284"/>
      <c r="AE113" s="1943">
        <f>+'Exhibit F'!AF103+'Exhibit G State'!AG89</f>
        <v>4420.6000000000004</v>
      </c>
      <c r="AF113" s="3035"/>
      <c r="AG113" s="3035"/>
      <c r="AH113" s="3033">
        <f>ROUND(SUM(AB113-AE113),1)</f>
        <v>1362.5</v>
      </c>
      <c r="AI113" s="2992"/>
      <c r="AJ113" s="1770">
        <f>ROUND(SUM(AH113/ABS(AE113)),3)</f>
        <v>0.308</v>
      </c>
    </row>
    <row r="114" spans="1:38" ht="15">
      <c r="A114" s="2690" t="s">
        <v>25</v>
      </c>
      <c r="B114" s="1408"/>
      <c r="C114" s="1407">
        <f>+'Exhibit F'!D104+'Exhibit G State'!D90</f>
        <v>0.1</v>
      </c>
      <c r="D114" s="1407"/>
      <c r="E114" s="1407">
        <f>+'Exhibit F'!F104+'Exhibit G State'!F90</f>
        <v>0.2</v>
      </c>
      <c r="F114" s="1407"/>
      <c r="G114" s="1407"/>
      <c r="H114" s="1407"/>
      <c r="I114" s="1407"/>
      <c r="J114" s="1407"/>
      <c r="K114" s="1407"/>
      <c r="L114" s="1407"/>
      <c r="M114" s="1407"/>
      <c r="N114" s="1407"/>
      <c r="O114" s="1407"/>
      <c r="P114" s="1407"/>
      <c r="Q114" s="1407"/>
      <c r="R114" s="1407"/>
      <c r="S114" s="1407"/>
      <c r="T114" s="1407"/>
      <c r="U114" s="1407"/>
      <c r="V114" s="1407"/>
      <c r="W114" s="1407"/>
      <c r="X114" s="1407"/>
      <c r="Y114" s="1407"/>
      <c r="Z114" s="1407"/>
      <c r="AA114" s="2686"/>
      <c r="AB114" s="1943">
        <f t="shared" ref="AB114:AB121" si="22">ROUND(SUM(C114:Y114),1)</f>
        <v>0.3</v>
      </c>
      <c r="AC114" s="3033"/>
      <c r="AD114" s="3284"/>
      <c r="AE114" s="1943">
        <f>+'Exhibit F'!AF104+'Exhibit G State'!AG90</f>
        <v>2</v>
      </c>
      <c r="AF114" s="3035"/>
      <c r="AG114" s="3035"/>
      <c r="AH114" s="3033">
        <f t="shared" ref="AH114:AH121" si="23">ROUND(SUM(AB114-AE114),1)</f>
        <v>-1.7</v>
      </c>
      <c r="AI114" s="2992"/>
      <c r="AJ114" s="1781">
        <f>ROUND(IF(AE114=0,1,AH114/ABS(AE114)),3)</f>
        <v>-0.85</v>
      </c>
    </row>
    <row r="115" spans="1:38" ht="15">
      <c r="A115" s="2690" t="s">
        <v>26</v>
      </c>
      <c r="B115" s="1408"/>
      <c r="C115" s="1407">
        <f>+'Exhibit F'!D105+'Exhibit G State'!D91</f>
        <v>141.80000000000001</v>
      </c>
      <c r="D115" s="1407"/>
      <c r="E115" s="1407">
        <f>+'Exhibit F'!F105+'Exhibit G State'!F91</f>
        <v>71.999999999999986</v>
      </c>
      <c r="F115" s="1407"/>
      <c r="G115" s="1407"/>
      <c r="H115" s="1407"/>
      <c r="I115" s="1407"/>
      <c r="J115" s="1407"/>
      <c r="K115" s="1407"/>
      <c r="L115" s="1407"/>
      <c r="M115" s="1407"/>
      <c r="N115" s="1407"/>
      <c r="O115" s="1407"/>
      <c r="P115" s="1407"/>
      <c r="Q115" s="1407"/>
      <c r="R115" s="1407"/>
      <c r="S115" s="1407"/>
      <c r="T115" s="1407"/>
      <c r="U115" s="1407"/>
      <c r="V115" s="1407"/>
      <c r="W115" s="1407"/>
      <c r="X115" s="1407"/>
      <c r="Y115" s="1407"/>
      <c r="Z115" s="1407"/>
      <c r="AA115" s="2686"/>
      <c r="AB115" s="1943">
        <f t="shared" si="22"/>
        <v>213.8</v>
      </c>
      <c r="AC115" s="3033"/>
      <c r="AD115" s="3284"/>
      <c r="AE115" s="1943">
        <f>+'Exhibit F'!AF105+'Exhibit G State'!AG91</f>
        <v>79.599999999999994</v>
      </c>
      <c r="AF115" s="3035"/>
      <c r="AG115" s="3035"/>
      <c r="AH115" s="3033">
        <f t="shared" si="23"/>
        <v>134.19999999999999</v>
      </c>
      <c r="AI115" s="2992"/>
      <c r="AJ115" s="1770">
        <f>ROUND(SUM(AH115/ABS(AE115)),3)</f>
        <v>1.6859999999999999</v>
      </c>
    </row>
    <row r="116" spans="1:38" ht="15">
      <c r="A116" s="2690" t="s">
        <v>27</v>
      </c>
      <c r="B116" s="1408"/>
      <c r="C116" s="1407"/>
      <c r="D116" s="1407"/>
      <c r="E116" s="1407"/>
      <c r="F116" s="1407"/>
      <c r="G116" s="1407"/>
      <c r="H116" s="1407"/>
      <c r="I116" s="1407"/>
      <c r="J116" s="1407"/>
      <c r="K116" s="1407"/>
      <c r="L116" s="1407"/>
      <c r="M116" s="1407"/>
      <c r="N116" s="1407"/>
      <c r="O116" s="1407"/>
      <c r="P116" s="1407"/>
      <c r="Q116" s="1407"/>
      <c r="R116" s="1407"/>
      <c r="S116" s="1407"/>
      <c r="T116" s="1407"/>
      <c r="U116" s="1407"/>
      <c r="V116" s="1407"/>
      <c r="W116" s="1407"/>
      <c r="X116" s="1407"/>
      <c r="Y116" s="1407"/>
      <c r="Z116" s="1407"/>
      <c r="AA116" s="2686"/>
      <c r="AB116" s="1943"/>
      <c r="AC116" s="3033"/>
      <c r="AD116" s="3284"/>
      <c r="AE116" s="2524"/>
      <c r="AF116" s="3035"/>
      <c r="AG116" s="3035"/>
      <c r="AH116" s="3033" t="s">
        <v>14</v>
      </c>
      <c r="AI116" s="2992"/>
      <c r="AJ116" s="1770"/>
    </row>
    <row r="117" spans="1:38" ht="15">
      <c r="A117" s="2691" t="s">
        <v>28</v>
      </c>
      <c r="B117" s="1408"/>
      <c r="C117" s="1407">
        <f>+'Exhibit F'!D107+'Exhibit G State'!D93</f>
        <v>2492.5</v>
      </c>
      <c r="D117" s="1407"/>
      <c r="E117" s="1407">
        <f>+'Exhibit F'!F107+'Exhibit G State'!F93</f>
        <v>2394.3999999999996</v>
      </c>
      <c r="F117" s="1407"/>
      <c r="G117" s="1407"/>
      <c r="H117" s="1407"/>
      <c r="I117" s="1407"/>
      <c r="J117" s="1407"/>
      <c r="K117" s="1407"/>
      <c r="L117" s="1407"/>
      <c r="M117" s="1407"/>
      <c r="N117" s="1407"/>
      <c r="O117" s="1407"/>
      <c r="P117" s="1407"/>
      <c r="Q117" s="1407"/>
      <c r="R117" s="1407"/>
      <c r="S117" s="1407"/>
      <c r="T117" s="1407"/>
      <c r="U117" s="1407"/>
      <c r="V117" s="1407"/>
      <c r="W117" s="1407"/>
      <c r="X117" s="1407"/>
      <c r="Y117" s="1407"/>
      <c r="Z117" s="1407"/>
      <c r="AA117" s="2686"/>
      <c r="AB117" s="1943">
        <f t="shared" si="22"/>
        <v>4886.8999999999996</v>
      </c>
      <c r="AC117" s="3033"/>
      <c r="AD117" s="3284"/>
      <c r="AE117" s="1943">
        <f>+'Exhibit F'!AF107+'Exhibit G State'!AG93</f>
        <v>5082.5</v>
      </c>
      <c r="AF117" s="3035"/>
      <c r="AG117" s="3035"/>
      <c r="AH117" s="3033">
        <f t="shared" si="23"/>
        <v>-195.6</v>
      </c>
      <c r="AI117" s="2992"/>
      <c r="AJ117" s="1770">
        <f t="shared" ref="AJ117:AJ123" si="24">ROUND(SUM(AH117/ABS(AE117)),3)</f>
        <v>-3.7999999999999999E-2</v>
      </c>
      <c r="AK117" s="2692"/>
    </row>
    <row r="118" spans="1:38" ht="15">
      <c r="A118" s="2690" t="s">
        <v>29</v>
      </c>
      <c r="B118" s="1408"/>
      <c r="C118" s="1407">
        <f>+'Exhibit F'!D108+'Exhibit G State'!D94</f>
        <v>134.30000000000001</v>
      </c>
      <c r="D118" s="1407"/>
      <c r="E118" s="1407">
        <f>+'Exhibit F'!F108+'Exhibit G State'!F94</f>
        <v>200.6</v>
      </c>
      <c r="F118" s="1407"/>
      <c r="G118" s="1407"/>
      <c r="H118" s="1407"/>
      <c r="I118" s="1407"/>
      <c r="J118" s="1407"/>
      <c r="K118" s="1407"/>
      <c r="L118" s="1407"/>
      <c r="M118" s="1407"/>
      <c r="N118" s="1407"/>
      <c r="O118" s="1407"/>
      <c r="P118" s="1407"/>
      <c r="Q118" s="1407"/>
      <c r="R118" s="1407"/>
      <c r="S118" s="1407"/>
      <c r="T118" s="1407"/>
      <c r="U118" s="1407"/>
      <c r="V118" s="1407"/>
      <c r="W118" s="1407"/>
      <c r="X118" s="1407"/>
      <c r="Y118" s="1407"/>
      <c r="Z118" s="1407"/>
      <c r="AA118" s="2686"/>
      <c r="AB118" s="1943">
        <f t="shared" si="22"/>
        <v>334.9</v>
      </c>
      <c r="AC118" s="3287"/>
      <c r="AD118" s="3033"/>
      <c r="AE118" s="1943">
        <f>+'Exhibit F'!AF108+'Exhibit G State'!AG94</f>
        <v>234.5</v>
      </c>
      <c r="AF118" s="3035"/>
      <c r="AG118" s="3035"/>
      <c r="AH118" s="3033">
        <f t="shared" si="23"/>
        <v>100.4</v>
      </c>
      <c r="AI118" s="2992"/>
      <c r="AJ118" s="1770">
        <f t="shared" si="24"/>
        <v>0.42799999999999999</v>
      </c>
    </row>
    <row r="119" spans="1:38" ht="15">
      <c r="A119" s="2690" t="s">
        <v>30</v>
      </c>
      <c r="B119" s="1408"/>
      <c r="C119" s="1407">
        <f>+'Exhibit F'!D109+'Exhibit G State'!D95</f>
        <v>23.5</v>
      </c>
      <c r="D119" s="1407"/>
      <c r="E119" s="1407">
        <f>+'Exhibit F'!F109+'Exhibit G State'!F95</f>
        <v>30</v>
      </c>
      <c r="F119" s="1407"/>
      <c r="G119" s="1407"/>
      <c r="H119" s="1407"/>
      <c r="I119" s="1407"/>
      <c r="J119" s="1407"/>
      <c r="K119" s="1407"/>
      <c r="L119" s="1407"/>
      <c r="M119" s="1407"/>
      <c r="N119" s="1407"/>
      <c r="O119" s="1407"/>
      <c r="P119" s="1407"/>
      <c r="Q119" s="1407"/>
      <c r="R119" s="1407"/>
      <c r="S119" s="1407"/>
      <c r="T119" s="1407"/>
      <c r="U119" s="1407"/>
      <c r="V119" s="1407"/>
      <c r="W119" s="1407"/>
      <c r="X119" s="1407"/>
      <c r="Y119" s="1407"/>
      <c r="Z119" s="1407"/>
      <c r="AA119" s="2686"/>
      <c r="AB119" s="1943">
        <f t="shared" si="22"/>
        <v>53.5</v>
      </c>
      <c r="AC119" s="3288"/>
      <c r="AD119" s="3284"/>
      <c r="AE119" s="1943">
        <f>+'Exhibit F'!AF109+'Exhibit G State'!AG95</f>
        <v>73.400000000000006</v>
      </c>
      <c r="AF119" s="3035"/>
      <c r="AG119" s="3035"/>
      <c r="AH119" s="3033">
        <f t="shared" si="23"/>
        <v>-19.899999999999999</v>
      </c>
      <c r="AI119" s="2992"/>
      <c r="AJ119" s="1770">
        <f t="shared" si="24"/>
        <v>-0.27100000000000002</v>
      </c>
    </row>
    <row r="120" spans="1:38" ht="15">
      <c r="A120" s="2690" t="s">
        <v>31</v>
      </c>
      <c r="B120" s="1408"/>
      <c r="C120" s="1407">
        <f>+'Exhibit F'!D110+'Exhibit G State'!D96</f>
        <v>102.1</v>
      </c>
      <c r="D120" s="1407"/>
      <c r="E120" s="1407">
        <f>+'Exhibit F'!F110+'Exhibit G State'!F96</f>
        <v>218.8</v>
      </c>
      <c r="F120" s="1407"/>
      <c r="G120" s="1407"/>
      <c r="H120" s="1407"/>
      <c r="I120" s="1407"/>
      <c r="J120" s="1407"/>
      <c r="K120" s="1407"/>
      <c r="L120" s="1407"/>
      <c r="M120" s="1407"/>
      <c r="N120" s="1407"/>
      <c r="O120" s="1407"/>
      <c r="P120" s="1407"/>
      <c r="Q120" s="1407"/>
      <c r="R120" s="1407"/>
      <c r="S120" s="1407"/>
      <c r="T120" s="1407"/>
      <c r="U120" s="1407"/>
      <c r="V120" s="1407"/>
      <c r="W120" s="1407"/>
      <c r="X120" s="1407"/>
      <c r="Y120" s="1407"/>
      <c r="Z120" s="1407"/>
      <c r="AA120" s="2686"/>
      <c r="AB120" s="1943">
        <f t="shared" si="22"/>
        <v>320.89999999999998</v>
      </c>
      <c r="AC120" s="3288"/>
      <c r="AD120" s="3284"/>
      <c r="AE120" s="1943">
        <f>+'Exhibit F'!AF110+'Exhibit G State'!AG96</f>
        <v>144</v>
      </c>
      <c r="AF120" s="3035"/>
      <c r="AG120" s="3035"/>
      <c r="AH120" s="3033">
        <f t="shared" si="23"/>
        <v>176.9</v>
      </c>
      <c r="AI120" s="2992"/>
      <c r="AJ120" s="1770">
        <f t="shared" si="24"/>
        <v>1.228</v>
      </c>
    </row>
    <row r="121" spans="1:38" ht="15">
      <c r="A121" s="2690" t="s">
        <v>32</v>
      </c>
      <c r="B121" s="1408"/>
      <c r="C121" s="1407">
        <f>+'Exhibit F'!D111+'Exhibit G State'!D97</f>
        <v>8.5</v>
      </c>
      <c r="D121" s="1407"/>
      <c r="E121" s="1407">
        <f>+'Exhibit F'!F111+'Exhibit G State'!F97</f>
        <v>11.8</v>
      </c>
      <c r="F121" s="1407"/>
      <c r="G121" s="1407"/>
      <c r="H121" s="1407"/>
      <c r="I121" s="1407"/>
      <c r="J121" s="1407"/>
      <c r="K121" s="1407"/>
      <c r="L121" s="1407"/>
      <c r="M121" s="1407"/>
      <c r="N121" s="1407"/>
      <c r="O121" s="1407"/>
      <c r="P121" s="1407"/>
      <c r="Q121" s="1407"/>
      <c r="R121" s="1407"/>
      <c r="S121" s="1407"/>
      <c r="T121" s="1407"/>
      <c r="U121" s="1407"/>
      <c r="V121" s="1407"/>
      <c r="W121" s="1407"/>
      <c r="X121" s="1407"/>
      <c r="Y121" s="1407"/>
      <c r="Z121" s="1407"/>
      <c r="AA121" s="2686"/>
      <c r="AB121" s="1943">
        <f t="shared" si="22"/>
        <v>20.3</v>
      </c>
      <c r="AC121" s="3288"/>
      <c r="AD121" s="3284"/>
      <c r="AE121" s="1943">
        <f>+'Exhibit F'!AF111+'Exhibit G State'!AG97</f>
        <v>14.5</v>
      </c>
      <c r="AF121" s="3035"/>
      <c r="AG121" s="3035"/>
      <c r="AH121" s="3033">
        <f t="shared" si="23"/>
        <v>5.8</v>
      </c>
      <c r="AI121" s="2992"/>
      <c r="AJ121" s="1770">
        <f t="shared" si="24"/>
        <v>0.4</v>
      </c>
    </row>
    <row r="122" spans="1:38" ht="15">
      <c r="A122" s="2690" t="s">
        <v>33</v>
      </c>
      <c r="B122" s="1408"/>
      <c r="C122" s="1407">
        <f>+'Exhibit F'!D112+'Exhibit G State'!D98</f>
        <v>57.1</v>
      </c>
      <c r="D122" s="1407"/>
      <c r="E122" s="1407">
        <f>+'Exhibit F'!F112+'Exhibit G State'!F98</f>
        <v>593.6</v>
      </c>
      <c r="F122" s="1407"/>
      <c r="G122" s="1407"/>
      <c r="H122" s="1407"/>
      <c r="I122" s="1407"/>
      <c r="J122" s="1407"/>
      <c r="K122" s="1407"/>
      <c r="L122" s="1407"/>
      <c r="M122" s="1407"/>
      <c r="N122" s="1407"/>
      <c r="O122" s="1407"/>
      <c r="P122" s="1407"/>
      <c r="Q122" s="1407"/>
      <c r="R122" s="1407"/>
      <c r="S122" s="1407"/>
      <c r="T122" s="1407"/>
      <c r="U122" s="1407"/>
      <c r="V122" s="1407"/>
      <c r="W122" s="1407"/>
      <c r="X122" s="1407"/>
      <c r="Y122" s="1407"/>
      <c r="Z122" s="1407"/>
      <c r="AA122" s="2686"/>
      <c r="AB122" s="3033">
        <f>ROUND(SUM(C122:Y122),1)</f>
        <v>650.70000000000005</v>
      </c>
      <c r="AC122" s="3288"/>
      <c r="AD122" s="3284"/>
      <c r="AE122" s="1943">
        <f>+'Exhibit F'!AF112+'Exhibit G State'!AG98</f>
        <v>638.59999999999991</v>
      </c>
      <c r="AF122" s="3035"/>
      <c r="AG122" s="3035"/>
      <c r="AH122" s="3033">
        <f>ROUND(SUM(AB122-AE122),1)</f>
        <v>12.1</v>
      </c>
      <c r="AI122" s="2992"/>
      <c r="AJ122" s="1416">
        <f t="shared" si="24"/>
        <v>1.9E-2</v>
      </c>
    </row>
    <row r="123" spans="1:38" ht="15.75">
      <c r="A123" s="1408" t="s">
        <v>34</v>
      </c>
      <c r="B123" s="1408"/>
      <c r="C123" s="2693">
        <f>ROUND(SUM(C113:C122),1)</f>
        <v>4395.8999999999996</v>
      </c>
      <c r="D123" s="2694"/>
      <c r="E123" s="2693">
        <f>ROUND(SUM(E113:E122),1)</f>
        <v>7868.5</v>
      </c>
      <c r="F123" s="2694"/>
      <c r="G123" s="2693">
        <f>ROUND(SUM(G113:G122),1)</f>
        <v>0</v>
      </c>
      <c r="H123" s="2694"/>
      <c r="I123" s="2693">
        <f>ROUND(SUM(I113:I122),1)</f>
        <v>0</v>
      </c>
      <c r="J123" s="2694"/>
      <c r="K123" s="2693">
        <f>ROUND(SUM(K113:K122),1)</f>
        <v>0</v>
      </c>
      <c r="L123" s="2694"/>
      <c r="M123" s="2693">
        <f>ROUND(SUM(M113:M122),1)</f>
        <v>0</v>
      </c>
      <c r="N123" s="2694"/>
      <c r="O123" s="3289">
        <f>ROUND(SUM(O113:O122),1)</f>
        <v>0</v>
      </c>
      <c r="P123" s="2694"/>
      <c r="Q123" s="2693">
        <f>ROUND(SUM(Q113:Q122),1)</f>
        <v>0</v>
      </c>
      <c r="R123" s="2694"/>
      <c r="S123" s="2693">
        <f>ROUND(SUM(S113:S122),1)</f>
        <v>0</v>
      </c>
      <c r="T123" s="2694"/>
      <c r="U123" s="2693">
        <f>ROUND(SUM(U113:U122),1)</f>
        <v>0</v>
      </c>
      <c r="V123" s="2694"/>
      <c r="W123" s="2693">
        <f>ROUND(SUM(W113:W122),1)</f>
        <v>0</v>
      </c>
      <c r="X123" s="2694"/>
      <c r="Y123" s="2693">
        <f>ROUND(SUM(Y113:Y122),1)</f>
        <v>0</v>
      </c>
      <c r="Z123" s="2694"/>
      <c r="AA123" s="2695"/>
      <c r="AB123" s="3289">
        <f>ROUND(SUM(AB113:AB122),1)</f>
        <v>12264.4</v>
      </c>
      <c r="AC123" s="3290"/>
      <c r="AD123" s="3291"/>
      <c r="AE123" s="1428">
        <f>ROUND(SUM(AE113:AE122),1)</f>
        <v>10689.7</v>
      </c>
      <c r="AF123" s="3034"/>
      <c r="AG123" s="3034"/>
      <c r="AH123" s="1428">
        <f>ROUND(SUM(AH113:AH122),1)</f>
        <v>1574.7</v>
      </c>
      <c r="AI123" s="2976"/>
      <c r="AJ123" s="2464">
        <f t="shared" si="24"/>
        <v>0.14699999999999999</v>
      </c>
      <c r="AK123" s="2680"/>
      <c r="AL123" s="2680"/>
    </row>
    <row r="124" spans="1:38" ht="15">
      <c r="A124" s="1408" t="s">
        <v>35</v>
      </c>
      <c r="B124" s="1408"/>
      <c r="C124" s="2684"/>
      <c r="D124" s="1407"/>
      <c r="E124" s="2684"/>
      <c r="F124" s="1407"/>
      <c r="G124" s="2684"/>
      <c r="H124" s="1407"/>
      <c r="I124" s="2684"/>
      <c r="J124" s="1407"/>
      <c r="K124" s="2684"/>
      <c r="L124" s="1407"/>
      <c r="M124" s="2684"/>
      <c r="N124" s="1407"/>
      <c r="O124" s="3035"/>
      <c r="P124" s="1407"/>
      <c r="Q124" s="2684"/>
      <c r="R124" s="1407"/>
      <c r="S124" s="2684"/>
      <c r="T124" s="1407"/>
      <c r="U124" s="2684"/>
      <c r="V124" s="1407"/>
      <c r="W124" s="2684"/>
      <c r="X124" s="1407"/>
      <c r="Y124" s="2684"/>
      <c r="Z124" s="1407"/>
      <c r="AA124" s="2686"/>
      <c r="AB124" s="3035"/>
      <c r="AC124" s="3033"/>
      <c r="AD124" s="3284"/>
      <c r="AE124" s="1984"/>
      <c r="AF124" s="3035"/>
      <c r="AG124" s="3035"/>
      <c r="AH124" s="1943"/>
      <c r="AI124" s="2992"/>
      <c r="AJ124" s="3246"/>
    </row>
    <row r="125" spans="1:38" ht="15">
      <c r="A125" s="1408" t="s">
        <v>136</v>
      </c>
      <c r="B125" s="1408"/>
      <c r="C125" s="1407">
        <f>+'Exhibit F'!D115+'Exhibit G State'!D101</f>
        <v>1155.5</v>
      </c>
      <c r="D125" s="1407"/>
      <c r="E125" s="1407">
        <f>+'Exhibit F'!F115+'Exhibit G State'!F101</f>
        <v>1098.7</v>
      </c>
      <c r="F125" s="1407"/>
      <c r="G125" s="1407"/>
      <c r="H125" s="1407"/>
      <c r="I125" s="1407"/>
      <c r="J125" s="1407"/>
      <c r="K125" s="1407"/>
      <c r="L125" s="1407"/>
      <c r="M125" s="1407"/>
      <c r="N125" s="1407"/>
      <c r="O125" s="3823"/>
      <c r="P125" s="1407"/>
      <c r="Q125" s="1407"/>
      <c r="R125" s="1407"/>
      <c r="S125" s="1407"/>
      <c r="T125" s="1407"/>
      <c r="U125" s="1407"/>
      <c r="V125" s="1407"/>
      <c r="W125" s="1407"/>
      <c r="X125" s="1407"/>
      <c r="Y125" s="1407"/>
      <c r="Z125" s="1407"/>
      <c r="AA125" s="2686"/>
      <c r="AB125" s="3033">
        <f>ROUND(SUM(C125:Y125),1)</f>
        <v>2254.1999999999998</v>
      </c>
      <c r="AC125" s="3033"/>
      <c r="AD125" s="3284"/>
      <c r="AE125" s="1943">
        <f>+'Exhibit F'!AF115+'Exhibit G State'!AG101</f>
        <v>2238.6</v>
      </c>
      <c r="AF125" s="3035"/>
      <c r="AG125" s="3035"/>
      <c r="AH125" s="3033">
        <f>ROUND(SUM(AB125-AE125),1)</f>
        <v>15.6</v>
      </c>
      <c r="AI125" s="2992"/>
      <c r="AJ125" s="1770">
        <f>ROUND(SUM(AH125/ABS(AE125)),3)</f>
        <v>7.0000000000000001E-3</v>
      </c>
    </row>
    <row r="126" spans="1:38" ht="15">
      <c r="A126" s="1408" t="s">
        <v>137</v>
      </c>
      <c r="B126" s="1408"/>
      <c r="C126" s="1407">
        <f>+'Exhibit F'!D116+'Exhibit G State'!D102+'Exhibit H'!B58</f>
        <v>388.5</v>
      </c>
      <c r="D126" s="1407"/>
      <c r="E126" s="1407">
        <f>+'Exhibit F'!F116+'Exhibit G State'!F102+'Exhibit H'!D58</f>
        <v>458.4</v>
      </c>
      <c r="F126" s="1407"/>
      <c r="G126" s="1407"/>
      <c r="H126" s="1407"/>
      <c r="I126" s="1407"/>
      <c r="J126" s="1407"/>
      <c r="K126" s="1407"/>
      <c r="L126" s="1407"/>
      <c r="M126" s="1407"/>
      <c r="N126" s="1407"/>
      <c r="O126" s="3823"/>
      <c r="P126" s="1407"/>
      <c r="Q126" s="1407"/>
      <c r="R126" s="1407"/>
      <c r="S126" s="1407"/>
      <c r="T126" s="1407"/>
      <c r="U126" s="1407"/>
      <c r="V126" s="1407"/>
      <c r="W126" s="1407"/>
      <c r="X126" s="1407"/>
      <c r="Y126" s="1407"/>
      <c r="Z126" s="1407"/>
      <c r="AA126" s="2686"/>
      <c r="AB126" s="3033">
        <f>ROUND(SUM(C126:Y126),1)</f>
        <v>846.9</v>
      </c>
      <c r="AC126" s="3033"/>
      <c r="AD126" s="3284"/>
      <c r="AE126" s="1943">
        <f>+'Exhibit F'!AF116+'Exhibit G State'!AG102+'Exhibit H'!AD58</f>
        <v>832.8</v>
      </c>
      <c r="AF126" s="3035"/>
      <c r="AG126" s="3035"/>
      <c r="AH126" s="3033">
        <f>ROUND(SUM(AB126-AE126),1)</f>
        <v>14.1</v>
      </c>
      <c r="AI126" s="2992"/>
      <c r="AJ126" s="1770">
        <f>ROUND(SUM(AH126/ABS(AE126)),3)</f>
        <v>1.7000000000000001E-2</v>
      </c>
    </row>
    <row r="127" spans="1:38" ht="15">
      <c r="A127" s="1408" t="s">
        <v>38</v>
      </c>
      <c r="B127" s="1408"/>
      <c r="C127" s="1407">
        <f>+'Exhibit F'!D117+'Exhibit G State'!D103</f>
        <v>847.40000000000009</v>
      </c>
      <c r="D127" s="1407"/>
      <c r="E127" s="1407">
        <f>+'Exhibit F'!F117+'Exhibit G State'!F103</f>
        <v>2060.1999999999998</v>
      </c>
      <c r="F127" s="1407"/>
      <c r="G127" s="1407"/>
      <c r="H127" s="1407"/>
      <c r="I127" s="1407"/>
      <c r="J127" s="1407"/>
      <c r="K127" s="1407"/>
      <c r="L127" s="1407"/>
      <c r="M127" s="1407"/>
      <c r="N127" s="1407"/>
      <c r="O127" s="3823"/>
      <c r="P127" s="1407"/>
      <c r="Q127" s="1407"/>
      <c r="R127" s="1407"/>
      <c r="S127" s="1407"/>
      <c r="T127" s="1407"/>
      <c r="U127" s="1407"/>
      <c r="V127" s="1407"/>
      <c r="W127" s="1407"/>
      <c r="X127" s="1407"/>
      <c r="Y127" s="1407"/>
      <c r="Z127" s="1407"/>
      <c r="AA127" s="2686"/>
      <c r="AB127" s="3033">
        <f>ROUND(SUM(C127:Y127),1)</f>
        <v>2907.6</v>
      </c>
      <c r="AC127" s="3033"/>
      <c r="AD127" s="3284"/>
      <c r="AE127" s="1943">
        <f>+'Exhibit F'!AF117+'Exhibit G State'!AG103</f>
        <v>3210.1</v>
      </c>
      <c r="AF127" s="3035"/>
      <c r="AG127" s="3035"/>
      <c r="AH127" s="3033">
        <f>ROUND(SUM(AB127-AE127),1)</f>
        <v>-302.5</v>
      </c>
      <c r="AI127" s="2992"/>
      <c r="AJ127" s="1770">
        <f>ROUND(SUM(AH127/ABS(AE127)),3)</f>
        <v>-9.4E-2</v>
      </c>
    </row>
    <row r="128" spans="1:38" ht="15">
      <c r="A128" s="1408" t="s">
        <v>39</v>
      </c>
      <c r="B128" s="1408"/>
      <c r="C128" s="2684"/>
      <c r="D128" s="1407"/>
      <c r="E128" s="2684"/>
      <c r="F128" s="1407"/>
      <c r="G128" s="2684"/>
      <c r="H128" s="1407"/>
      <c r="I128" s="2684"/>
      <c r="J128" s="1407"/>
      <c r="K128" s="2684"/>
      <c r="L128" s="1407"/>
      <c r="M128" s="2684"/>
      <c r="N128" s="1407"/>
      <c r="O128" s="3823"/>
      <c r="P128" s="1407"/>
      <c r="Q128" s="2684"/>
      <c r="R128" s="1407"/>
      <c r="S128" s="2684"/>
      <c r="T128" s="1407"/>
      <c r="U128" s="2684"/>
      <c r="V128" s="1407"/>
      <c r="W128" s="2684"/>
      <c r="X128" s="1407"/>
      <c r="Y128" s="2684"/>
      <c r="Z128" s="1407"/>
      <c r="AA128" s="2686"/>
      <c r="AB128" s="3033"/>
      <c r="AC128" s="3033"/>
      <c r="AD128" s="3284"/>
      <c r="AE128" s="3035"/>
      <c r="AF128" s="3035"/>
      <c r="AG128" s="3035"/>
      <c r="AH128" s="3033"/>
      <c r="AI128" s="2992"/>
      <c r="AJ128" s="1770"/>
    </row>
    <row r="129" spans="1:59" ht="15">
      <c r="A129" s="1408" t="s">
        <v>40</v>
      </c>
      <c r="B129" s="1408"/>
      <c r="C129" s="1407">
        <f>+'Exhibit H'!B60</f>
        <v>115.8</v>
      </c>
      <c r="D129" s="1407"/>
      <c r="E129" s="1407">
        <f>+'Exhibit H'!D60</f>
        <v>29.500000000000014</v>
      </c>
      <c r="F129" s="1407"/>
      <c r="G129" s="1407"/>
      <c r="H129" s="1407"/>
      <c r="I129" s="1407"/>
      <c r="J129" s="1407"/>
      <c r="K129" s="1407"/>
      <c r="L129" s="1407"/>
      <c r="M129" s="1407"/>
      <c r="N129" s="1407"/>
      <c r="O129" s="3823"/>
      <c r="P129" s="1407"/>
      <c r="Q129" s="1407"/>
      <c r="R129" s="1407"/>
      <c r="S129" s="1407"/>
      <c r="T129" s="1407"/>
      <c r="U129" s="1407"/>
      <c r="V129" s="1407"/>
      <c r="W129" s="1407"/>
      <c r="X129" s="1407"/>
      <c r="Y129" s="1407"/>
      <c r="Z129" s="1407"/>
      <c r="AA129" s="2686"/>
      <c r="AB129" s="3033">
        <f>ROUND(SUM(C129:Y129),1)</f>
        <v>145.30000000000001</v>
      </c>
      <c r="AC129" s="3033"/>
      <c r="AD129" s="3284"/>
      <c r="AE129" s="1984">
        <f>+'Exhibit H'!AD60</f>
        <v>162.9</v>
      </c>
      <c r="AF129" s="3035"/>
      <c r="AG129" s="3035"/>
      <c r="AH129" s="3033">
        <f>ROUND(SUM(AB129-AE129),1)</f>
        <v>-17.600000000000001</v>
      </c>
      <c r="AI129" s="2992"/>
      <c r="AJ129" s="1770">
        <f>ROUND(SUM(AH129/ABS(AE129)),3)</f>
        <v>-0.108</v>
      </c>
    </row>
    <row r="130" spans="1:59" ht="15">
      <c r="A130" s="1408" t="s">
        <v>138</v>
      </c>
      <c r="B130" s="1408"/>
      <c r="C130" s="1407">
        <f>'Exhibit G State'!D104</f>
        <v>0</v>
      </c>
      <c r="D130" s="1407"/>
      <c r="E130" s="1407">
        <f>'Exhibit G State'!F104</f>
        <v>0</v>
      </c>
      <c r="F130" s="1407"/>
      <c r="G130" s="1407"/>
      <c r="H130" s="1407"/>
      <c r="I130" s="1407"/>
      <c r="J130" s="1407"/>
      <c r="K130" s="1407"/>
      <c r="L130" s="1407"/>
      <c r="M130" s="1407"/>
      <c r="N130" s="1407"/>
      <c r="O130" s="3823"/>
      <c r="P130" s="1407"/>
      <c r="Q130" s="1407"/>
      <c r="R130" s="1407"/>
      <c r="S130" s="1407"/>
      <c r="T130" s="1407"/>
      <c r="U130" s="1407"/>
      <c r="V130" s="1407"/>
      <c r="W130" s="1407"/>
      <c r="X130" s="1407"/>
      <c r="Y130" s="1407"/>
      <c r="Z130" s="1407"/>
      <c r="AA130" s="2685"/>
      <c r="AB130" s="3033">
        <f>ROUND(SUM(C130:Y130),1)</f>
        <v>0</v>
      </c>
      <c r="AC130" s="3033"/>
      <c r="AD130" s="3284"/>
      <c r="AE130" s="1984">
        <f>+'Exhibit G'!AG106</f>
        <v>0</v>
      </c>
      <c r="AF130" s="3035"/>
      <c r="AG130" s="3035"/>
      <c r="AH130" s="3033">
        <f>ROUND(SUM(AB130-AE130),1)</f>
        <v>0</v>
      </c>
      <c r="AI130" s="2992"/>
      <c r="AJ130" s="1677">
        <f>ROUND(IF(AE130=0,0,AH130/ABS(AE130)),3)</f>
        <v>0</v>
      </c>
    </row>
    <row r="131" spans="1:59" ht="16.5" customHeight="1">
      <c r="A131" s="1408"/>
      <c r="B131" s="1408"/>
      <c r="C131" s="3416"/>
      <c r="D131" s="1407"/>
      <c r="E131" s="3416"/>
      <c r="F131" s="1407"/>
      <c r="G131" s="3416"/>
      <c r="H131" s="1407"/>
      <c r="I131" s="3416"/>
      <c r="J131" s="1407"/>
      <c r="K131" s="3416"/>
      <c r="L131" s="1407"/>
      <c r="M131" s="3416"/>
      <c r="N131" s="1407"/>
      <c r="O131" s="3417"/>
      <c r="P131" s="1407"/>
      <c r="Q131" s="3416"/>
      <c r="R131" s="1407"/>
      <c r="S131" s="3416"/>
      <c r="T131" s="1407"/>
      <c r="U131" s="3416"/>
      <c r="V131" s="1407"/>
      <c r="W131" s="3416"/>
      <c r="X131" s="1407"/>
      <c r="Y131" s="3416"/>
      <c r="Z131" s="1407"/>
      <c r="AA131" s="2686"/>
      <c r="AB131" s="3417"/>
      <c r="AC131" s="3033"/>
      <c r="AD131" s="3284"/>
      <c r="AE131" s="3417"/>
      <c r="AF131" s="3035"/>
      <c r="AG131" s="3035"/>
      <c r="AH131" s="3417"/>
      <c r="AI131" s="2992"/>
      <c r="AJ131" s="3418"/>
    </row>
    <row r="132" spans="1:59" ht="16.5" customHeight="1">
      <c r="A132" s="1953" t="s">
        <v>56</v>
      </c>
      <c r="B132" s="1408"/>
      <c r="C132" s="2696">
        <f>ROUND(SUM(C123:C130),1)</f>
        <v>6903.1</v>
      </c>
      <c r="D132" s="2694"/>
      <c r="E132" s="2696">
        <f>ROUND(SUM(E123:E130),1)</f>
        <v>11515.3</v>
      </c>
      <c r="F132" s="2694"/>
      <c r="G132" s="2696">
        <f>ROUND(SUM(G123:G130),1)</f>
        <v>0</v>
      </c>
      <c r="H132" s="2694"/>
      <c r="I132" s="2696">
        <f>ROUND(SUM(I123:I130),1)</f>
        <v>0</v>
      </c>
      <c r="J132" s="2694"/>
      <c r="K132" s="2696">
        <f>ROUND(SUM(K123:K130),1)</f>
        <v>0</v>
      </c>
      <c r="L132" s="2694"/>
      <c r="M132" s="2696">
        <f>ROUND(SUM(M123:M130),1)</f>
        <v>0</v>
      </c>
      <c r="N132" s="2694"/>
      <c r="O132" s="3037">
        <f>ROUND(SUM(O123:O130),1)</f>
        <v>0</v>
      </c>
      <c r="P132" s="2694"/>
      <c r="Q132" s="2696">
        <f>ROUND(SUM(Q123:Q130),1)</f>
        <v>0</v>
      </c>
      <c r="R132" s="2694"/>
      <c r="S132" s="2696">
        <f>ROUND(SUM(S123:S130),1)</f>
        <v>0</v>
      </c>
      <c r="T132" s="2694"/>
      <c r="U132" s="2696">
        <f>ROUND(SUM(U123:U130),1)</f>
        <v>0</v>
      </c>
      <c r="V132" s="2694"/>
      <c r="W132" s="2696">
        <f>ROUND(SUM(W123:W130),1)</f>
        <v>0</v>
      </c>
      <c r="X132" s="2694"/>
      <c r="Y132" s="2696">
        <f>ROUND(SUM(Y123:Y130),1)</f>
        <v>0</v>
      </c>
      <c r="Z132" s="2694"/>
      <c r="AA132" s="2695"/>
      <c r="AB132" s="3037">
        <f>ROUND(SUM(AB123:AB130),1)</f>
        <v>18418.400000000001</v>
      </c>
      <c r="AC132" s="3292"/>
      <c r="AD132" s="3291"/>
      <c r="AE132" s="1517">
        <f>ROUND(SUM(AE123:AE131),1)</f>
        <v>17134.099999999999</v>
      </c>
      <c r="AF132" s="3034"/>
      <c r="AG132" s="3034"/>
      <c r="AH132" s="1517">
        <f>ROUND(SUM(AH123:AH131),1)</f>
        <v>1284.3</v>
      </c>
      <c r="AI132" s="2976"/>
      <c r="AJ132" s="2488">
        <f>ROUND(SUM(AH132/ABS(AE132)),3)</f>
        <v>7.4999999999999997E-2</v>
      </c>
      <c r="AK132" s="2680"/>
      <c r="AL132" s="2680"/>
      <c r="AM132" s="2680"/>
      <c r="AN132" s="2680"/>
      <c r="AO132" s="2680"/>
      <c r="AP132" s="2680"/>
      <c r="AQ132" s="2680"/>
      <c r="AR132" s="2680"/>
    </row>
    <row r="133" spans="1:59" ht="16.5" customHeight="1">
      <c r="A133" s="1953"/>
      <c r="B133" s="1408"/>
      <c r="C133" s="1407"/>
      <c r="D133" s="1407"/>
      <c r="E133" s="1407"/>
      <c r="F133" s="1407"/>
      <c r="G133" s="1407"/>
      <c r="H133" s="1407"/>
      <c r="I133" s="1407"/>
      <c r="J133" s="1407"/>
      <c r="K133" s="1407"/>
      <c r="L133" s="1407"/>
      <c r="M133" s="1407"/>
      <c r="N133" s="1407"/>
      <c r="O133" s="3033"/>
      <c r="P133" s="1407"/>
      <c r="Q133" s="1407"/>
      <c r="R133" s="1407"/>
      <c r="S133" s="1407"/>
      <c r="T133" s="1407"/>
      <c r="U133" s="1407"/>
      <c r="V133" s="1407"/>
      <c r="W133" s="1407"/>
      <c r="X133" s="1407"/>
      <c r="Y133" s="1407"/>
      <c r="Z133" s="1407"/>
      <c r="AA133" s="2686"/>
      <c r="AB133" s="3033"/>
      <c r="AC133" s="3033"/>
      <c r="AD133" s="3284"/>
      <c r="AE133" s="3033"/>
      <c r="AF133" s="3035"/>
      <c r="AG133" s="3035"/>
      <c r="AH133" s="1943"/>
      <c r="AI133" s="2992"/>
      <c r="AJ133" s="3246"/>
    </row>
    <row r="134" spans="1:59" ht="16.5" customHeight="1">
      <c r="A134" s="1953" t="s">
        <v>43</v>
      </c>
      <c r="B134" s="1408"/>
      <c r="C134" s="1407"/>
      <c r="D134" s="1407"/>
      <c r="E134" s="1407"/>
      <c r="F134" s="1407"/>
      <c r="G134" s="1407"/>
      <c r="H134" s="1407"/>
      <c r="I134" s="1407"/>
      <c r="J134" s="1407"/>
      <c r="K134" s="1407"/>
      <c r="L134" s="1407"/>
      <c r="M134" s="1407"/>
      <c r="N134" s="1407"/>
      <c r="O134" s="3033"/>
      <c r="P134" s="1407"/>
      <c r="Q134" s="1407"/>
      <c r="R134" s="1407"/>
      <c r="S134" s="1407"/>
      <c r="T134" s="1407"/>
      <c r="U134" s="1407"/>
      <c r="V134" s="1407"/>
      <c r="W134" s="1407"/>
      <c r="X134" s="1407"/>
      <c r="Y134" s="1407"/>
      <c r="Z134" s="1407"/>
      <c r="AA134" s="2686"/>
      <c r="AB134" s="3033"/>
      <c r="AC134" s="3033"/>
      <c r="AD134" s="3284"/>
      <c r="AE134" s="3033"/>
      <c r="AF134" s="3035"/>
      <c r="AG134" s="3035"/>
      <c r="AH134" s="1943"/>
      <c r="AI134" s="2992"/>
      <c r="AJ134" s="3246"/>
    </row>
    <row r="135" spans="1:59" ht="16.5" customHeight="1">
      <c r="A135" s="1953" t="s">
        <v>44</v>
      </c>
      <c r="B135" s="1408"/>
      <c r="C135" s="2696">
        <f>ROUND(SUM(C109-C132),1)</f>
        <v>12862.8</v>
      </c>
      <c r="D135" s="2694"/>
      <c r="E135" s="2696">
        <f>ROUND(SUM(E109-E132),1)</f>
        <v>-5416.7</v>
      </c>
      <c r="F135" s="2694"/>
      <c r="G135" s="2696">
        <f>ROUND(SUM(G109-G132),1)</f>
        <v>0</v>
      </c>
      <c r="H135" s="2694"/>
      <c r="I135" s="2696">
        <f>ROUND(SUM(I109-I132),1)</f>
        <v>0</v>
      </c>
      <c r="J135" s="2694"/>
      <c r="K135" s="2696">
        <f>ROUND(SUM(K109-K132),1)</f>
        <v>0</v>
      </c>
      <c r="L135" s="2694"/>
      <c r="M135" s="2696">
        <f>ROUND(SUM(M109-M132),1)</f>
        <v>0</v>
      </c>
      <c r="N135" s="2694"/>
      <c r="O135" s="3037">
        <f>ROUND(SUM(O109-O132),1)</f>
        <v>0</v>
      </c>
      <c r="P135" s="2694"/>
      <c r="Q135" s="2696">
        <f>ROUND(SUM(Q109-Q132),1)</f>
        <v>0</v>
      </c>
      <c r="R135" s="2694"/>
      <c r="S135" s="2696">
        <f>ROUND(SUM(S109-S132),1)</f>
        <v>0</v>
      </c>
      <c r="T135" s="2694"/>
      <c r="U135" s="2696">
        <f>ROUND(SUM(U109-U132),1)</f>
        <v>0</v>
      </c>
      <c r="V135" s="2694"/>
      <c r="W135" s="2696">
        <f>ROUND(SUM(W109-W132),1)</f>
        <v>0</v>
      </c>
      <c r="X135" s="2694"/>
      <c r="Y135" s="2696">
        <f>ROUND(SUM(Y109-Y132),1)</f>
        <v>0</v>
      </c>
      <c r="Z135" s="2694"/>
      <c r="AA135" s="2695"/>
      <c r="AB135" s="3037">
        <f>ROUND(SUM(AB109-AB132),1)</f>
        <v>7446.1</v>
      </c>
      <c r="AC135" s="3292"/>
      <c r="AD135" s="3291"/>
      <c r="AE135" s="3037">
        <f>ROUND(SUM(AE109-AE132),1)</f>
        <v>6556</v>
      </c>
      <c r="AF135" s="3034"/>
      <c r="AG135" s="3034"/>
      <c r="AH135" s="3252">
        <f>ROUND(SUM(AB135-AE135),1)</f>
        <v>890.1</v>
      </c>
      <c r="AI135" s="2976"/>
      <c r="AJ135" s="2122">
        <f>ROUND(SUM(AH135/ABS(AE135)),3)</f>
        <v>0.13600000000000001</v>
      </c>
      <c r="AK135" s="2680"/>
      <c r="AL135" s="2680"/>
    </row>
    <row r="136" spans="1:59" ht="16.5" customHeight="1">
      <c r="A136" s="1794"/>
      <c r="B136" s="1408"/>
      <c r="C136" s="2689"/>
      <c r="D136" s="1407"/>
      <c r="E136" s="2689"/>
      <c r="F136" s="1407"/>
      <c r="G136" s="2689"/>
      <c r="H136" s="1407"/>
      <c r="I136" s="2689"/>
      <c r="J136" s="1407"/>
      <c r="K136" s="2689"/>
      <c r="L136" s="1407"/>
      <c r="M136" s="2689"/>
      <c r="N136" s="1407"/>
      <c r="O136" s="2475"/>
      <c r="P136" s="1407"/>
      <c r="Q136" s="2689"/>
      <c r="R136" s="1407"/>
      <c r="S136" s="2689"/>
      <c r="T136" s="1407"/>
      <c r="U136" s="2689"/>
      <c r="V136" s="1407"/>
      <c r="W136" s="2689"/>
      <c r="X136" s="1407"/>
      <c r="Y136" s="2689"/>
      <c r="Z136" s="2697"/>
      <c r="AA136" s="2686"/>
      <c r="AB136" s="2475"/>
      <c r="AC136" s="3033"/>
      <c r="AD136" s="3284"/>
      <c r="AE136" s="2475"/>
      <c r="AF136" s="3035"/>
      <c r="AG136" s="3035"/>
      <c r="AH136" s="1943"/>
      <c r="AI136" s="2992"/>
      <c r="AJ136" s="3246"/>
    </row>
    <row r="137" spans="1:59" ht="16.5" customHeight="1">
      <c r="A137" s="1953" t="s">
        <v>45</v>
      </c>
      <c r="B137" s="1408"/>
      <c r="C137" s="2684"/>
      <c r="D137" s="1407"/>
      <c r="E137" s="2684"/>
      <c r="F137" s="2698"/>
      <c r="G137" s="2684"/>
      <c r="H137" s="2698"/>
      <c r="I137" s="2699"/>
      <c r="J137" s="2698"/>
      <c r="K137" s="2699"/>
      <c r="L137" s="2698"/>
      <c r="M137" s="2699"/>
      <c r="N137" s="2698"/>
      <c r="O137" s="3724"/>
      <c r="P137" s="2698"/>
      <c r="Q137" s="2699"/>
      <c r="R137" s="2698"/>
      <c r="S137" s="2699"/>
      <c r="T137" s="2698"/>
      <c r="U137" s="2699"/>
      <c r="V137" s="1407"/>
      <c r="W137" s="2699"/>
      <c r="X137" s="1407"/>
      <c r="Y137" s="2699"/>
      <c r="Z137" s="2700"/>
      <c r="AA137" s="2686"/>
      <c r="AB137" s="3035"/>
      <c r="AC137" s="3293"/>
      <c r="AD137" s="3033"/>
      <c r="AE137" s="3035"/>
      <c r="AF137" s="3035"/>
      <c r="AG137" s="3035"/>
      <c r="AH137" s="1943"/>
      <c r="AI137" s="2992"/>
      <c r="AJ137" s="3246"/>
    </row>
    <row r="138" spans="1:59" ht="16.5" customHeight="1">
      <c r="A138" s="1408" t="s">
        <v>1070</v>
      </c>
      <c r="B138" s="1408"/>
      <c r="C138" s="2701">
        <f>+'Exhibit F'!D126+'Exhibit F'!D127+'Exhibit F'!D128+'Exhibit F'!D129+'Exhibit G State'!D112+'Exhibit H'!B68</f>
        <v>9446.5</v>
      </c>
      <c r="D138" s="1407"/>
      <c r="E138" s="2701">
        <f>+'Exhibit F'!F126+'Exhibit F'!F127+'Exhibit F'!F128+'Exhibit F'!F129+'Exhibit G State'!F112+'Exhibit H'!D68</f>
        <v>2949.6999999999994</v>
      </c>
      <c r="F138" s="1407"/>
      <c r="G138" s="2701"/>
      <c r="H138" s="1407"/>
      <c r="I138" s="2701"/>
      <c r="J138" s="1407"/>
      <c r="K138" s="2701"/>
      <c r="L138" s="1407"/>
      <c r="M138" s="2701"/>
      <c r="N138" s="1407"/>
      <c r="O138" s="2701"/>
      <c r="P138" s="1407"/>
      <c r="Q138" s="2701"/>
      <c r="R138" s="1407"/>
      <c r="S138" s="2701"/>
      <c r="T138" s="1407"/>
      <c r="U138" s="2701"/>
      <c r="V138" s="1407"/>
      <c r="W138" s="2701"/>
      <c r="X138" s="1407"/>
      <c r="Y138" s="2701"/>
      <c r="Z138" s="1407"/>
      <c r="AA138" s="2686"/>
      <c r="AB138" s="3033">
        <f>ROUND(SUM(C138:Y138),1)</f>
        <v>12396.2</v>
      </c>
      <c r="AC138" s="3033"/>
      <c r="AD138" s="3286"/>
      <c r="AE138" s="3033">
        <f>'Exhibit F'!AF126+'Exhibit F'!AF127+'Exhibit F'!AF128+'Exhibit F'!AF129+'Exhibit G State'!AG112+'Exhibit H'!AD68</f>
        <v>10855.699999999999</v>
      </c>
      <c r="AF138" s="3035"/>
      <c r="AG138" s="3035"/>
      <c r="AH138" s="3033">
        <f>ROUND(SUM(AB138-AE138),1)</f>
        <v>1540.5</v>
      </c>
      <c r="AI138" s="2992"/>
      <c r="AJ138" s="1770">
        <f>ROUND(SUM(AH138/ABS(AE138)),3)</f>
        <v>0.14199999999999999</v>
      </c>
    </row>
    <row r="139" spans="1:59" ht="16.5" customHeight="1">
      <c r="A139" s="1408" t="s">
        <v>1071</v>
      </c>
      <c r="C139" s="2702">
        <f>+'Exhibit F'!D130+'Exhibit F'!D131+'Exhibit F'!D132+'Exhibit F'!D133+'Exhibit G State'!D113+'Exhibit H'!B69</f>
        <v>-8589</v>
      </c>
      <c r="D139" s="2458"/>
      <c r="E139" s="2702">
        <f>+'Exhibit F'!F130+'Exhibit F'!F131+'Exhibit F'!F132+'Exhibit F'!F133+'Exhibit G State'!F113+'Exhibit H'!D69</f>
        <v>-2634.8999999999996</v>
      </c>
      <c r="F139" s="2458"/>
      <c r="G139" s="2702"/>
      <c r="H139" s="2458"/>
      <c r="I139" s="2702"/>
      <c r="J139" s="2458"/>
      <c r="K139" s="2702"/>
      <c r="L139" s="2458"/>
      <c r="M139" s="2702"/>
      <c r="N139" s="2458"/>
      <c r="O139" s="2702"/>
      <c r="P139" s="2458"/>
      <c r="Q139" s="2702"/>
      <c r="R139" s="2458"/>
      <c r="S139" s="2702"/>
      <c r="T139" s="2458"/>
      <c r="U139" s="2702"/>
      <c r="V139" s="2458"/>
      <c r="W139" s="2702"/>
      <c r="X139" s="2458"/>
      <c r="Y139" s="2702"/>
      <c r="Z139" s="2458"/>
      <c r="AA139" s="2703"/>
      <c r="AB139" s="3036">
        <f>ROUND(SUM(C139:Y139),1)</f>
        <v>-11223.9</v>
      </c>
      <c r="AC139" s="2465"/>
      <c r="AD139" s="3294"/>
      <c r="AE139" s="3036">
        <f>'Exhibit F'!AF130+'Exhibit F'!AF131+'Exhibit F'!AF132+'Exhibit F'!AF133+'Exhibit G State'!AG113+'Exhibit H'!AD69</f>
        <v>-11391.800000000001</v>
      </c>
      <c r="AF139" s="2475"/>
      <c r="AG139" s="2475"/>
      <c r="AH139" s="3036">
        <f>ROUND(SUM(-AB139+AE139),1)</f>
        <v>-167.9</v>
      </c>
      <c r="AI139" s="3246"/>
      <c r="AJ139" s="3253">
        <f>ROUND(SUM(AH139/ABS(AE139)),3)</f>
        <v>-1.4999999999999999E-2</v>
      </c>
    </row>
    <row r="140" spans="1:59" ht="16.5" customHeight="1">
      <c r="A140" s="1408"/>
      <c r="C140" s="2684"/>
      <c r="D140" s="2458"/>
      <c r="E140" s="2684"/>
      <c r="F140" s="2458"/>
      <c r="G140" s="2684"/>
      <c r="H140" s="2458"/>
      <c r="I140" s="2684"/>
      <c r="J140" s="2458"/>
      <c r="K140" s="2684"/>
      <c r="L140" s="2458"/>
      <c r="M140" s="2684"/>
      <c r="N140" s="2458"/>
      <c r="O140" s="3035"/>
      <c r="P140" s="2458"/>
      <c r="Q140" s="2684"/>
      <c r="R140" s="2458"/>
      <c r="S140" s="2684"/>
      <c r="T140" s="2458"/>
      <c r="U140" s="2684"/>
      <c r="V140" s="2458"/>
      <c r="W140" s="2684"/>
      <c r="X140" s="2458"/>
      <c r="Y140" s="2684"/>
      <c r="Z140" s="2458"/>
      <c r="AA140" s="2703"/>
      <c r="AB140" s="3035"/>
      <c r="AC140" s="2465"/>
      <c r="AD140" s="3294"/>
      <c r="AE140" s="3035"/>
      <c r="AF140" s="2475"/>
      <c r="AG140" s="2475"/>
      <c r="AH140" s="3035"/>
      <c r="AI140" s="3246"/>
      <c r="AJ140" s="1416"/>
    </row>
    <row r="141" spans="1:59" ht="16.5" customHeight="1">
      <c r="A141" s="1953" t="s">
        <v>48</v>
      </c>
      <c r="C141" s="2696">
        <f>ROUND(SUM(C138:C139),1)</f>
        <v>857.5</v>
      </c>
      <c r="D141" s="2704"/>
      <c r="E141" s="2696">
        <f>ROUND(SUM(E138:E139),1)</f>
        <v>314.8</v>
      </c>
      <c r="F141" s="2704"/>
      <c r="G141" s="2696">
        <f>ROUND(SUM(G138:G139),1)</f>
        <v>0</v>
      </c>
      <c r="H141" s="2704"/>
      <c r="I141" s="2696">
        <f>ROUND(SUM(I138:I139),1)</f>
        <v>0</v>
      </c>
      <c r="J141" s="2704"/>
      <c r="K141" s="2696">
        <f>ROUND(SUM(K138:K139),1)</f>
        <v>0</v>
      </c>
      <c r="L141" s="2704"/>
      <c r="M141" s="2696">
        <f>ROUND(SUM(M138:M139),1)</f>
        <v>0</v>
      </c>
      <c r="N141" s="2704"/>
      <c r="O141" s="3037">
        <f>ROUND(SUM(O138:O139),1)</f>
        <v>0</v>
      </c>
      <c r="P141" s="2704"/>
      <c r="Q141" s="2696">
        <f>ROUND(SUM(Q138:Q139),1)</f>
        <v>0</v>
      </c>
      <c r="R141" s="2704"/>
      <c r="S141" s="2696">
        <f>ROUND(SUM(S138:S139),1)</f>
        <v>0</v>
      </c>
      <c r="T141" s="2704"/>
      <c r="U141" s="2696">
        <f>ROUND(SUM(U138:U139),1)</f>
        <v>0</v>
      </c>
      <c r="V141" s="2704"/>
      <c r="W141" s="2696">
        <f>ROUND(SUM(W138:W139),1)</f>
        <v>0</v>
      </c>
      <c r="X141" s="2704"/>
      <c r="Y141" s="2696">
        <f>ROUND(SUM(Y138:Y139),1)</f>
        <v>0</v>
      </c>
      <c r="Z141" s="2704"/>
      <c r="AA141" s="2705"/>
      <c r="AB141" s="3037">
        <f>ROUND(SUM(AB138:AB139),1)</f>
        <v>1172.3</v>
      </c>
      <c r="AC141" s="2470"/>
      <c r="AD141" s="3295"/>
      <c r="AE141" s="3037">
        <f>ROUND(SUM(AE138:AE139),1)</f>
        <v>-536.1</v>
      </c>
      <c r="AF141" s="3254"/>
      <c r="AG141" s="2475"/>
      <c r="AH141" s="3037">
        <f>ROUND(SUM(AH138-AH139),1)</f>
        <v>1708.4</v>
      </c>
      <c r="AI141" s="2111"/>
      <c r="AJ141" s="2122">
        <f>ROUND(SUM(AH141/ABS(AE141)),3)</f>
        <v>3.1869999999999998</v>
      </c>
      <c r="AK141" s="2680"/>
      <c r="AL141" s="2680"/>
    </row>
    <row r="142" spans="1:59" ht="16.5" customHeight="1">
      <c r="A142" s="1794"/>
      <c r="C142" s="2458"/>
      <c r="D142" s="2458"/>
      <c r="E142" s="2458"/>
      <c r="F142" s="2458"/>
      <c r="G142" s="2458"/>
      <c r="H142" s="2458"/>
      <c r="I142" s="2458"/>
      <c r="J142" s="2458"/>
      <c r="K142" s="2458"/>
      <c r="L142" s="2458"/>
      <c r="M142" s="2458"/>
      <c r="N142" s="2458"/>
      <c r="O142" s="2465"/>
      <c r="P142" s="2458"/>
      <c r="Q142" s="2458"/>
      <c r="R142" s="2458"/>
      <c r="S142" s="2458"/>
      <c r="T142" s="2458"/>
      <c r="U142" s="2458"/>
      <c r="V142" s="2458"/>
      <c r="W142" s="2458"/>
      <c r="X142" s="2458"/>
      <c r="Y142" s="2458"/>
      <c r="Z142" s="2458"/>
      <c r="AA142" s="2703"/>
      <c r="AB142" s="2465"/>
      <c r="AC142" s="2465"/>
      <c r="AD142" s="3294"/>
      <c r="AE142" s="2465"/>
      <c r="AF142" s="2475"/>
      <c r="AG142" s="3255"/>
      <c r="AH142" s="1943"/>
      <c r="AI142" s="3246"/>
      <c r="AJ142" s="3246"/>
    </row>
    <row r="143" spans="1:59" ht="16.5" customHeight="1">
      <c r="A143" s="2111" t="s">
        <v>43</v>
      </c>
      <c r="C143" s="2684"/>
      <c r="D143" s="2458"/>
      <c r="E143" s="2684"/>
      <c r="F143" s="2458"/>
      <c r="G143" s="2684"/>
      <c r="H143" s="2458"/>
      <c r="I143" s="2684"/>
      <c r="J143" s="2458"/>
      <c r="K143" s="2684"/>
      <c r="L143" s="2458"/>
      <c r="M143" s="2684"/>
      <c r="N143" s="2458"/>
      <c r="O143" s="3035"/>
      <c r="P143" s="2458"/>
      <c r="Q143" s="2684"/>
      <c r="R143" s="2458"/>
      <c r="S143" s="2684"/>
      <c r="T143" s="2458"/>
      <c r="U143" s="2684"/>
      <c r="V143" s="2458"/>
      <c r="W143" s="2684"/>
      <c r="X143" s="2458"/>
      <c r="Y143" s="2684"/>
      <c r="Z143" s="2458"/>
      <c r="AA143" s="2703"/>
      <c r="AB143" s="3035"/>
      <c r="AC143" s="2465"/>
      <c r="AD143" s="3294"/>
      <c r="AE143" s="3035"/>
      <c r="AF143" s="2475"/>
      <c r="AG143" s="3256"/>
      <c r="AH143" s="1943"/>
      <c r="AI143" s="3246"/>
      <c r="AJ143" s="3246"/>
    </row>
    <row r="144" spans="1:59" ht="16.5" customHeight="1">
      <c r="A144" s="2111" t="s">
        <v>49</v>
      </c>
      <c r="C144" s="2694"/>
      <c r="D144" s="2704"/>
      <c r="E144" s="2694"/>
      <c r="F144" s="2704"/>
      <c r="G144" s="2694"/>
      <c r="H144" s="2704"/>
      <c r="I144" s="2694"/>
      <c r="J144" s="2704"/>
      <c r="K144" s="2694"/>
      <c r="L144" s="2704"/>
      <c r="M144" s="2694"/>
      <c r="N144" s="2704"/>
      <c r="O144" s="3292"/>
      <c r="P144" s="2704"/>
      <c r="Q144" s="2694"/>
      <c r="R144" s="2704"/>
      <c r="S144" s="2694"/>
      <c r="T144" s="2704"/>
      <c r="U144" s="2694"/>
      <c r="V144" s="2704"/>
      <c r="W144" s="2694"/>
      <c r="X144" s="2704"/>
      <c r="Y144" s="2694"/>
      <c r="Z144" s="2704"/>
      <c r="AA144" s="2705"/>
      <c r="AB144" s="3292"/>
      <c r="AC144" s="2470"/>
      <c r="AD144" s="3295"/>
      <c r="AE144" s="3292"/>
      <c r="AF144" s="2475"/>
      <c r="AG144" s="3256"/>
      <c r="AH144" s="1993"/>
      <c r="AI144" s="2111"/>
      <c r="AJ144" s="2111"/>
      <c r="AK144" s="2680"/>
      <c r="AL144" s="2680"/>
      <c r="AM144" s="2680"/>
      <c r="AN144" s="2680"/>
      <c r="AO144" s="2680"/>
      <c r="AP144" s="2680"/>
      <c r="AQ144" s="2680"/>
      <c r="AR144" s="2680"/>
      <c r="AS144" s="2680"/>
      <c r="AT144" s="2680"/>
      <c r="AU144" s="2680"/>
      <c r="AV144" s="2680"/>
      <c r="AW144" s="2680"/>
      <c r="AX144" s="2680"/>
      <c r="AY144" s="2680"/>
      <c r="AZ144" s="2680"/>
      <c r="BA144" s="2680"/>
      <c r="BB144" s="2680"/>
      <c r="BC144" s="2680"/>
      <c r="BD144" s="2680"/>
      <c r="BE144" s="2680"/>
      <c r="BF144" s="2680"/>
      <c r="BG144" s="2680"/>
    </row>
    <row r="145" spans="1:59" ht="16.5" customHeight="1">
      <c r="A145" s="2111" t="s">
        <v>50</v>
      </c>
      <c r="C145" s="2706">
        <f>ROUND(SUM(C135+C141),1)</f>
        <v>13720.3</v>
      </c>
      <c r="D145" s="2704"/>
      <c r="E145" s="2706">
        <f>ROUND(SUM(E135+E141),1)</f>
        <v>-5101.8999999999996</v>
      </c>
      <c r="F145" s="2704"/>
      <c r="G145" s="2706">
        <f>ROUND(SUM(G135+G141),1)</f>
        <v>0</v>
      </c>
      <c r="H145" s="2704"/>
      <c r="I145" s="2706">
        <f>ROUND(SUM(I135+I141),1)</f>
        <v>0</v>
      </c>
      <c r="J145" s="2704"/>
      <c r="K145" s="2706">
        <f>ROUND(SUM(K135+K141),1)</f>
        <v>0</v>
      </c>
      <c r="L145" s="2704"/>
      <c r="M145" s="2706">
        <f>ROUND(SUM(M135+M141),1)</f>
        <v>0</v>
      </c>
      <c r="N145" s="2704"/>
      <c r="O145" s="3296">
        <f>ROUND(SUM(O135+O141),1)</f>
        <v>0</v>
      </c>
      <c r="P145" s="2704"/>
      <c r="Q145" s="2706">
        <f>ROUND(SUM(Q135+Q141),1)</f>
        <v>0</v>
      </c>
      <c r="R145" s="2704"/>
      <c r="S145" s="2706">
        <f>ROUND(SUM(S135+S141),1)</f>
        <v>0</v>
      </c>
      <c r="T145" s="2704"/>
      <c r="U145" s="2706">
        <f>ROUND(SUM(U135+U141),1)</f>
        <v>0</v>
      </c>
      <c r="V145" s="2704"/>
      <c r="W145" s="2706">
        <f>ROUND(SUM(W135+W141),1)</f>
        <v>0</v>
      </c>
      <c r="X145" s="2704"/>
      <c r="Y145" s="2706">
        <f>ROUND(SUM(Y135+Y141),1)</f>
        <v>0</v>
      </c>
      <c r="Z145" s="2704"/>
      <c r="AA145" s="2705"/>
      <c r="AB145" s="3296">
        <f>ROUND(SUM(AB135+AB141),1)</f>
        <v>8618.4</v>
      </c>
      <c r="AC145" s="2470"/>
      <c r="AD145" s="3295"/>
      <c r="AE145" s="3296">
        <f>ROUND(SUM(AE135+AE141),1)</f>
        <v>6019.9</v>
      </c>
      <c r="AF145" s="2475"/>
      <c r="AG145" s="3256"/>
      <c r="AH145" s="3252">
        <f>ROUND(SUM(AB145-AE145),1)</f>
        <v>2598.5</v>
      </c>
      <c r="AI145" s="2111"/>
      <c r="AJ145" s="2122">
        <f>ROUND(SUM(AH145/ABS(AE145)),3)</f>
        <v>0.432</v>
      </c>
      <c r="AK145" s="2680"/>
      <c r="AL145" s="2680"/>
      <c r="AM145" s="2680"/>
      <c r="AN145" s="2680"/>
      <c r="AO145" s="2680"/>
      <c r="AP145" s="2680"/>
      <c r="AQ145" s="2680"/>
      <c r="AR145" s="2680"/>
      <c r="AS145" s="2680"/>
      <c r="AT145" s="2680"/>
      <c r="AU145" s="2680"/>
      <c r="AV145" s="2680"/>
      <c r="AW145" s="2680"/>
      <c r="AX145" s="2680"/>
      <c r="AY145" s="2680"/>
      <c r="AZ145" s="2680"/>
      <c r="BA145" s="2680"/>
      <c r="BB145" s="2680"/>
      <c r="BC145" s="2680"/>
      <c r="BD145" s="2680"/>
      <c r="BE145" s="2680"/>
      <c r="BF145" s="2680"/>
      <c r="BG145" s="2680"/>
    </row>
    <row r="146" spans="1:59" ht="15.75">
      <c r="A146" s="1953"/>
      <c r="C146" s="2674"/>
      <c r="E146" s="2674"/>
      <c r="G146" s="2674"/>
      <c r="I146" s="2674"/>
      <c r="K146" s="2674"/>
      <c r="M146" s="2674"/>
      <c r="O146" s="3281"/>
      <c r="Q146" s="2674"/>
      <c r="S146" s="2674"/>
      <c r="U146" s="2674"/>
      <c r="W146" s="2674"/>
      <c r="Y146" s="2674"/>
      <c r="AA146" s="2708"/>
      <c r="AB146" s="3281"/>
      <c r="AD146" s="3297"/>
      <c r="AE146" s="3721"/>
      <c r="AF146" s="2475"/>
      <c r="AG146" s="3256"/>
      <c r="AH146" s="3246"/>
      <c r="AI146" s="3246"/>
      <c r="AJ146" s="3246"/>
    </row>
    <row r="147" spans="1:59" thickBot="1">
      <c r="A147" s="2709" t="s">
        <v>139</v>
      </c>
      <c r="C147" s="2710">
        <f>ROUND(SUM(C16+C145),1)</f>
        <v>54487.5</v>
      </c>
      <c r="D147" s="2711"/>
      <c r="E147" s="2710">
        <f>ROUND(SUM(E16+E145),1)</f>
        <v>49385.599999999999</v>
      </c>
      <c r="F147" s="2711"/>
      <c r="G147" s="2710">
        <f>ROUND(SUM(G16+G145),1)</f>
        <v>0</v>
      </c>
      <c r="H147" s="2711"/>
      <c r="I147" s="2710">
        <f>ROUND(SUM(I16+I145),1)</f>
        <v>0</v>
      </c>
      <c r="J147" s="2712"/>
      <c r="K147" s="2710">
        <f>ROUND(SUM(K16+K145),1)</f>
        <v>0</v>
      </c>
      <c r="L147" s="2712"/>
      <c r="M147" s="2710">
        <f>ROUND(SUM(M16+M145),1)</f>
        <v>0</v>
      </c>
      <c r="N147" s="2712"/>
      <c r="O147" s="3038">
        <f>ROUND(SUM(O16+O145),1)</f>
        <v>0</v>
      </c>
      <c r="P147" s="2712"/>
      <c r="Q147" s="2710">
        <f>ROUND(SUM(Q16+Q145),1)</f>
        <v>0</v>
      </c>
      <c r="R147" s="2712"/>
      <c r="S147" s="2710">
        <f>ROUND(SUM(S16+S145),1)</f>
        <v>0</v>
      </c>
      <c r="T147" s="2712"/>
      <c r="U147" s="2710">
        <f>ROUND(SUM(U16+U145),1)</f>
        <v>0</v>
      </c>
      <c r="V147" s="2712"/>
      <c r="W147" s="2710">
        <f>ROUND(SUM(W16+W145),1)</f>
        <v>0</v>
      </c>
      <c r="X147" s="2712"/>
      <c r="Y147" s="2710">
        <f>ROUND(SUM(Y16+Y145),1)</f>
        <v>0</v>
      </c>
      <c r="Z147" s="2711"/>
      <c r="AA147" s="2707"/>
      <c r="AB147" s="3038">
        <f>ROUND(SUM(AB16+AB145),1)</f>
        <v>49385.599999999999</v>
      </c>
      <c r="AC147" s="3298"/>
      <c r="AD147" s="3257"/>
      <c r="AE147" s="3038">
        <f>ROUND(SUM(AE16+AE145),1)</f>
        <v>20954.3</v>
      </c>
      <c r="AF147" s="2475"/>
      <c r="AG147" s="3256"/>
      <c r="AH147" s="3038">
        <f>ROUND(SUM(AB147-AE147),1)</f>
        <v>28431.3</v>
      </c>
      <c r="AI147" s="2111"/>
      <c r="AJ147" s="3258">
        <f>ROUND(SUM(AH147/ABS(AE147)),3)</f>
        <v>1.357</v>
      </c>
      <c r="AK147" s="2680"/>
    </row>
    <row r="148" spans="1:59" thickTop="1">
      <c r="A148" s="2713"/>
      <c r="C148" s="2692"/>
      <c r="AH148" s="3246"/>
      <c r="AI148" s="3246"/>
      <c r="AJ148" s="3246"/>
    </row>
    <row r="149" spans="1:59" ht="15">
      <c r="A149" s="2194" t="s">
        <v>1061</v>
      </c>
      <c r="O149" s="1933" t="s">
        <v>14</v>
      </c>
      <c r="AH149" s="3246"/>
      <c r="AI149" s="3246"/>
      <c r="AJ149" s="3246"/>
    </row>
    <row r="150" spans="1:59" ht="15">
      <c r="A150" s="2194" t="s">
        <v>1458</v>
      </c>
      <c r="AB150" s="1933" t="s">
        <v>14</v>
      </c>
      <c r="AH150" s="3246"/>
      <c r="AI150" s="3246"/>
      <c r="AJ150" s="3246"/>
    </row>
    <row r="151" spans="1:59" ht="15">
      <c r="A151" s="2714" t="s">
        <v>1457</v>
      </c>
      <c r="AB151" s="1933" t="s">
        <v>14</v>
      </c>
      <c r="AH151" s="3246"/>
      <c r="AI151" s="3246"/>
      <c r="AJ151" s="3246"/>
    </row>
    <row r="152" spans="1:59" ht="16.5" customHeight="1">
      <c r="AH152" s="3246"/>
      <c r="AI152" s="3246"/>
      <c r="AJ152" s="3246"/>
    </row>
    <row r="153" spans="1:59" ht="16.5" customHeight="1">
      <c r="AH153" s="3246"/>
      <c r="AI153" s="3246"/>
      <c r="AJ153" s="3246"/>
    </row>
    <row r="154" spans="1:59" ht="16.5" customHeight="1">
      <c r="AH154" s="3246"/>
      <c r="AI154" s="3246"/>
      <c r="AJ154" s="3246"/>
    </row>
    <row r="155" spans="1:59" ht="16.5" customHeight="1">
      <c r="AH155" s="3246"/>
      <c r="AI155" s="3246"/>
      <c r="AJ155" s="3246"/>
    </row>
    <row r="156" spans="1:59" ht="16.5" customHeight="1">
      <c r="AH156" s="3246"/>
      <c r="AI156" s="3246"/>
      <c r="AJ156" s="3246"/>
    </row>
    <row r="157" spans="1:59" ht="16.5" customHeight="1">
      <c r="AH157" s="3246"/>
      <c r="AI157" s="3246"/>
      <c r="AJ157" s="3246"/>
    </row>
    <row r="158" spans="1:59" ht="16.5" customHeight="1">
      <c r="AH158" s="3246"/>
      <c r="AI158" s="3246"/>
      <c r="AJ158" s="3246"/>
    </row>
    <row r="159" spans="1:59" ht="16.5" customHeight="1">
      <c r="AH159" s="3246"/>
      <c r="AI159" s="3246"/>
      <c r="AJ159" s="3246"/>
    </row>
    <row r="160" spans="1:59" ht="16.5" customHeight="1">
      <c r="AH160" s="3246"/>
      <c r="AI160" s="3246"/>
      <c r="AJ160" s="3246"/>
    </row>
    <row r="161" spans="34:36" ht="16.5" customHeight="1">
      <c r="AH161" s="3246"/>
      <c r="AI161" s="3246"/>
      <c r="AJ161" s="3246"/>
    </row>
    <row r="162" spans="34:36" ht="16.5" customHeight="1">
      <c r="AH162" s="3246"/>
      <c r="AI162" s="3246"/>
      <c r="AJ162" s="3246"/>
    </row>
    <row r="163" spans="34:36" ht="16.5" customHeight="1">
      <c r="AH163" s="3246"/>
      <c r="AI163" s="3246"/>
      <c r="AJ163" s="3246"/>
    </row>
    <row r="164" spans="34:36" ht="16.5" customHeight="1">
      <c r="AH164" s="3246"/>
      <c r="AI164" s="3246"/>
      <c r="AJ164" s="3246"/>
    </row>
    <row r="165" spans="34:36" ht="16.5" customHeight="1">
      <c r="AH165" s="3246"/>
      <c r="AI165" s="3246"/>
      <c r="AJ165" s="3246"/>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7" max="35" man="1"/>
  </rowBreaks>
  <ignoredErrors>
    <ignoredError sqref="AJ27:AJ32" unlockedFormula="1"/>
    <ignoredError sqref="AH35:AI35 AJ35 AJ94 AJ81 AH47:AJ47 AB26 AH24 AJ33" formula="1"/>
    <ignoredError sqref="AJ86 AJ74:AJ76 AJ71 AJ68 AJ70 AJ73 AJ114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6"/>
  <sheetViews>
    <sheetView showGridLines="0" zoomScale="80" zoomScaleNormal="70" workbookViewId="0"/>
  </sheetViews>
  <sheetFormatPr defaultColWidth="8.6640625" defaultRowHeight="12.75"/>
  <cols>
    <col min="1" max="1" width="2.5546875" style="2333" customWidth="1"/>
    <col min="2" max="2" width="48.5546875" style="2333" customWidth="1"/>
    <col min="3" max="3" width="1.109375" style="2333" customWidth="1"/>
    <col min="4" max="4" width="12.44140625" style="2333" bestFit="1" customWidth="1"/>
    <col min="5" max="5" width="1.6640625" style="2333" customWidth="1"/>
    <col min="6" max="6" width="12.6640625" style="2333" bestFit="1" customWidth="1"/>
    <col min="7" max="7" width="1.6640625" style="2333" customWidth="1"/>
    <col min="8" max="8" width="12.6640625" style="2333" bestFit="1" customWidth="1"/>
    <col min="9" max="9" width="1.6640625" style="2333" customWidth="1"/>
    <col min="10" max="10" width="13.6640625" style="2334" customWidth="1"/>
    <col min="11" max="11" width="1.6640625" style="2333" customWidth="1"/>
    <col min="12" max="12" width="12.6640625" style="2333" bestFit="1" customWidth="1"/>
    <col min="13" max="13" width="1.6640625" style="2333" customWidth="1"/>
    <col min="14" max="14" width="13.6640625" style="2333" customWidth="1"/>
    <col min="15" max="15" width="1.6640625" style="2333" customWidth="1"/>
    <col min="16" max="16" width="12.6640625" style="2335" bestFit="1" customWidth="1"/>
    <col min="17" max="17" width="1.6640625" style="2333" customWidth="1"/>
    <col min="18" max="18" width="12.109375" style="2333" customWidth="1"/>
    <col min="19" max="19" width="1.6640625" style="2333" customWidth="1"/>
    <col min="20" max="20" width="14.6640625" style="2333" customWidth="1"/>
    <col min="21" max="21" width="1.6640625" style="2333" customWidth="1"/>
    <col min="22" max="22" width="12.109375" style="2333" customWidth="1"/>
    <col min="23" max="23" width="1.6640625" style="2333" customWidth="1"/>
    <col min="24" max="24" width="12.6640625" style="2333" customWidth="1"/>
    <col min="25" max="25" width="1.6640625" style="2333" customWidth="1"/>
    <col min="26" max="26" width="14.5546875" style="2333" customWidth="1"/>
    <col min="27" max="27" width="1.5546875" style="2333" customWidth="1"/>
    <col min="28" max="28" width="1.6640625" style="2333" customWidth="1"/>
    <col min="29" max="29" width="13.109375" style="2335" customWidth="1"/>
    <col min="30" max="30" width="1.44140625" style="2335" customWidth="1"/>
    <col min="31" max="31" width="1.109375" style="2335" customWidth="1"/>
    <col min="32" max="32" width="15.109375" style="2335" customWidth="1"/>
    <col min="33" max="33" width="1" style="2333" customWidth="1"/>
    <col min="34" max="34" width="1.109375" style="2333" customWidth="1"/>
    <col min="35" max="35" width="13.109375" style="2333" bestFit="1" customWidth="1"/>
    <col min="36" max="36" width="1" style="2336" customWidth="1"/>
    <col min="37" max="37" width="13.6640625" style="2337" bestFit="1" customWidth="1"/>
    <col min="38" max="38" width="10.109375" style="2333" customWidth="1"/>
    <col min="39" max="16384" width="8.6640625" style="2333"/>
  </cols>
  <sheetData>
    <row r="1" spans="1:37" ht="15">
      <c r="B1" s="2171" t="s">
        <v>870</v>
      </c>
    </row>
    <row r="2" spans="1:37">
      <c r="A2" s="2338"/>
      <c r="B2" s="1968"/>
      <c r="C2" s="1968"/>
      <c r="D2" s="1968"/>
      <c r="E2" s="1968"/>
      <c r="F2" s="1968"/>
      <c r="G2" s="1968"/>
      <c r="H2" s="1968"/>
      <c r="I2" s="1968"/>
      <c r="J2" s="2339"/>
      <c r="K2" s="1968"/>
      <c r="L2" s="1968"/>
      <c r="M2" s="1968"/>
      <c r="N2" s="1968"/>
      <c r="O2" s="1968"/>
      <c r="P2" s="2131"/>
      <c r="Q2" s="1968"/>
      <c r="R2" s="1968"/>
      <c r="S2" s="1968"/>
      <c r="T2" s="1968"/>
      <c r="U2" s="1968"/>
      <c r="V2" s="1968"/>
      <c r="W2" s="1968"/>
      <c r="X2" s="1968"/>
      <c r="Y2" s="1968"/>
      <c r="Z2" s="1968"/>
      <c r="AA2" s="1968"/>
      <c r="AB2" s="1968"/>
      <c r="AC2" s="2131"/>
      <c r="AD2" s="2131"/>
      <c r="AE2" s="2131"/>
      <c r="AF2" s="2131"/>
      <c r="AG2" s="1968"/>
      <c r="AH2" s="2340"/>
    </row>
    <row r="3" spans="1:37" ht="18">
      <c r="A3" s="2338"/>
      <c r="B3" s="2341" t="s">
        <v>0</v>
      </c>
      <c r="C3" s="1968"/>
      <c r="D3" s="1968"/>
      <c r="E3" s="1968"/>
      <c r="F3" s="2342"/>
      <c r="G3" s="1968"/>
      <c r="H3" s="1968"/>
      <c r="I3" s="1968"/>
      <c r="J3" s="2339"/>
      <c r="K3" s="1968"/>
      <c r="L3" s="1968"/>
      <c r="M3" s="2343"/>
      <c r="N3" s="2344"/>
      <c r="O3" s="1968"/>
      <c r="P3" s="2131"/>
      <c r="Q3" s="1968"/>
      <c r="R3" s="1968"/>
      <c r="S3" s="1968"/>
      <c r="T3" s="1968"/>
      <c r="U3" s="1968"/>
      <c r="V3" s="1968"/>
      <c r="W3" s="1968"/>
      <c r="X3" s="1968"/>
      <c r="Y3" s="1968"/>
      <c r="Z3" s="1968"/>
      <c r="AA3" s="1968"/>
      <c r="AB3" s="1968"/>
      <c r="AC3" s="2131"/>
      <c r="AD3" s="2131"/>
      <c r="AE3" s="2131"/>
      <c r="AF3" s="2131"/>
      <c r="AG3" s="1968"/>
      <c r="AH3" s="2340"/>
      <c r="AK3" s="2345" t="s">
        <v>144</v>
      </c>
    </row>
    <row r="4" spans="1:37" ht="18">
      <c r="A4" s="2338"/>
      <c r="B4" s="2346" t="s">
        <v>143</v>
      </c>
      <c r="C4" s="1968"/>
      <c r="D4" s="1968"/>
      <c r="E4" s="1968"/>
      <c r="F4" s="2342"/>
      <c r="G4" s="1968"/>
      <c r="H4" s="1968" t="s">
        <v>14</v>
      </c>
      <c r="I4" s="1968"/>
      <c r="J4" s="2339"/>
      <c r="K4" s="1968"/>
      <c r="L4" s="1968"/>
      <c r="M4" s="2343"/>
      <c r="N4" s="2344"/>
      <c r="O4" s="1968"/>
      <c r="P4" s="2131"/>
      <c r="Q4" s="1968"/>
      <c r="R4" s="1968"/>
      <c r="S4" s="1968"/>
      <c r="T4" s="1968"/>
      <c r="U4" s="1968"/>
      <c r="V4" s="1968"/>
      <c r="W4" s="1968"/>
      <c r="X4" s="1968"/>
      <c r="Y4" s="1968"/>
      <c r="Z4" s="1968"/>
      <c r="AA4" s="1968"/>
      <c r="AB4" s="1968"/>
      <c r="AC4" s="3039"/>
      <c r="AD4" s="3039"/>
      <c r="AE4" s="3039"/>
      <c r="AF4" s="3369"/>
      <c r="AG4" s="2347"/>
      <c r="AH4" s="2340"/>
    </row>
    <row r="5" spans="1:37" ht="18">
      <c r="A5" s="2338"/>
      <c r="B5" s="2346" t="s">
        <v>145</v>
      </c>
      <c r="C5" s="1968"/>
      <c r="D5" s="1968"/>
      <c r="E5" s="1968"/>
      <c r="F5" s="2342"/>
      <c r="G5" s="1968"/>
      <c r="H5" s="1968"/>
      <c r="I5" s="1968"/>
      <c r="J5" s="2339"/>
      <c r="K5" s="1968"/>
      <c r="L5" s="1968"/>
      <c r="M5" s="2343"/>
      <c r="N5" s="2344"/>
      <c r="O5" s="1968"/>
      <c r="P5" s="2131"/>
      <c r="Q5" s="1968"/>
      <c r="R5" s="1968"/>
      <c r="S5" s="1968"/>
      <c r="T5" s="1968"/>
      <c r="U5" s="1968"/>
      <c r="V5" s="1968"/>
      <c r="W5" s="1968"/>
      <c r="X5" s="1968"/>
      <c r="Y5" s="1968"/>
      <c r="Z5" s="1968"/>
      <c r="AA5" s="1968"/>
      <c r="AB5" s="1968"/>
      <c r="AD5" s="3040"/>
      <c r="AE5" s="3040"/>
      <c r="AH5" s="2340"/>
    </row>
    <row r="6" spans="1:37" ht="18" customHeight="1">
      <c r="A6" s="2338"/>
      <c r="B6" s="2348" t="str">
        <f>'Cashflow Governmental'!A6</f>
        <v xml:space="preserve">FISCAL YEAR 2022-2023   </v>
      </c>
      <c r="C6" s="1968"/>
      <c r="D6" s="1968"/>
      <c r="E6" s="1968"/>
      <c r="F6" s="2342"/>
      <c r="G6" s="1968"/>
      <c r="H6" s="1968"/>
      <c r="I6" s="1968"/>
      <c r="J6" s="2339"/>
      <c r="K6" s="1968"/>
      <c r="L6" s="1968"/>
      <c r="M6" s="2343"/>
      <c r="N6" s="2344"/>
      <c r="O6" s="1968"/>
      <c r="P6" s="2131"/>
      <c r="Q6" s="1968"/>
      <c r="R6" s="1968"/>
      <c r="S6" s="1968"/>
      <c r="T6" s="1968"/>
      <c r="U6" s="1968"/>
      <c r="V6" s="1968"/>
      <c r="W6" s="1968"/>
      <c r="X6" s="1968"/>
      <c r="Y6" s="1968"/>
      <c r="Z6" s="1968"/>
      <c r="AA6" s="1968"/>
      <c r="AB6" s="1968"/>
      <c r="AC6" s="2131"/>
      <c r="AD6" s="2131"/>
      <c r="AE6" s="2131"/>
      <c r="AF6" s="2131"/>
      <c r="AG6" s="1968"/>
      <c r="AH6" s="2340"/>
    </row>
    <row r="7" spans="1:37" ht="15" customHeight="1">
      <c r="A7" s="2338"/>
      <c r="B7" s="2346" t="s">
        <v>1250</v>
      </c>
      <c r="C7" s="1968"/>
      <c r="D7" s="1968"/>
      <c r="E7" s="1968"/>
      <c r="F7" s="2342"/>
      <c r="G7" s="1968"/>
      <c r="H7" s="1968"/>
      <c r="I7" s="1968"/>
      <c r="J7" s="2339"/>
      <c r="K7" s="1968"/>
      <c r="L7" s="2344"/>
      <c r="M7" s="2343"/>
      <c r="N7" s="1968"/>
      <c r="O7" s="1968"/>
      <c r="P7" s="2975"/>
      <c r="Q7" s="1968"/>
      <c r="R7" s="1968"/>
      <c r="S7" s="1968"/>
      <c r="T7" s="1968"/>
      <c r="U7" s="1968"/>
      <c r="V7" s="1968"/>
      <c r="W7" s="1968"/>
      <c r="X7" s="1968"/>
      <c r="Y7" s="1968"/>
      <c r="Z7" s="1968"/>
      <c r="AA7" s="1968"/>
      <c r="AB7" s="1968"/>
      <c r="AC7" s="2131"/>
      <c r="AD7" s="2131"/>
      <c r="AE7" s="2131"/>
      <c r="AF7" s="2131"/>
      <c r="AG7" s="1968"/>
      <c r="AH7" s="2340"/>
    </row>
    <row r="8" spans="1:37" ht="15.75">
      <c r="A8" s="2338"/>
      <c r="B8" s="1968"/>
      <c r="C8" s="1968"/>
      <c r="D8" s="1968"/>
      <c r="E8" s="1968"/>
      <c r="F8" s="2342"/>
      <c r="G8" s="1968"/>
      <c r="H8" s="1968"/>
      <c r="I8" s="1968"/>
      <c r="J8" s="2339"/>
      <c r="K8" s="1968"/>
      <c r="L8" s="1968"/>
      <c r="M8" s="1968"/>
      <c r="N8" s="1968"/>
      <c r="O8" s="1968"/>
      <c r="P8" s="2131"/>
      <c r="Q8" s="1968"/>
      <c r="R8" s="1968"/>
      <c r="S8" s="1968"/>
      <c r="T8" s="1968"/>
      <c r="U8" s="1968"/>
      <c r="V8" s="1968"/>
      <c r="W8" s="1968"/>
      <c r="X8" s="1968"/>
      <c r="Y8" s="1968"/>
      <c r="Z8" s="1968"/>
      <c r="AA8" s="1968"/>
      <c r="AB8" s="3953" t="str">
        <f>+'Cashflow Governmental'!AB12:AJ12</f>
        <v>2 Months Ended May 31</v>
      </c>
      <c r="AC8" s="3953"/>
      <c r="AD8" s="3953"/>
      <c r="AE8" s="3953"/>
      <c r="AF8" s="3953"/>
      <c r="AG8" s="3953"/>
      <c r="AH8" s="3953"/>
      <c r="AI8" s="3953"/>
      <c r="AJ8" s="3953"/>
      <c r="AK8" s="3953"/>
    </row>
    <row r="9" spans="1:37" ht="15" customHeight="1">
      <c r="A9" s="2338"/>
      <c r="B9" s="1965"/>
      <c r="C9" s="1965"/>
      <c r="D9" s="2349" t="str">
        <f>'Cashflow Governmental'!C13</f>
        <v>2022</v>
      </c>
      <c r="E9" s="2350"/>
      <c r="F9" s="2350"/>
      <c r="G9" s="2350"/>
      <c r="H9" s="2350"/>
      <c r="I9" s="2350"/>
      <c r="J9" s="2350"/>
      <c r="K9" s="2350"/>
      <c r="L9" s="2350"/>
      <c r="M9" s="2350"/>
      <c r="N9" s="2350"/>
      <c r="O9" s="2350"/>
      <c r="P9" s="2976"/>
      <c r="Q9" s="2350"/>
      <c r="R9" s="2350"/>
      <c r="S9" s="2350"/>
      <c r="T9" s="2350"/>
      <c r="U9" s="2350"/>
      <c r="V9" s="2349">
        <f>'Cashflow Governmental'!U13</f>
        <v>2023</v>
      </c>
      <c r="W9" s="2350"/>
      <c r="X9" s="2350"/>
      <c r="Y9" s="2350"/>
      <c r="Z9" s="2350"/>
      <c r="AA9" s="2344"/>
      <c r="AB9" s="2343"/>
      <c r="AC9" s="2353"/>
      <c r="AD9" s="1803"/>
      <c r="AE9" s="1803"/>
      <c r="AF9" s="2353"/>
      <c r="AG9" s="2351"/>
      <c r="AH9" s="2354"/>
      <c r="AI9" s="2355" t="s">
        <v>7</v>
      </c>
      <c r="AJ9" s="2351"/>
      <c r="AK9" s="2356" t="s">
        <v>8</v>
      </c>
    </row>
    <row r="10" spans="1:37" ht="15" customHeight="1">
      <c r="A10" s="2338"/>
      <c r="B10" s="1965"/>
      <c r="C10" s="1965"/>
      <c r="D10" s="2357" t="s">
        <v>122</v>
      </c>
      <c r="E10" s="2343"/>
      <c r="F10" s="2358" t="s">
        <v>123</v>
      </c>
      <c r="G10" s="2343"/>
      <c r="H10" s="2358" t="s">
        <v>124</v>
      </c>
      <c r="I10" s="2343"/>
      <c r="J10" s="2359" t="s">
        <v>125</v>
      </c>
      <c r="K10" s="2343"/>
      <c r="L10" s="2360" t="s">
        <v>126</v>
      </c>
      <c r="M10" s="2343"/>
      <c r="N10" s="2360" t="s">
        <v>141</v>
      </c>
      <c r="O10" s="2343"/>
      <c r="P10" s="2504" t="s">
        <v>142</v>
      </c>
      <c r="Q10" s="2343"/>
      <c r="R10" s="2360" t="s">
        <v>129</v>
      </c>
      <c r="S10" s="2343"/>
      <c r="T10" s="2360" t="s">
        <v>130</v>
      </c>
      <c r="U10" s="2343"/>
      <c r="V10" s="2360" t="s">
        <v>131</v>
      </c>
      <c r="W10" s="2343"/>
      <c r="X10" s="2360" t="s">
        <v>132</v>
      </c>
      <c r="Y10" s="2343"/>
      <c r="Z10" s="2360" t="s">
        <v>182</v>
      </c>
      <c r="AA10" s="2356"/>
      <c r="AB10" s="2343"/>
      <c r="AC10" s="3041">
        <f>'Cashflow Governmental'!AB14</f>
        <v>2022</v>
      </c>
      <c r="AD10" s="2468" t="s">
        <v>14</v>
      </c>
      <c r="AE10" s="2468"/>
      <c r="AF10" s="3041">
        <f>'Cashflow Governmental'!AE14</f>
        <v>2021</v>
      </c>
      <c r="AG10" s="2361"/>
      <c r="AH10" s="2354"/>
      <c r="AI10" s="2362" t="s">
        <v>11</v>
      </c>
      <c r="AJ10" s="2344"/>
      <c r="AK10" s="2363" t="s">
        <v>12</v>
      </c>
    </row>
    <row r="11" spans="1:37" ht="5.25" customHeight="1">
      <c r="A11" s="2338"/>
      <c r="B11" s="1965"/>
      <c r="C11" s="1965"/>
      <c r="D11" s="2364" t="s">
        <v>14</v>
      </c>
      <c r="E11" s="1965"/>
      <c r="F11" s="2365"/>
      <c r="G11" s="1965"/>
      <c r="H11" s="2364"/>
      <c r="I11" s="1965"/>
      <c r="J11" s="1994"/>
      <c r="K11" s="1965"/>
      <c r="L11" s="2364"/>
      <c r="M11" s="1965"/>
      <c r="N11" s="2364"/>
      <c r="O11" s="1965"/>
      <c r="P11" s="2946"/>
      <c r="Q11" s="1965"/>
      <c r="R11" s="2364"/>
      <c r="S11" s="1965"/>
      <c r="T11" s="2364"/>
      <c r="U11" s="1965"/>
      <c r="V11" s="2364"/>
      <c r="W11" s="1965"/>
      <c r="X11" s="2364"/>
      <c r="Y11" s="1965"/>
      <c r="Z11" s="2364"/>
      <c r="AA11" s="1964"/>
      <c r="AB11" s="1965"/>
      <c r="AC11" s="2123"/>
      <c r="AD11" s="2124"/>
      <c r="AE11" s="2124"/>
      <c r="AF11" s="2123"/>
      <c r="AG11" s="1964"/>
      <c r="AH11" s="2366"/>
    </row>
    <row r="12" spans="1:37" ht="15" customHeight="1">
      <c r="A12" s="2367"/>
      <c r="B12" s="2368" t="s">
        <v>134</v>
      </c>
      <c r="C12" s="1987"/>
      <c r="D12" s="2369">
        <v>33052.699999999997</v>
      </c>
      <c r="E12" s="2370"/>
      <c r="F12" s="2371">
        <f>D142</f>
        <v>45693.4</v>
      </c>
      <c r="G12" s="2370"/>
      <c r="H12" s="2371"/>
      <c r="I12" s="2370"/>
      <c r="J12" s="2371"/>
      <c r="K12" s="2370"/>
      <c r="L12" s="2371"/>
      <c r="M12" s="2370"/>
      <c r="N12" s="2371"/>
      <c r="O12" s="2370"/>
      <c r="P12" s="2371"/>
      <c r="Q12" s="2370"/>
      <c r="R12" s="2371"/>
      <c r="S12" s="2370"/>
      <c r="T12" s="2371"/>
      <c r="U12" s="2370"/>
      <c r="V12" s="2371"/>
      <c r="W12" s="2371"/>
      <c r="X12" s="2371"/>
      <c r="Y12" s="2370"/>
      <c r="Z12" s="2371"/>
      <c r="AA12" s="2370"/>
      <c r="AB12" s="2372"/>
      <c r="AC12" s="1972">
        <f>D12</f>
        <v>33052.699999999997</v>
      </c>
      <c r="AD12" s="2373"/>
      <c r="AE12" s="3042"/>
      <c r="AF12" s="3355">
        <v>9160.7999999999993</v>
      </c>
      <c r="AG12" s="2370"/>
      <c r="AH12" s="2374"/>
      <c r="AI12" s="2371">
        <f>ROUND(SUM(+AC12-AF12),1)</f>
        <v>23891.9</v>
      </c>
      <c r="AJ12" s="2375"/>
      <c r="AK12" s="1399">
        <f>ROUND(IF(AF12=0,0,AI12/ABS(AF12)),3)</f>
        <v>2.6080000000000001</v>
      </c>
    </row>
    <row r="13" spans="1:37" ht="15" customHeight="1">
      <c r="A13" s="2367"/>
      <c r="B13" s="1987"/>
      <c r="C13" s="1987"/>
      <c r="D13" s="1987"/>
      <c r="E13" s="1987"/>
      <c r="F13" s="2376"/>
      <c r="G13" s="1987"/>
      <c r="H13" s="2376"/>
      <c r="I13" s="1987"/>
      <c r="J13" s="1938"/>
      <c r="K13" s="1987"/>
      <c r="L13" s="2376"/>
      <c r="M13" s="1987"/>
      <c r="N13" s="1965"/>
      <c r="O13" s="1987"/>
      <c r="P13" s="2124"/>
      <c r="Q13" s="1987"/>
      <c r="R13" s="1965"/>
      <c r="S13" s="1987"/>
      <c r="T13" s="1965"/>
      <c r="U13" s="1987"/>
      <c r="V13" s="1965"/>
      <c r="W13" s="1987"/>
      <c r="X13" s="1965"/>
      <c r="Y13" s="1987"/>
      <c r="Z13" s="1965"/>
      <c r="AA13" s="1965"/>
      <c r="AB13" s="1986"/>
      <c r="AC13" s="2124"/>
      <c r="AD13" s="2381"/>
      <c r="AE13" s="3043"/>
      <c r="AF13" s="2124"/>
      <c r="AG13" s="1965"/>
      <c r="AH13" s="2366"/>
      <c r="AI13" s="1968"/>
      <c r="AJ13" s="2377"/>
      <c r="AK13" s="1417"/>
    </row>
    <row r="14" spans="1:37" ht="15" customHeight="1">
      <c r="A14" s="2367"/>
      <c r="B14" s="2343" t="s">
        <v>13</v>
      </c>
      <c r="C14" s="1987"/>
      <c r="D14" s="1987"/>
      <c r="E14" s="1987"/>
      <c r="F14" s="1965"/>
      <c r="G14" s="1987"/>
      <c r="H14" s="1965"/>
      <c r="I14" s="1987"/>
      <c r="J14" s="1938"/>
      <c r="K14" s="1987"/>
      <c r="L14" s="1965"/>
      <c r="M14" s="1987"/>
      <c r="N14" s="1965"/>
      <c r="O14" s="1987"/>
      <c r="P14" s="2124"/>
      <c r="Q14" s="1987"/>
      <c r="R14" s="1965"/>
      <c r="S14" s="1987"/>
      <c r="T14" s="1965"/>
      <c r="U14" s="1987"/>
      <c r="V14" s="1965"/>
      <c r="W14" s="1987"/>
      <c r="X14" s="1965"/>
      <c r="Y14" s="1987"/>
      <c r="Z14" s="1965"/>
      <c r="AA14" s="1965"/>
      <c r="AB14" s="1986"/>
      <c r="AC14" s="2124"/>
      <c r="AD14" s="2381"/>
      <c r="AE14" s="3043"/>
      <c r="AF14" s="2124"/>
      <c r="AG14" s="1965"/>
      <c r="AH14" s="2366"/>
      <c r="AI14" s="1968"/>
      <c r="AJ14" s="2377"/>
      <c r="AK14" s="1417"/>
    </row>
    <row r="15" spans="1:37" ht="15" customHeight="1">
      <c r="A15" s="2367"/>
      <c r="B15" s="2378" t="s">
        <v>980</v>
      </c>
      <c r="C15" s="1987"/>
      <c r="D15" s="1987"/>
      <c r="E15" s="1987"/>
      <c r="F15" s="1965"/>
      <c r="G15" s="1987"/>
      <c r="H15" s="1965"/>
      <c r="I15" s="1987"/>
      <c r="J15" s="1938"/>
      <c r="K15" s="1987"/>
      <c r="L15" s="1965"/>
      <c r="M15" s="1987"/>
      <c r="N15" s="1965"/>
      <c r="O15" s="1987"/>
      <c r="P15" s="2124"/>
      <c r="Q15" s="1987"/>
      <c r="R15" s="1965"/>
      <c r="S15" s="1987"/>
      <c r="T15" s="1965"/>
      <c r="U15" s="1987"/>
      <c r="V15" s="1965"/>
      <c r="W15" s="1987"/>
      <c r="X15" s="1965"/>
      <c r="Y15" s="1987"/>
      <c r="Z15" s="1965"/>
      <c r="AA15" s="1965"/>
      <c r="AB15" s="1986"/>
      <c r="AC15" s="2124"/>
      <c r="AD15" s="2381"/>
      <c r="AE15" s="3043"/>
      <c r="AF15" s="2124"/>
      <c r="AG15" s="1965"/>
      <c r="AH15" s="2366"/>
      <c r="AI15" s="1968"/>
      <c r="AJ15" s="2377"/>
      <c r="AK15" s="1417"/>
    </row>
    <row r="16" spans="1:37" ht="15" customHeight="1">
      <c r="A16" s="2367"/>
      <c r="B16" s="2379" t="s">
        <v>1042</v>
      </c>
      <c r="C16" s="1987"/>
      <c r="D16" s="1987"/>
      <c r="E16" s="1987"/>
      <c r="F16" s="1965"/>
      <c r="G16" s="1987"/>
      <c r="H16" s="1965"/>
      <c r="I16" s="1987"/>
      <c r="J16" s="1938"/>
      <c r="K16" s="1987"/>
      <c r="L16" s="1965"/>
      <c r="M16" s="1987"/>
      <c r="N16" s="1965"/>
      <c r="O16" s="1987"/>
      <c r="P16" s="2124"/>
      <c r="Q16" s="1987"/>
      <c r="R16" s="1965"/>
      <c r="S16" s="1987"/>
      <c r="T16" s="1965"/>
      <c r="U16" s="1987"/>
      <c r="V16" s="1965"/>
      <c r="W16" s="1987"/>
      <c r="X16" s="1965"/>
      <c r="Y16" s="1987"/>
      <c r="Z16" s="1965"/>
      <c r="AA16" s="1965"/>
      <c r="AB16" s="1986"/>
      <c r="AC16" s="2124"/>
      <c r="AD16" s="2381"/>
      <c r="AE16" s="3043"/>
      <c r="AF16" s="2124"/>
      <c r="AG16" s="1965"/>
      <c r="AH16" s="2366"/>
      <c r="AI16" s="1968"/>
      <c r="AJ16" s="2377"/>
      <c r="AK16" s="1417"/>
    </row>
    <row r="17" spans="1:41" s="2335" customFormat="1" ht="15" customHeight="1">
      <c r="A17" s="2380"/>
      <c r="B17" s="2265" t="s">
        <v>986</v>
      </c>
      <c r="C17" s="2381"/>
      <c r="D17" s="3741">
        <v>3733.2</v>
      </c>
      <c r="E17" s="1451"/>
      <c r="F17" s="3741">
        <f>$AC17-D17</f>
        <v>3632</v>
      </c>
      <c r="G17" s="1451"/>
      <c r="H17" s="1741"/>
      <c r="I17" s="2382"/>
      <c r="J17" s="1741"/>
      <c r="K17" s="1741"/>
      <c r="L17" s="1741"/>
      <c r="M17" s="1941"/>
      <c r="N17" s="1741"/>
      <c r="O17" s="1941"/>
      <c r="P17" s="1741"/>
      <c r="Q17" s="1941"/>
      <c r="R17" s="1741"/>
      <c r="S17" s="1941"/>
      <c r="T17" s="1741"/>
      <c r="U17" s="1941"/>
      <c r="V17" s="1741"/>
      <c r="W17" s="1941"/>
      <c r="X17" s="1741"/>
      <c r="Y17" s="1941"/>
      <c r="Z17" s="1741"/>
      <c r="AA17" s="1942"/>
      <c r="AB17" s="1945"/>
      <c r="AC17" s="1757">
        <v>7365.2</v>
      </c>
      <c r="AD17" s="1984"/>
      <c r="AE17" s="1945" t="s">
        <v>14</v>
      </c>
      <c r="AF17" s="1757">
        <v>6819.5</v>
      </c>
      <c r="AG17" s="2124"/>
      <c r="AH17" s="2383"/>
      <c r="AI17" s="1943">
        <f>ROUND(SUM(+AC17-AF17),1)</f>
        <v>545.70000000000005</v>
      </c>
      <c r="AJ17" s="2384"/>
      <c r="AK17" s="1677">
        <f t="shared" ref="AK17:AK21" si="0">ROUND(IF(AF17=0,0,AI17/ABS(AF17)),3)</f>
        <v>0.08</v>
      </c>
      <c r="AL17" s="2333" t="s">
        <v>14</v>
      </c>
    </row>
    <row r="18" spans="1:41" s="2335" customFormat="1" ht="15" customHeight="1">
      <c r="A18" s="2380"/>
      <c r="B18" s="2265" t="s">
        <v>1240</v>
      </c>
      <c r="C18" s="2381"/>
      <c r="D18" s="3741">
        <v>10927.5</v>
      </c>
      <c r="E18" s="1391"/>
      <c r="F18" s="3741">
        <f t="shared" ref="F18:F21" si="1">$AC18-D18</f>
        <v>152.80000000000109</v>
      </c>
      <c r="G18" s="1391"/>
      <c r="H18" s="1741"/>
      <c r="I18" s="2385"/>
      <c r="J18" s="1741"/>
      <c r="K18" s="1941"/>
      <c r="L18" s="1741"/>
      <c r="M18" s="1941"/>
      <c r="N18" s="1741"/>
      <c r="O18" s="1941"/>
      <c r="P18" s="1741"/>
      <c r="Q18" s="1941"/>
      <c r="R18" s="1741"/>
      <c r="S18" s="1941"/>
      <c r="T18" s="1741"/>
      <c r="U18" s="1941"/>
      <c r="V18" s="1741"/>
      <c r="W18" s="1941"/>
      <c r="X18" s="1741"/>
      <c r="Y18" s="1941"/>
      <c r="Z18" s="1741"/>
      <c r="AA18" s="1942"/>
      <c r="AB18" s="1945"/>
      <c r="AC18" s="1757">
        <v>11080.300000000001</v>
      </c>
      <c r="AD18" s="1984"/>
      <c r="AE18" s="1945" t="s">
        <v>14</v>
      </c>
      <c r="AF18" s="1757">
        <v>9470.9</v>
      </c>
      <c r="AG18" s="2124"/>
      <c r="AH18" s="2383"/>
      <c r="AI18" s="1943">
        <f>ROUND(SUM(+AC18-AF18),1)</f>
        <v>1609.4</v>
      </c>
      <c r="AJ18" s="2384"/>
      <c r="AK18" s="1682">
        <f t="shared" si="0"/>
        <v>0.17</v>
      </c>
      <c r="AL18" s="2333" t="s">
        <v>14</v>
      </c>
    </row>
    <row r="19" spans="1:41" s="2335" customFormat="1" ht="15" customHeight="1">
      <c r="A19" s="2380"/>
      <c r="B19" s="2265" t="s">
        <v>987</v>
      </c>
      <c r="C19" s="2381"/>
      <c r="D19" s="3741">
        <v>3269.8</v>
      </c>
      <c r="E19" s="1391"/>
      <c r="F19" s="3741">
        <f t="shared" si="1"/>
        <v>174.89999999999964</v>
      </c>
      <c r="G19" s="1391"/>
      <c r="H19" s="1741"/>
      <c r="I19" s="2385"/>
      <c r="J19" s="1741"/>
      <c r="K19" s="1941"/>
      <c r="L19" s="1741"/>
      <c r="M19" s="1941"/>
      <c r="N19" s="1741"/>
      <c r="O19" s="1941"/>
      <c r="P19" s="1741"/>
      <c r="Q19" s="1941"/>
      <c r="R19" s="1741"/>
      <c r="S19" s="1941"/>
      <c r="T19" s="1741"/>
      <c r="U19" s="1941"/>
      <c r="V19" s="1741"/>
      <c r="W19" s="1941"/>
      <c r="X19" s="1741"/>
      <c r="Y19" s="1941"/>
      <c r="Z19" s="1741"/>
      <c r="AA19" s="1942"/>
      <c r="AB19" s="1945"/>
      <c r="AC19" s="1757">
        <v>3444.7</v>
      </c>
      <c r="AD19" s="1984"/>
      <c r="AE19" s="1945" t="s">
        <v>14</v>
      </c>
      <c r="AF19" s="1757">
        <v>3097.9</v>
      </c>
      <c r="AG19" s="2124"/>
      <c r="AH19" s="2383"/>
      <c r="AI19" s="1943">
        <f>ROUND(SUM(+AC19-AF19),1)</f>
        <v>346.8</v>
      </c>
      <c r="AJ19" s="2384"/>
      <c r="AK19" s="1677">
        <f t="shared" si="0"/>
        <v>0.112</v>
      </c>
      <c r="AL19" s="2333" t="s">
        <v>14</v>
      </c>
    </row>
    <row r="20" spans="1:41" s="2335" customFormat="1" ht="15" customHeight="1">
      <c r="A20" s="2380"/>
      <c r="B20" s="2386" t="s">
        <v>988</v>
      </c>
      <c r="C20" s="2381"/>
      <c r="D20" s="3741">
        <v>-502</v>
      </c>
      <c r="E20" s="1391"/>
      <c r="F20" s="3741">
        <f t="shared" si="1"/>
        <v>-39.100000000000023</v>
      </c>
      <c r="G20" s="1391"/>
      <c r="H20" s="1741"/>
      <c r="I20" s="2385"/>
      <c r="J20" s="1741"/>
      <c r="K20" s="1941"/>
      <c r="L20" s="1741"/>
      <c r="M20" s="1941"/>
      <c r="N20" s="1741"/>
      <c r="O20" s="1941"/>
      <c r="P20" s="1741"/>
      <c r="Q20" s="1941"/>
      <c r="R20" s="1741"/>
      <c r="S20" s="1941"/>
      <c r="T20" s="1741"/>
      <c r="U20" s="1941"/>
      <c r="V20" s="1741"/>
      <c r="W20" s="1941"/>
      <c r="X20" s="1741"/>
      <c r="Y20" s="1941"/>
      <c r="Z20" s="1741"/>
      <c r="AA20" s="1942"/>
      <c r="AB20" s="1945"/>
      <c r="AC20" s="1757">
        <v>-541.1</v>
      </c>
      <c r="AD20" s="1984"/>
      <c r="AE20" s="1945" t="s">
        <v>14</v>
      </c>
      <c r="AF20" s="1757">
        <v>-467.7</v>
      </c>
      <c r="AG20" s="2124"/>
      <c r="AH20" s="2383"/>
      <c r="AI20" s="1943">
        <f>-ROUND(SUM(+AC20-AF20),1)</f>
        <v>73.400000000000006</v>
      </c>
      <c r="AJ20" s="2384"/>
      <c r="AK20" s="1677">
        <f t="shared" si="0"/>
        <v>0.157</v>
      </c>
      <c r="AL20" s="2333" t="s">
        <v>14</v>
      </c>
    </row>
    <row r="21" spans="1:41" s="2335" customFormat="1" ht="15" customHeight="1">
      <c r="A21" s="2380"/>
      <c r="B21" s="2386" t="s">
        <v>1239</v>
      </c>
      <c r="C21" s="2381"/>
      <c r="D21" s="3741">
        <v>220.6</v>
      </c>
      <c r="E21" s="1391"/>
      <c r="F21" s="3741">
        <f t="shared" si="1"/>
        <v>161.79999999999998</v>
      </c>
      <c r="G21" s="1391"/>
      <c r="H21" s="1741"/>
      <c r="I21" s="2385"/>
      <c r="J21" s="1741"/>
      <c r="K21" s="1941"/>
      <c r="L21" s="1741"/>
      <c r="M21" s="1941"/>
      <c r="N21" s="1741"/>
      <c r="O21" s="1941"/>
      <c r="P21" s="1741"/>
      <c r="Q21" s="1941"/>
      <c r="R21" s="1741"/>
      <c r="S21" s="1941"/>
      <c r="T21" s="1741"/>
      <c r="U21" s="1941"/>
      <c r="V21" s="1741"/>
      <c r="W21" s="1941"/>
      <c r="X21" s="1741"/>
      <c r="Y21" s="1941"/>
      <c r="Z21" s="1741"/>
      <c r="AA21" s="1942"/>
      <c r="AB21" s="1945"/>
      <c r="AC21" s="1757">
        <v>382.4</v>
      </c>
      <c r="AD21" s="1984"/>
      <c r="AE21" s="1945" t="s">
        <v>14</v>
      </c>
      <c r="AF21" s="1757">
        <v>241.3</v>
      </c>
      <c r="AG21" s="2124"/>
      <c r="AH21" s="2383"/>
      <c r="AI21" s="1943">
        <f>ROUND(SUM(+AC21-AF21),1)</f>
        <v>141.1</v>
      </c>
      <c r="AJ21" s="2384"/>
      <c r="AK21" s="1677">
        <f t="shared" si="0"/>
        <v>0.58499999999999996</v>
      </c>
      <c r="AL21" s="2333" t="s">
        <v>14</v>
      </c>
    </row>
    <row r="22" spans="1:41" ht="15" customHeight="1">
      <c r="A22" s="2367"/>
      <c r="B22" s="2247" t="s">
        <v>989</v>
      </c>
      <c r="C22" s="1987"/>
      <c r="D22" s="2387">
        <f>ROUND(SUM(D17:D21),1)</f>
        <v>17649.099999999999</v>
      </c>
      <c r="E22" s="2385"/>
      <c r="F22" s="2388">
        <f>ROUND(SUM(F17:F21),1)</f>
        <v>4082.4</v>
      </c>
      <c r="G22" s="2385"/>
      <c r="H22" s="2387">
        <f>ROUND(SUM(H17:H21),1)</f>
        <v>0</v>
      </c>
      <c r="I22" s="2385"/>
      <c r="J22" s="2388">
        <f>ROUND(SUM(J17:J21),1)</f>
        <v>0</v>
      </c>
      <c r="K22" s="1987"/>
      <c r="L22" s="1985">
        <f>ROUND(SUM(L17:L21),1)</f>
        <v>0</v>
      </c>
      <c r="M22" s="1987"/>
      <c r="N22" s="1985">
        <f>ROUND(SUM(N17:N21),1)</f>
        <v>0</v>
      </c>
      <c r="O22" s="1949"/>
      <c r="P22" s="1985">
        <f>ROUND(SUM(P17:P21),1)</f>
        <v>0</v>
      </c>
      <c r="Q22" s="1949"/>
      <c r="R22" s="1985">
        <f>ROUND(SUM(R17:R21),1)</f>
        <v>0</v>
      </c>
      <c r="S22" s="1949"/>
      <c r="T22" s="1985">
        <f>ROUND(SUM(T17:T21),1)</f>
        <v>0</v>
      </c>
      <c r="U22" s="1949"/>
      <c r="V22" s="1985">
        <f>ROUND(SUM(V17:V21),1)</f>
        <v>0</v>
      </c>
      <c r="W22" s="1949"/>
      <c r="X22" s="1985">
        <f>ROUND(SUM(X17:X21),1)</f>
        <v>0</v>
      </c>
      <c r="Y22" s="1949"/>
      <c r="Z22" s="1985">
        <f>ROUND(SUM(Z17:Z21),1)</f>
        <v>0</v>
      </c>
      <c r="AA22" s="1965"/>
      <c r="AB22" s="1986"/>
      <c r="AC22" s="3044">
        <f>ROUND(SUM(AC17:AC21),1)</f>
        <v>21731.5</v>
      </c>
      <c r="AD22" s="2381"/>
      <c r="AE22" s="3045" t="s">
        <v>14</v>
      </c>
      <c r="AF22" s="1428">
        <f>ROUND(SUM(AF17:AF21),1)</f>
        <v>19161.900000000001</v>
      </c>
      <c r="AG22" s="1965"/>
      <c r="AH22" s="2366"/>
      <c r="AI22" s="1985">
        <f>ROUND(SUM(AC22-AF22),1)</f>
        <v>2569.6</v>
      </c>
      <c r="AJ22" s="2377"/>
      <c r="AK22" s="1413">
        <f>ROUND(SUM(+AI22/AF22),3)</f>
        <v>0.13400000000000001</v>
      </c>
      <c r="AL22" s="2333" t="s">
        <v>14</v>
      </c>
      <c r="AO22" s="2335"/>
    </row>
    <row r="23" spans="1:41" s="2335" customFormat="1" ht="15" customHeight="1">
      <c r="A23" s="2380"/>
      <c r="B23" s="2386" t="s">
        <v>991</v>
      </c>
      <c r="C23" s="2381"/>
      <c r="D23" s="3741">
        <v>0</v>
      </c>
      <c r="E23" s="1391"/>
      <c r="F23" s="3741">
        <f t="shared" ref="F23:F25" si="2">$AC23-D23</f>
        <v>0</v>
      </c>
      <c r="G23" s="1391"/>
      <c r="H23" s="1741"/>
      <c r="I23" s="2385"/>
      <c r="J23" s="1741"/>
      <c r="K23" s="1941"/>
      <c r="L23" s="1741"/>
      <c r="M23" s="1941"/>
      <c r="N23" s="1741"/>
      <c r="O23" s="1941"/>
      <c r="P23" s="1741"/>
      <c r="Q23" s="1941"/>
      <c r="R23" s="1741"/>
      <c r="S23" s="1941"/>
      <c r="T23" s="1741"/>
      <c r="U23" s="1941"/>
      <c r="V23" s="1741"/>
      <c r="W23" s="1941"/>
      <c r="X23" s="1741"/>
      <c r="Y23" s="1941"/>
      <c r="Z23" s="1741"/>
      <c r="AA23" s="1942"/>
      <c r="AB23" s="1945"/>
      <c r="AC23" s="1757">
        <v>0</v>
      </c>
      <c r="AD23" s="1984"/>
      <c r="AE23" s="1945" t="s">
        <v>14</v>
      </c>
      <c r="AF23" s="1757">
        <v>0</v>
      </c>
      <c r="AG23" s="2124"/>
      <c r="AH23" s="2383"/>
      <c r="AI23" s="1943">
        <f>-ROUND(SUM(+AC23-AF23),1)</f>
        <v>0</v>
      </c>
      <c r="AJ23" s="2384"/>
      <c r="AK23" s="1406">
        <f>ROUND(IF(AF23=0,0,AI23/ABS(AF23)),3)</f>
        <v>0</v>
      </c>
      <c r="AL23" s="2333"/>
    </row>
    <row r="24" spans="1:41" s="2335" customFormat="1" ht="15" customHeight="1">
      <c r="A24" s="2380"/>
      <c r="B24" s="2386" t="s">
        <v>992</v>
      </c>
      <c r="C24" s="2381"/>
      <c r="D24" s="3741">
        <v>-7360.8</v>
      </c>
      <c r="E24" s="1391"/>
      <c r="F24" s="3741">
        <f t="shared" si="2"/>
        <v>-1362.0999999999995</v>
      </c>
      <c r="G24" s="1391"/>
      <c r="H24" s="1741"/>
      <c r="I24" s="2385"/>
      <c r="J24" s="1741"/>
      <c r="K24" s="1941"/>
      <c r="L24" s="1741"/>
      <c r="M24" s="1941"/>
      <c r="N24" s="1741"/>
      <c r="O24" s="1941"/>
      <c r="P24" s="1741"/>
      <c r="Q24" s="1941"/>
      <c r="R24" s="1741"/>
      <c r="S24" s="1941"/>
      <c r="T24" s="1741"/>
      <c r="U24" s="1941"/>
      <c r="V24" s="1741"/>
      <c r="W24" s="1941"/>
      <c r="X24" s="1741"/>
      <c r="Y24" s="1941"/>
      <c r="Z24" s="1741"/>
      <c r="AA24" s="1942"/>
      <c r="AB24" s="1945"/>
      <c r="AC24" s="1757">
        <v>-8722.9</v>
      </c>
      <c r="AD24" s="1984"/>
      <c r="AE24" s="1945" t="s">
        <v>14</v>
      </c>
      <c r="AF24" s="1757">
        <v>-8179.4</v>
      </c>
      <c r="AG24" s="2124"/>
      <c r="AH24" s="2383"/>
      <c r="AI24" s="1943">
        <f>-ROUND(SUM(+AC24-AF24),1)</f>
        <v>543.5</v>
      </c>
      <c r="AJ24" s="2384"/>
      <c r="AK24" s="1677">
        <f>ROUND(IF(AF24=0,0,AI24/ABS(AF24)),3)</f>
        <v>6.6000000000000003E-2</v>
      </c>
      <c r="AL24" s="2333"/>
    </row>
    <row r="25" spans="1:41" s="2335" customFormat="1" ht="15" customHeight="1">
      <c r="A25" s="2380"/>
      <c r="B25" s="2265" t="s">
        <v>1241</v>
      </c>
      <c r="C25" s="2381"/>
      <c r="D25" s="3741">
        <v>-2927.5</v>
      </c>
      <c r="E25" s="1391"/>
      <c r="F25" s="3741">
        <f t="shared" si="2"/>
        <v>-1358.1999999999998</v>
      </c>
      <c r="G25" s="1391"/>
      <c r="H25" s="1741"/>
      <c r="I25" s="2385"/>
      <c r="J25" s="1741"/>
      <c r="K25" s="1941"/>
      <c r="L25" s="1741"/>
      <c r="M25" s="1941"/>
      <c r="N25" s="1741"/>
      <c r="O25" s="1941"/>
      <c r="P25" s="1741"/>
      <c r="Q25" s="1941"/>
      <c r="R25" s="1741"/>
      <c r="S25" s="1941"/>
      <c r="T25" s="1741"/>
      <c r="U25" s="1941"/>
      <c r="V25" s="1741"/>
      <c r="W25" s="1941"/>
      <c r="X25" s="1741"/>
      <c r="Y25" s="1941"/>
      <c r="Z25" s="1741"/>
      <c r="AA25" s="1942"/>
      <c r="AB25" s="1945"/>
      <c r="AC25" s="1757">
        <v>-4285.7</v>
      </c>
      <c r="AD25" s="1984"/>
      <c r="AE25" s="1945" t="s">
        <v>14</v>
      </c>
      <c r="AF25" s="1757">
        <v>-2803.1</v>
      </c>
      <c r="AG25" s="2124"/>
      <c r="AH25" s="2383"/>
      <c r="AI25" s="1943">
        <f>-ROUND(SUM(+AC25-AF25),1)</f>
        <v>1482.6</v>
      </c>
      <c r="AJ25" s="2384"/>
      <c r="AK25" s="1677">
        <f>ROUND(IF(AF25=0,0,AI25/ABS(AF25)),3)</f>
        <v>0.52900000000000003</v>
      </c>
      <c r="AL25" s="2333"/>
    </row>
    <row r="26" spans="1:41" ht="15" customHeight="1">
      <c r="A26" s="2367"/>
      <c r="B26" s="2389" t="s">
        <v>990</v>
      </c>
      <c r="C26" s="1965"/>
      <c r="D26" s="2390">
        <f>ROUND(SUM(D22:D25),1)</f>
        <v>7360.8</v>
      </c>
      <c r="E26" s="1411"/>
      <c r="F26" s="2391">
        <f>ROUND(SUM(F22+F23+F24+F25),1)</f>
        <v>1362.1</v>
      </c>
      <c r="G26" s="1411"/>
      <c r="H26" s="2390">
        <f>ROUND(SUM(H22+H23+H24+H25),1)</f>
        <v>0</v>
      </c>
      <c r="I26" s="1411"/>
      <c r="J26" s="2391">
        <f>ROUND(SUM(J22+J23+J24+J25),1)</f>
        <v>0</v>
      </c>
      <c r="K26" s="1949"/>
      <c r="L26" s="1985">
        <f>ROUND(SUM(L22+L23+L24+L25),1)</f>
        <v>0</v>
      </c>
      <c r="M26" s="1949"/>
      <c r="N26" s="1985">
        <f>ROUND(SUM(N22+N23+N24+N25),1)</f>
        <v>0</v>
      </c>
      <c r="O26" s="1949"/>
      <c r="P26" s="1985">
        <f>ROUND(SUM(P22+P23+P24+P25),1)</f>
        <v>0</v>
      </c>
      <c r="Q26" s="1949"/>
      <c r="R26" s="1985">
        <f>ROUND(SUM(R22+R23+R24+R25),1)</f>
        <v>0</v>
      </c>
      <c r="S26" s="1949"/>
      <c r="T26" s="1985">
        <f>ROUND(SUM(T22+T23+T24+T25),1)</f>
        <v>0</v>
      </c>
      <c r="U26" s="1949"/>
      <c r="V26" s="1985">
        <f>ROUND(SUM(V22+V23+V24+V25),1)</f>
        <v>0</v>
      </c>
      <c r="W26" s="1949"/>
      <c r="X26" s="1985">
        <f>ROUND(SUM(X22+X23+X24+X25),1)</f>
        <v>0</v>
      </c>
      <c r="Y26" s="1949"/>
      <c r="Z26" s="1985">
        <f>ROUND(SUM(Z22+Z23+Z24+Z25),1)</f>
        <v>0</v>
      </c>
      <c r="AA26" s="1431"/>
      <c r="AB26" s="1986"/>
      <c r="AC26" s="3044">
        <f>ROUND(SUM(AC22+AC23+AC24+AC25),1)</f>
        <v>8722.9</v>
      </c>
      <c r="AD26" s="1938"/>
      <c r="AE26" s="1944" t="s">
        <v>14</v>
      </c>
      <c r="AF26" s="1428">
        <f>ROUND(SUM(AF22+AF23+AF24+AF25),1)</f>
        <v>8179.4</v>
      </c>
      <c r="AG26" s="1949"/>
      <c r="AH26" s="2392"/>
      <c r="AI26" s="1985">
        <f>ROUND(SUM(AI22-AI23-AI24-AI25),1)</f>
        <v>543.5</v>
      </c>
      <c r="AJ26" s="2393"/>
      <c r="AK26" s="1413">
        <f>ROUND(SUM(+AI26/AF26),3)</f>
        <v>6.6000000000000003E-2</v>
      </c>
      <c r="AO26" s="2335"/>
    </row>
    <row r="27" spans="1:41" ht="15" customHeight="1">
      <c r="A27" s="2367"/>
      <c r="B27" s="2379" t="s">
        <v>1039</v>
      </c>
      <c r="C27" s="1965"/>
      <c r="D27" s="1412"/>
      <c r="E27" s="1411"/>
      <c r="F27" s="1430"/>
      <c r="G27" s="1411"/>
      <c r="H27" s="1412"/>
      <c r="I27" s="1411"/>
      <c r="J27" s="1430"/>
      <c r="K27" s="1949"/>
      <c r="L27" s="1412"/>
      <c r="M27" s="1949"/>
      <c r="N27" s="1412"/>
      <c r="O27" s="1949"/>
      <c r="P27" s="1430"/>
      <c r="Q27" s="1949"/>
      <c r="R27" s="1412"/>
      <c r="S27" s="1949"/>
      <c r="T27" s="1412"/>
      <c r="U27" s="1949"/>
      <c r="V27" s="1412"/>
      <c r="W27" s="1949"/>
      <c r="X27" s="1412"/>
      <c r="Y27" s="1949"/>
      <c r="Z27" s="1412"/>
      <c r="AA27" s="1431"/>
      <c r="AB27" s="1986"/>
      <c r="AC27" s="1430"/>
      <c r="AD27" s="1938"/>
      <c r="AE27" s="1944" t="s">
        <v>14</v>
      </c>
      <c r="AF27" s="1430"/>
      <c r="AG27" s="1949"/>
      <c r="AH27" s="2392"/>
      <c r="AI27" s="1412"/>
      <c r="AJ27" s="2393"/>
      <c r="AK27" s="2394"/>
      <c r="AO27" s="2335"/>
    </row>
    <row r="28" spans="1:41" ht="15" customHeight="1">
      <c r="A28" s="2367"/>
      <c r="B28" s="2171" t="s">
        <v>995</v>
      </c>
      <c r="C28" s="1965"/>
      <c r="D28" s="3741">
        <v>312</v>
      </c>
      <c r="E28" s="1391"/>
      <c r="F28" s="3741">
        <f t="shared" ref="F28:F35" si="3">$AC28-D28</f>
        <v>328</v>
      </c>
      <c r="G28" s="1391"/>
      <c r="H28" s="1741"/>
      <c r="I28" s="1411"/>
      <c r="J28" s="1741"/>
      <c r="K28" s="1941"/>
      <c r="L28" s="1741"/>
      <c r="M28" s="1941"/>
      <c r="N28" s="1741"/>
      <c r="O28" s="1941"/>
      <c r="P28" s="1741"/>
      <c r="Q28" s="1941"/>
      <c r="R28" s="1741"/>
      <c r="S28" s="1941"/>
      <c r="T28" s="1741"/>
      <c r="U28" s="1941"/>
      <c r="V28" s="1741"/>
      <c r="W28" s="1941"/>
      <c r="X28" s="1741"/>
      <c r="Y28" s="1941"/>
      <c r="Z28" s="1741"/>
      <c r="AA28" s="1942"/>
      <c r="AB28" s="1945"/>
      <c r="AC28" s="1757">
        <v>640</v>
      </c>
      <c r="AD28" s="1984"/>
      <c r="AE28" s="1945" t="s">
        <v>14</v>
      </c>
      <c r="AF28" s="1757">
        <v>588.4</v>
      </c>
      <c r="AG28" s="1949"/>
      <c r="AH28" s="2392"/>
      <c r="AI28" s="1411">
        <f t="shared" ref="AI28:AI33" si="4">ROUND(SUM(+AC28-AF28),1)</f>
        <v>51.6</v>
      </c>
      <c r="AJ28" s="2393"/>
      <c r="AK28" s="1406">
        <f t="shared" ref="AK28:AK33" si="5">ROUND(IF(AF28=0,0,AI28/ABS(AF28)),3)</f>
        <v>8.7999999999999995E-2</v>
      </c>
      <c r="AM28" s="2335"/>
      <c r="AO28" s="2335"/>
    </row>
    <row r="29" spans="1:41" ht="15" customHeight="1">
      <c r="A29" s="2367"/>
      <c r="B29" s="2171" t="s">
        <v>996</v>
      </c>
      <c r="C29" s="1965"/>
      <c r="D29" s="3741">
        <v>0</v>
      </c>
      <c r="E29" s="1391"/>
      <c r="F29" s="3741">
        <f t="shared" si="3"/>
        <v>0</v>
      </c>
      <c r="G29" s="1391"/>
      <c r="H29" s="1741"/>
      <c r="I29" s="1411"/>
      <c r="J29" s="1741"/>
      <c r="K29" s="1941"/>
      <c r="L29" s="1741"/>
      <c r="M29" s="1941"/>
      <c r="N29" s="1741"/>
      <c r="O29" s="1941"/>
      <c r="P29" s="1741"/>
      <c r="Q29" s="1941"/>
      <c r="R29" s="1741"/>
      <c r="S29" s="1941"/>
      <c r="T29" s="1741"/>
      <c r="U29" s="1941"/>
      <c r="V29" s="1741"/>
      <c r="W29" s="1941"/>
      <c r="X29" s="1741"/>
      <c r="Y29" s="1941"/>
      <c r="Z29" s="1741"/>
      <c r="AA29" s="1942"/>
      <c r="AB29" s="1945"/>
      <c r="AC29" s="1757">
        <v>0</v>
      </c>
      <c r="AD29" s="1984"/>
      <c r="AE29" s="1945" t="s">
        <v>14</v>
      </c>
      <c r="AF29" s="1757">
        <v>0</v>
      </c>
      <c r="AG29" s="1949"/>
      <c r="AH29" s="2392"/>
      <c r="AI29" s="1411">
        <f t="shared" si="4"/>
        <v>0</v>
      </c>
      <c r="AJ29" s="2393"/>
      <c r="AK29" s="1406">
        <f t="shared" si="5"/>
        <v>0</v>
      </c>
      <c r="AM29" s="2335"/>
      <c r="AO29" s="2335"/>
    </row>
    <row r="30" spans="1:41" ht="15" customHeight="1">
      <c r="A30" s="2367"/>
      <c r="B30" s="2171" t="s">
        <v>997</v>
      </c>
      <c r="C30" s="1965"/>
      <c r="D30" s="3741">
        <v>27</v>
      </c>
      <c r="E30" s="1391"/>
      <c r="F30" s="3741">
        <f t="shared" si="3"/>
        <v>23.5</v>
      </c>
      <c r="G30" s="1391"/>
      <c r="H30" s="1741"/>
      <c r="I30" s="1411"/>
      <c r="J30" s="1741"/>
      <c r="K30" s="1941"/>
      <c r="L30" s="1741"/>
      <c r="M30" s="1941"/>
      <c r="N30" s="1741"/>
      <c r="O30" s="1941"/>
      <c r="P30" s="1741"/>
      <c r="Q30" s="1941"/>
      <c r="R30" s="1741"/>
      <c r="S30" s="1941"/>
      <c r="T30" s="1741"/>
      <c r="U30" s="1941"/>
      <c r="V30" s="1741"/>
      <c r="W30" s="1941"/>
      <c r="X30" s="1741"/>
      <c r="Y30" s="1941"/>
      <c r="Z30" s="1741"/>
      <c r="AA30" s="1942"/>
      <c r="AB30" s="1945"/>
      <c r="AC30" s="1757">
        <v>50.5</v>
      </c>
      <c r="AD30" s="1984"/>
      <c r="AE30" s="1945" t="s">
        <v>14</v>
      </c>
      <c r="AF30" s="1757">
        <v>53.4</v>
      </c>
      <c r="AG30" s="1949"/>
      <c r="AH30" s="2392"/>
      <c r="AI30" s="1411">
        <f t="shared" si="4"/>
        <v>-2.9</v>
      </c>
      <c r="AJ30" s="2393"/>
      <c r="AK30" s="1406">
        <f t="shared" si="5"/>
        <v>-5.3999999999999999E-2</v>
      </c>
      <c r="AM30" s="2335"/>
      <c r="AO30" s="2335"/>
    </row>
    <row r="31" spans="1:41" ht="15" customHeight="1">
      <c r="A31" s="2367"/>
      <c r="B31" s="2171" t="s">
        <v>998</v>
      </c>
      <c r="C31" s="1965"/>
      <c r="D31" s="3741">
        <v>0</v>
      </c>
      <c r="E31" s="1391"/>
      <c r="F31" s="3741">
        <f t="shared" si="3"/>
        <v>0</v>
      </c>
      <c r="G31" s="1391"/>
      <c r="H31" s="1741"/>
      <c r="I31" s="1411"/>
      <c r="J31" s="1741"/>
      <c r="K31" s="1941"/>
      <c r="L31" s="1741"/>
      <c r="M31" s="1941"/>
      <c r="N31" s="1741"/>
      <c r="O31" s="1941"/>
      <c r="P31" s="1741"/>
      <c r="Q31" s="1941"/>
      <c r="R31" s="1741"/>
      <c r="S31" s="1941"/>
      <c r="T31" s="1741"/>
      <c r="U31" s="1941"/>
      <c r="V31" s="1741"/>
      <c r="W31" s="1941"/>
      <c r="X31" s="1741"/>
      <c r="Y31" s="1941"/>
      <c r="Z31" s="1741"/>
      <c r="AA31" s="1942"/>
      <c r="AB31" s="1945"/>
      <c r="AC31" s="1757">
        <v>0</v>
      </c>
      <c r="AD31" s="1984"/>
      <c r="AE31" s="1945" t="s">
        <v>14</v>
      </c>
      <c r="AF31" s="1757">
        <v>0</v>
      </c>
      <c r="AG31" s="1949"/>
      <c r="AH31" s="2392"/>
      <c r="AI31" s="1411">
        <f t="shared" si="4"/>
        <v>0</v>
      </c>
      <c r="AJ31" s="2393"/>
      <c r="AK31" s="1406">
        <f>ROUND(IF(AF31=0,0,AI31/ABS(AF31)),3)</f>
        <v>0</v>
      </c>
      <c r="AM31" s="2335"/>
      <c r="AO31" s="2335"/>
    </row>
    <row r="32" spans="1:41" ht="15" customHeight="1">
      <c r="A32" s="2367"/>
      <c r="B32" s="2171" t="s">
        <v>999</v>
      </c>
      <c r="C32" s="1965"/>
      <c r="D32" s="3741">
        <v>24.8</v>
      </c>
      <c r="E32" s="1391"/>
      <c r="F32" s="3741">
        <f t="shared" si="3"/>
        <v>21.499999999999996</v>
      </c>
      <c r="G32" s="1391"/>
      <c r="H32" s="1741"/>
      <c r="I32" s="1411"/>
      <c r="J32" s="1741"/>
      <c r="K32" s="1941"/>
      <c r="L32" s="1741"/>
      <c r="M32" s="1941"/>
      <c r="N32" s="1741"/>
      <c r="O32" s="1941"/>
      <c r="P32" s="1741"/>
      <c r="Q32" s="1941"/>
      <c r="R32" s="1741"/>
      <c r="S32" s="1941"/>
      <c r="T32" s="1741"/>
      <c r="U32" s="1941"/>
      <c r="V32" s="1741"/>
      <c r="W32" s="1941"/>
      <c r="X32" s="1741"/>
      <c r="Y32" s="1941"/>
      <c r="Z32" s="1741"/>
      <c r="AA32" s="1942"/>
      <c r="AB32" s="1945"/>
      <c r="AC32" s="1757">
        <v>46.3</v>
      </c>
      <c r="AD32" s="1984"/>
      <c r="AE32" s="1945" t="s">
        <v>14</v>
      </c>
      <c r="AF32" s="1757">
        <v>44.8</v>
      </c>
      <c r="AG32" s="1949"/>
      <c r="AH32" s="2392"/>
      <c r="AI32" s="1411">
        <f t="shared" si="4"/>
        <v>1.5</v>
      </c>
      <c r="AJ32" s="2393"/>
      <c r="AK32" s="1406">
        <f t="shared" si="5"/>
        <v>3.3000000000000002E-2</v>
      </c>
      <c r="AM32" s="2335"/>
      <c r="AO32" s="2335"/>
    </row>
    <row r="33" spans="1:41" ht="15" customHeight="1">
      <c r="A33" s="2367"/>
      <c r="B33" s="2171" t="s">
        <v>1000</v>
      </c>
      <c r="C33" s="1965"/>
      <c r="D33" s="3741">
        <v>0</v>
      </c>
      <c r="E33" s="1391"/>
      <c r="F33" s="3741">
        <f t="shared" si="3"/>
        <v>0</v>
      </c>
      <c r="G33" s="1391"/>
      <c r="H33" s="1741"/>
      <c r="I33" s="1411"/>
      <c r="J33" s="1741"/>
      <c r="K33" s="1941"/>
      <c r="L33" s="1741"/>
      <c r="M33" s="1941"/>
      <c r="N33" s="1741"/>
      <c r="O33" s="1941"/>
      <c r="P33" s="1741"/>
      <c r="Q33" s="1941"/>
      <c r="R33" s="1741"/>
      <c r="S33" s="1941"/>
      <c r="T33" s="1741"/>
      <c r="U33" s="1941"/>
      <c r="V33" s="1741"/>
      <c r="W33" s="1941"/>
      <c r="X33" s="1741"/>
      <c r="Y33" s="1941"/>
      <c r="Z33" s="1741"/>
      <c r="AA33" s="1942"/>
      <c r="AB33" s="1945"/>
      <c r="AC33" s="1757">
        <v>0</v>
      </c>
      <c r="AD33" s="1984"/>
      <c r="AE33" s="1945" t="s">
        <v>14</v>
      </c>
      <c r="AF33" s="1757">
        <v>0</v>
      </c>
      <c r="AG33" s="1949"/>
      <c r="AH33" s="2392"/>
      <c r="AI33" s="1411">
        <f t="shared" si="4"/>
        <v>0</v>
      </c>
      <c r="AJ33" s="2393"/>
      <c r="AK33" s="1406">
        <f t="shared" si="5"/>
        <v>0</v>
      </c>
      <c r="AM33" s="2335"/>
      <c r="AO33" s="2335"/>
    </row>
    <row r="34" spans="1:41" ht="15" customHeight="1">
      <c r="A34" s="2367"/>
      <c r="B34" s="2171" t="s">
        <v>1311</v>
      </c>
      <c r="C34" s="1965"/>
      <c r="D34" s="3741">
        <v>0</v>
      </c>
      <c r="E34" s="1391"/>
      <c r="F34" s="3741">
        <f t="shared" si="3"/>
        <v>0</v>
      </c>
      <c r="G34" s="1391"/>
      <c r="H34" s="1741"/>
      <c r="I34" s="1411"/>
      <c r="J34" s="1741"/>
      <c r="K34" s="1941"/>
      <c r="L34" s="1741"/>
      <c r="M34" s="1941"/>
      <c r="N34" s="1741"/>
      <c r="O34" s="1941"/>
      <c r="P34" s="1741"/>
      <c r="Q34" s="1941"/>
      <c r="R34" s="1741"/>
      <c r="S34" s="1941"/>
      <c r="T34" s="1741"/>
      <c r="U34" s="1941"/>
      <c r="V34" s="1741"/>
      <c r="W34" s="1941"/>
      <c r="X34" s="1741"/>
      <c r="Y34" s="1941"/>
      <c r="Z34" s="1741"/>
      <c r="AA34" s="1942"/>
      <c r="AB34" s="1991"/>
      <c r="AC34" s="1757">
        <v>0</v>
      </c>
      <c r="AD34" s="1984"/>
      <c r="AE34" s="1991" t="s">
        <v>14</v>
      </c>
      <c r="AF34" s="1757">
        <v>0</v>
      </c>
      <c r="AG34" s="1949"/>
      <c r="AH34" s="2392"/>
      <c r="AI34" s="1411">
        <f>ROUND(SUM(+AC34-AF34),1)</f>
        <v>0</v>
      </c>
      <c r="AJ34" s="2393"/>
      <c r="AK34" s="1406">
        <f>ROUND(IF(AF34=0,0,AI34/ABS(AF34)),3)</f>
        <v>0</v>
      </c>
      <c r="AM34" s="2335"/>
      <c r="AO34" s="2335"/>
    </row>
    <row r="35" spans="1:41" ht="15" customHeight="1">
      <c r="A35" s="2367"/>
      <c r="B35" s="2171" t="s">
        <v>1312</v>
      </c>
      <c r="C35" s="1965"/>
      <c r="D35" s="3741">
        <v>6.4</v>
      </c>
      <c r="E35" s="1391"/>
      <c r="F35" s="3741">
        <f t="shared" si="3"/>
        <v>1</v>
      </c>
      <c r="G35" s="1391"/>
      <c r="H35" s="1741"/>
      <c r="I35" s="1411"/>
      <c r="J35" s="1741"/>
      <c r="K35" s="1941"/>
      <c r="L35" s="1741"/>
      <c r="M35" s="1941"/>
      <c r="N35" s="1741"/>
      <c r="O35" s="1941"/>
      <c r="P35" s="1741"/>
      <c r="Q35" s="1941"/>
      <c r="R35" s="1741"/>
      <c r="S35" s="1941"/>
      <c r="T35" s="1741"/>
      <c r="U35" s="1941"/>
      <c r="V35" s="1741"/>
      <c r="W35" s="1941"/>
      <c r="X35" s="1741"/>
      <c r="Y35" s="1941"/>
      <c r="Z35" s="1741"/>
      <c r="AA35" s="1942"/>
      <c r="AB35" s="1945"/>
      <c r="AC35" s="1757">
        <v>7.4</v>
      </c>
      <c r="AD35" s="1984"/>
      <c r="AE35" s="1945" t="s">
        <v>14</v>
      </c>
      <c r="AF35" s="1757">
        <v>6.8</v>
      </c>
      <c r="AG35" s="1949"/>
      <c r="AH35" s="2392"/>
      <c r="AI35" s="1411">
        <f t="shared" ref="AI35" si="6">ROUND(SUM(+AC35-AF35),1)</f>
        <v>0.6</v>
      </c>
      <c r="AJ35" s="2393"/>
      <c r="AK35" s="1406">
        <f>ROUND(IF(AF35=0,1,AI35/ABS(AF35)),3)</f>
        <v>8.7999999999999995E-2</v>
      </c>
      <c r="AM35" s="2335"/>
      <c r="AO35" s="2335"/>
    </row>
    <row r="36" spans="1:41" s="2397" customFormat="1" ht="15" customHeight="1">
      <c r="A36" s="2395"/>
      <c r="B36" s="2389" t="s">
        <v>994</v>
      </c>
      <c r="C36" s="2344"/>
      <c r="D36" s="2390">
        <f>ROUND(SUM(D28:D35),1)</f>
        <v>370.2</v>
      </c>
      <c r="E36" s="1429"/>
      <c r="F36" s="2391">
        <f>ROUND(SUM(F28:F35),1)</f>
        <v>374</v>
      </c>
      <c r="G36" s="1429"/>
      <c r="H36" s="2390">
        <f>ROUND(SUM(H28:H35),1)</f>
        <v>0</v>
      </c>
      <c r="I36" s="1429"/>
      <c r="J36" s="2391">
        <f>ROUND(SUM(J28:J35),1)</f>
        <v>0</v>
      </c>
      <c r="K36" s="1429"/>
      <c r="L36" s="1985">
        <f>ROUND(SUM(L28:L35),1)</f>
        <v>0</v>
      </c>
      <c r="M36" s="1429"/>
      <c r="N36" s="1985">
        <f>ROUND(SUM(N28:N35),1)</f>
        <v>0</v>
      </c>
      <c r="O36" s="1429"/>
      <c r="P36" s="1985">
        <f>ROUND(SUM(P28:P35),1)</f>
        <v>0</v>
      </c>
      <c r="Q36" s="1429"/>
      <c r="R36" s="1985">
        <f>ROUND(SUM(R28:R35),1)</f>
        <v>0</v>
      </c>
      <c r="S36" s="1429"/>
      <c r="T36" s="1985">
        <f>ROUND(SUM(T28:T35),1)</f>
        <v>0</v>
      </c>
      <c r="U36" s="1429"/>
      <c r="V36" s="1985">
        <f>ROUND(SUM(V28:V35),1)</f>
        <v>0</v>
      </c>
      <c r="W36" s="1429"/>
      <c r="X36" s="1985">
        <f>ROUND(SUM(X28:X35),1)</f>
        <v>0</v>
      </c>
      <c r="Y36" s="1429"/>
      <c r="Z36" s="1985">
        <f>ROUND(SUM(Z28:Z35),1)</f>
        <v>0</v>
      </c>
      <c r="AA36" s="1953"/>
      <c r="AB36" s="1988"/>
      <c r="AC36" s="3044">
        <f>ROUND(SUM(AC28:AC35),1)</f>
        <v>744.2</v>
      </c>
      <c r="AD36" s="1993"/>
      <c r="AE36" s="2469"/>
      <c r="AF36" s="1428">
        <f>ROUND(SUM(AF28:AF35),1)</f>
        <v>693.4</v>
      </c>
      <c r="AG36" s="1429"/>
      <c r="AH36" s="2396"/>
      <c r="AI36" s="1985">
        <f>ROUND(SUM(AI28:AI35),1)</f>
        <v>50.8</v>
      </c>
      <c r="AJ36" s="1412"/>
      <c r="AK36" s="1413">
        <f>ROUND(SUM(+AI36/AF36),3)</f>
        <v>7.2999999999999995E-2</v>
      </c>
      <c r="AL36" s="2333"/>
      <c r="AO36" s="2335"/>
    </row>
    <row r="37" spans="1:41" s="2397" customFormat="1" ht="15" customHeight="1">
      <c r="A37" s="2395"/>
      <c r="B37" s="2379" t="s">
        <v>1040</v>
      </c>
      <c r="C37" s="2344"/>
      <c r="D37" s="1412"/>
      <c r="E37" s="1429"/>
      <c r="F37" s="1430"/>
      <c r="G37" s="1429"/>
      <c r="H37" s="1412"/>
      <c r="I37" s="1429"/>
      <c r="J37" s="1984"/>
      <c r="K37" s="1429"/>
      <c r="L37" s="1412"/>
      <c r="M37" s="1429"/>
      <c r="N37" s="1412"/>
      <c r="O37" s="1429"/>
      <c r="P37" s="1430"/>
      <c r="Q37" s="1429"/>
      <c r="R37" s="1412"/>
      <c r="S37" s="1429"/>
      <c r="T37" s="1412"/>
      <c r="U37" s="1429"/>
      <c r="V37" s="1412"/>
      <c r="W37" s="1429"/>
      <c r="X37" s="1412"/>
      <c r="Y37" s="1429"/>
      <c r="Z37" s="1412"/>
      <c r="AA37" s="1953"/>
      <c r="AB37" s="1988"/>
      <c r="AC37" s="1430"/>
      <c r="AD37" s="1993"/>
      <c r="AE37" s="2469" t="s">
        <v>14</v>
      </c>
      <c r="AF37" s="1430"/>
      <c r="AG37" s="1429"/>
      <c r="AH37" s="2396"/>
      <c r="AI37" s="1412"/>
      <c r="AJ37" s="1412"/>
      <c r="AK37" s="2394"/>
      <c r="AL37" s="2333"/>
      <c r="AO37" s="2335"/>
    </row>
    <row r="38" spans="1:41" s="2397" customFormat="1" ht="15" customHeight="1">
      <c r="A38" s="2395"/>
      <c r="B38" s="2171" t="s">
        <v>1002</v>
      </c>
      <c r="C38" s="2344"/>
      <c r="D38" s="3741">
        <v>976.1</v>
      </c>
      <c r="E38" s="1391"/>
      <c r="F38" s="3741">
        <f t="shared" ref="F38:F43" si="7">$AC38-D38</f>
        <v>97.999999999999886</v>
      </c>
      <c r="G38" s="1391"/>
      <c r="H38" s="1741"/>
      <c r="I38" s="1429"/>
      <c r="J38" s="1741"/>
      <c r="K38" s="1941"/>
      <c r="L38" s="1741"/>
      <c r="M38" s="1941"/>
      <c r="N38" s="1741"/>
      <c r="O38" s="1941"/>
      <c r="P38" s="1741"/>
      <c r="Q38" s="1941"/>
      <c r="R38" s="1741"/>
      <c r="S38" s="1941"/>
      <c r="T38" s="1741"/>
      <c r="U38" s="1941"/>
      <c r="V38" s="1741"/>
      <c r="W38" s="1941"/>
      <c r="X38" s="1741"/>
      <c r="Y38" s="1941"/>
      <c r="Z38" s="1741"/>
      <c r="AA38" s="1942"/>
      <c r="AB38" s="1945"/>
      <c r="AC38" s="1757">
        <v>1074.0999999999999</v>
      </c>
      <c r="AD38" s="1984"/>
      <c r="AE38" s="1945" t="s">
        <v>14</v>
      </c>
      <c r="AF38" s="1757">
        <v>680</v>
      </c>
      <c r="AG38" s="1429"/>
      <c r="AH38" s="2396"/>
      <c r="AI38" s="1411">
        <f t="shared" ref="AI38:AI43" si="8">ROUND(SUM(+AC38-AF38),1)</f>
        <v>394.1</v>
      </c>
      <c r="AJ38" s="1412"/>
      <c r="AK38" s="1406">
        <f t="shared" ref="AK38:AK43" si="9">ROUND(IF(AF38=0,0,AI38/ABS(AF38)),3)</f>
        <v>0.57999999999999996</v>
      </c>
      <c r="AL38" s="2333"/>
      <c r="AM38" s="2335"/>
      <c r="AO38" s="2335"/>
    </row>
    <row r="39" spans="1:41" s="2397" customFormat="1" ht="15" customHeight="1">
      <c r="A39" s="2395"/>
      <c r="B39" s="2171" t="s">
        <v>1003</v>
      </c>
      <c r="C39" s="2344"/>
      <c r="D39" s="3741">
        <v>1.6</v>
      </c>
      <c r="E39" s="1391"/>
      <c r="F39" s="3741">
        <f t="shared" si="7"/>
        <v>0.69999999999999973</v>
      </c>
      <c r="G39" s="1391"/>
      <c r="H39" s="1741"/>
      <c r="I39" s="1429"/>
      <c r="J39" s="1741"/>
      <c r="K39" s="1941"/>
      <c r="L39" s="1741"/>
      <c r="M39" s="1941"/>
      <c r="N39" s="1741"/>
      <c r="O39" s="1941"/>
      <c r="P39" s="1741"/>
      <c r="Q39" s="1941"/>
      <c r="R39" s="1741"/>
      <c r="S39" s="1941"/>
      <c r="T39" s="1741"/>
      <c r="U39" s="1941"/>
      <c r="V39" s="1741"/>
      <c r="W39" s="1941"/>
      <c r="X39" s="1741"/>
      <c r="Y39" s="1941"/>
      <c r="Z39" s="1741"/>
      <c r="AA39" s="1942"/>
      <c r="AB39" s="1945"/>
      <c r="AC39" s="1757">
        <v>2.2999999999999998</v>
      </c>
      <c r="AD39" s="1984"/>
      <c r="AE39" s="1945" t="s">
        <v>14</v>
      </c>
      <c r="AF39" s="1757">
        <v>29.2</v>
      </c>
      <c r="AG39" s="1429"/>
      <c r="AH39" s="2396"/>
      <c r="AI39" s="1411">
        <f t="shared" si="8"/>
        <v>-26.9</v>
      </c>
      <c r="AJ39" s="1412"/>
      <c r="AK39" s="1443">
        <f t="shared" si="9"/>
        <v>-0.92100000000000004</v>
      </c>
      <c r="AL39" s="2333"/>
      <c r="AM39" s="2335"/>
      <c r="AO39" s="2335"/>
    </row>
    <row r="40" spans="1:41" s="2397" customFormat="1" ht="15" customHeight="1">
      <c r="A40" s="2395"/>
      <c r="B40" s="2171" t="s">
        <v>1004</v>
      </c>
      <c r="C40" s="2344"/>
      <c r="D40" s="3741">
        <v>91.5</v>
      </c>
      <c r="E40" s="1391"/>
      <c r="F40" s="3741">
        <f t="shared" si="7"/>
        <v>36.800000000000011</v>
      </c>
      <c r="G40" s="1391"/>
      <c r="H40" s="1741"/>
      <c r="I40" s="1429"/>
      <c r="J40" s="1741"/>
      <c r="K40" s="1941"/>
      <c r="L40" s="1741"/>
      <c r="M40" s="1941"/>
      <c r="N40" s="1741"/>
      <c r="O40" s="1941"/>
      <c r="P40" s="1741"/>
      <c r="Q40" s="1941"/>
      <c r="R40" s="1741"/>
      <c r="S40" s="1941"/>
      <c r="T40" s="1741"/>
      <c r="U40" s="1941"/>
      <c r="V40" s="1741"/>
      <c r="W40" s="1941"/>
      <c r="X40" s="1741"/>
      <c r="Y40" s="1941"/>
      <c r="Z40" s="1741"/>
      <c r="AA40" s="1942"/>
      <c r="AB40" s="1945"/>
      <c r="AC40" s="1757">
        <v>128.30000000000001</v>
      </c>
      <c r="AD40" s="1984"/>
      <c r="AE40" s="1945" t="s">
        <v>14</v>
      </c>
      <c r="AF40" s="1757">
        <v>127.8</v>
      </c>
      <c r="AG40" s="1429"/>
      <c r="AH40" s="2396"/>
      <c r="AI40" s="1411">
        <f t="shared" si="8"/>
        <v>0.5</v>
      </c>
      <c r="AJ40" s="1412"/>
      <c r="AK40" s="1406">
        <f t="shared" si="9"/>
        <v>4.0000000000000001E-3</v>
      </c>
      <c r="AL40" s="2333"/>
      <c r="AM40" s="2335"/>
      <c r="AO40" s="2335"/>
    </row>
    <row r="41" spans="1:41" s="2397" customFormat="1" ht="15" customHeight="1">
      <c r="A41" s="2395"/>
      <c r="B41" s="2171" t="s">
        <v>1005</v>
      </c>
      <c r="C41" s="2344"/>
      <c r="D41" s="3741">
        <v>0</v>
      </c>
      <c r="E41" s="1391"/>
      <c r="F41" s="3741">
        <f t="shared" si="7"/>
        <v>0</v>
      </c>
      <c r="G41" s="1391"/>
      <c r="H41" s="1741"/>
      <c r="I41" s="1429"/>
      <c r="J41" s="1741"/>
      <c r="K41" s="1941"/>
      <c r="L41" s="1741"/>
      <c r="M41" s="1941"/>
      <c r="N41" s="1741"/>
      <c r="O41" s="1941"/>
      <c r="P41" s="1741"/>
      <c r="Q41" s="1941"/>
      <c r="R41" s="1741"/>
      <c r="S41" s="1941"/>
      <c r="T41" s="1741"/>
      <c r="U41" s="1941"/>
      <c r="V41" s="1741"/>
      <c r="W41" s="1941"/>
      <c r="X41" s="1741"/>
      <c r="Y41" s="1941"/>
      <c r="Z41" s="1741"/>
      <c r="AA41" s="1942"/>
      <c r="AB41" s="1945"/>
      <c r="AC41" s="1757">
        <v>0</v>
      </c>
      <c r="AD41" s="1984"/>
      <c r="AE41" s="1945" t="s">
        <v>14</v>
      </c>
      <c r="AF41" s="1757">
        <v>-2.9</v>
      </c>
      <c r="AG41" s="1429"/>
      <c r="AH41" s="2396"/>
      <c r="AI41" s="1411">
        <f t="shared" si="8"/>
        <v>2.9</v>
      </c>
      <c r="AJ41" s="1412"/>
      <c r="AK41" s="1443">
        <f t="shared" si="9"/>
        <v>1</v>
      </c>
      <c r="AL41" s="2333"/>
      <c r="AM41" s="2335"/>
      <c r="AO41" s="2335"/>
    </row>
    <row r="42" spans="1:41" s="2397" customFormat="1" ht="15" customHeight="1">
      <c r="A42" s="2395"/>
      <c r="B42" s="2171" t="s">
        <v>1452</v>
      </c>
      <c r="C42" s="2344"/>
      <c r="D42" s="3741">
        <v>90.6</v>
      </c>
      <c r="E42" s="1391"/>
      <c r="F42" s="3741">
        <f t="shared" si="7"/>
        <v>-24.199999999999989</v>
      </c>
      <c r="G42" s="1391"/>
      <c r="H42" s="1741"/>
      <c r="I42" s="1429"/>
      <c r="J42" s="1741"/>
      <c r="K42" s="1941"/>
      <c r="L42" s="1741"/>
      <c r="M42" s="1941"/>
      <c r="N42" s="1741"/>
      <c r="O42" s="1941"/>
      <c r="P42" s="1741"/>
      <c r="Q42" s="1941"/>
      <c r="R42" s="1741"/>
      <c r="S42" s="1941"/>
      <c r="T42" s="1741"/>
      <c r="U42" s="1941"/>
      <c r="V42" s="1741"/>
      <c r="W42" s="1941"/>
      <c r="X42" s="1741"/>
      <c r="Y42" s="1941"/>
      <c r="Z42" s="1741"/>
      <c r="AA42" s="1942"/>
      <c r="AB42" s="1991"/>
      <c r="AC42" s="1757">
        <v>66.400000000000006</v>
      </c>
      <c r="AD42" s="1984"/>
      <c r="AE42" s="1945" t="s">
        <v>14</v>
      </c>
      <c r="AF42" s="1757">
        <v>0</v>
      </c>
      <c r="AG42" s="1429"/>
      <c r="AH42" s="2396"/>
      <c r="AI42" s="1411">
        <f t="shared" si="8"/>
        <v>66.400000000000006</v>
      </c>
      <c r="AJ42" s="1412"/>
      <c r="AK42" s="1443">
        <f>ROUND(IF(AF42=0,1,AI42/ABS(AF42)),3)</f>
        <v>1</v>
      </c>
      <c r="AL42" s="2333"/>
      <c r="AM42" s="2335"/>
      <c r="AO42" s="2335"/>
    </row>
    <row r="43" spans="1:41" s="2397" customFormat="1" ht="15" customHeight="1">
      <c r="A43" s="2395"/>
      <c r="B43" s="2171" t="s">
        <v>1006</v>
      </c>
      <c r="C43" s="2344"/>
      <c r="D43" s="3741">
        <v>0</v>
      </c>
      <c r="E43" s="1391"/>
      <c r="F43" s="3741">
        <f t="shared" si="7"/>
        <v>0</v>
      </c>
      <c r="G43" s="1391"/>
      <c r="H43" s="1741"/>
      <c r="I43" s="1429"/>
      <c r="J43" s="1741"/>
      <c r="K43" s="1941"/>
      <c r="L43" s="1741"/>
      <c r="M43" s="1941"/>
      <c r="N43" s="1741"/>
      <c r="O43" s="1941"/>
      <c r="P43" s="1741"/>
      <c r="Q43" s="1941"/>
      <c r="R43" s="1741"/>
      <c r="S43" s="1941"/>
      <c r="T43" s="1741"/>
      <c r="U43" s="1941"/>
      <c r="V43" s="1741"/>
      <c r="W43" s="1941"/>
      <c r="X43" s="1741"/>
      <c r="Y43" s="1941"/>
      <c r="Z43" s="1741"/>
      <c r="AA43" s="1942"/>
      <c r="AB43" s="1945"/>
      <c r="AC43" s="1757">
        <v>0</v>
      </c>
      <c r="AD43" s="1984"/>
      <c r="AE43" s="1945" t="s">
        <v>14</v>
      </c>
      <c r="AF43" s="1757">
        <v>0</v>
      </c>
      <c r="AG43" s="1429"/>
      <c r="AH43" s="2396"/>
      <c r="AI43" s="1411">
        <f t="shared" si="8"/>
        <v>0</v>
      </c>
      <c r="AJ43" s="1412"/>
      <c r="AK43" s="1406">
        <f t="shared" si="9"/>
        <v>0</v>
      </c>
      <c r="AL43" s="2333"/>
      <c r="AM43" s="2335"/>
      <c r="AO43" s="2335"/>
    </row>
    <row r="44" spans="1:41" s="2397" customFormat="1" ht="15" customHeight="1">
      <c r="A44" s="2395"/>
      <c r="B44" s="2389" t="s">
        <v>1001</v>
      </c>
      <c r="C44" s="2344"/>
      <c r="D44" s="2391">
        <f>ROUND(SUM(D38:D43),1)</f>
        <v>1159.8</v>
      </c>
      <c r="E44" s="1429"/>
      <c r="F44" s="2391">
        <f>ROUND(SUM(F38:F43),1)</f>
        <v>111.3</v>
      </c>
      <c r="G44" s="1429"/>
      <c r="H44" s="2391">
        <f>ROUND(SUM(H38:H43),1)</f>
        <v>0</v>
      </c>
      <c r="I44" s="1429"/>
      <c r="J44" s="2391">
        <f>ROUND(SUM(J38:J43),1)</f>
        <v>0</v>
      </c>
      <c r="K44" s="1429"/>
      <c r="L44" s="1428">
        <f>ROUND(SUM(L38:L43),1)</f>
        <v>0</v>
      </c>
      <c r="M44" s="1429"/>
      <c r="N44" s="1428">
        <f>ROUND(SUM(N38:N43),1)</f>
        <v>0</v>
      </c>
      <c r="O44" s="1429"/>
      <c r="P44" s="1428">
        <f>ROUND(SUM(P38:P43),1)</f>
        <v>0</v>
      </c>
      <c r="Q44" s="1429"/>
      <c r="R44" s="1428">
        <f>ROUND(SUM(R38:R43),1)</f>
        <v>0</v>
      </c>
      <c r="S44" s="1429"/>
      <c r="T44" s="1428">
        <f>ROUND(SUM(T38:T43),1)</f>
        <v>0</v>
      </c>
      <c r="U44" s="1429"/>
      <c r="V44" s="1428">
        <f>ROUND(SUM(V38:V43),1)</f>
        <v>0</v>
      </c>
      <c r="W44" s="1429"/>
      <c r="X44" s="1428">
        <f>ROUND(SUM(X38:X43),1)</f>
        <v>0</v>
      </c>
      <c r="Y44" s="1429"/>
      <c r="Z44" s="1428">
        <f>ROUND(SUM(Z38:Z43),1)</f>
        <v>0</v>
      </c>
      <c r="AA44" s="1953"/>
      <c r="AB44" s="1988"/>
      <c r="AC44" s="3044">
        <f>ROUND(SUM(AC38:AC43),1)</f>
        <v>1271.0999999999999</v>
      </c>
      <c r="AD44" s="1993"/>
      <c r="AE44" s="2469"/>
      <c r="AF44" s="1428">
        <f>ROUND(SUM(AF38:AF43),1)</f>
        <v>834.1</v>
      </c>
      <c r="AG44" s="1429"/>
      <c r="AH44" s="2396"/>
      <c r="AI44" s="1428">
        <f>ROUND(SUM(AI38:AI43),1)</f>
        <v>437</v>
      </c>
      <c r="AJ44" s="1412"/>
      <c r="AK44" s="1413">
        <f>ROUND(SUM(+AI44/AF44),3)</f>
        <v>0.52400000000000002</v>
      </c>
      <c r="AL44" s="2333"/>
      <c r="AM44" s="2335"/>
      <c r="AO44" s="2335"/>
    </row>
    <row r="45" spans="1:41" s="2397" customFormat="1" ht="15" customHeight="1">
      <c r="A45" s="2395"/>
      <c r="B45" s="2379" t="s">
        <v>1041</v>
      </c>
      <c r="C45" s="2344"/>
      <c r="D45" s="1412"/>
      <c r="E45" s="1429"/>
      <c r="F45" s="1412"/>
      <c r="G45" s="1429"/>
      <c r="H45" s="1412"/>
      <c r="I45" s="1429"/>
      <c r="J45" s="1430"/>
      <c r="K45" s="1429"/>
      <c r="L45" s="1412"/>
      <c r="M45" s="1429"/>
      <c r="N45" s="1412"/>
      <c r="O45" s="1429"/>
      <c r="P45" s="1430"/>
      <c r="Q45" s="1429"/>
      <c r="R45" s="1412"/>
      <c r="S45" s="1429"/>
      <c r="T45" s="1412"/>
      <c r="U45" s="1429"/>
      <c r="V45" s="1412"/>
      <c r="W45" s="1429"/>
      <c r="X45" s="1412"/>
      <c r="Y45" s="1429"/>
      <c r="Z45" s="1412"/>
      <c r="AA45" s="1953"/>
      <c r="AB45" s="1988"/>
      <c r="AC45" s="1430"/>
      <c r="AD45" s="1993"/>
      <c r="AE45" s="2469"/>
      <c r="AF45" s="1430"/>
      <c r="AG45" s="1429"/>
      <c r="AH45" s="2396"/>
      <c r="AI45" s="1412"/>
      <c r="AJ45" s="1412"/>
      <c r="AK45" s="2394"/>
      <c r="AL45" s="2333"/>
      <c r="AM45" s="2335"/>
      <c r="AO45" s="2335"/>
    </row>
    <row r="46" spans="1:41" s="2397" customFormat="1" ht="15" customHeight="1">
      <c r="A46" s="2395"/>
      <c r="B46" s="2171" t="s">
        <v>1009</v>
      </c>
      <c r="C46" s="2344"/>
      <c r="D46" s="3741">
        <v>0</v>
      </c>
      <c r="E46" s="1391"/>
      <c r="F46" s="3741">
        <f t="shared" ref="F46:F51" si="10">$AC46-D46</f>
        <v>0</v>
      </c>
      <c r="G46" s="1391"/>
      <c r="H46" s="1741"/>
      <c r="I46" s="1429"/>
      <c r="J46" s="1741"/>
      <c r="K46" s="1941"/>
      <c r="L46" s="1741"/>
      <c r="M46" s="1941"/>
      <c r="N46" s="1741"/>
      <c r="O46" s="1941"/>
      <c r="P46" s="1741"/>
      <c r="Q46" s="1941"/>
      <c r="R46" s="1741"/>
      <c r="S46" s="1941"/>
      <c r="T46" s="1741"/>
      <c r="U46" s="1941"/>
      <c r="V46" s="1741"/>
      <c r="W46" s="1941"/>
      <c r="X46" s="1741"/>
      <c r="Y46" s="1941"/>
      <c r="Z46" s="1741"/>
      <c r="AA46" s="1942"/>
      <c r="AB46" s="1945"/>
      <c r="AC46" s="1757">
        <v>0</v>
      </c>
      <c r="AD46" s="1984"/>
      <c r="AE46" s="1945" t="s">
        <v>14</v>
      </c>
      <c r="AF46" s="1757">
        <v>0</v>
      </c>
      <c r="AG46" s="1429"/>
      <c r="AH46" s="2396"/>
      <c r="AI46" s="1411">
        <f t="shared" ref="AI46:AI50" si="11">ROUND(SUM(+AC46-AF46),1)</f>
        <v>0</v>
      </c>
      <c r="AJ46" s="1412"/>
      <c r="AK46" s="1406">
        <f t="shared" ref="AK46:AK49" si="12">ROUND(IF(AF46=0,0,AI46/ABS(AF46)),3)</f>
        <v>0</v>
      </c>
      <c r="AL46" s="2333"/>
      <c r="AM46" s="2335"/>
      <c r="AO46" s="2335"/>
    </row>
    <row r="47" spans="1:41" s="2397" customFormat="1" ht="15" customHeight="1">
      <c r="A47" s="2395"/>
      <c r="B47" s="2171" t="s">
        <v>1010</v>
      </c>
      <c r="C47" s="2344"/>
      <c r="D47" s="3741">
        <v>127.3</v>
      </c>
      <c r="E47" s="1391"/>
      <c r="F47" s="3741">
        <f t="shared" si="10"/>
        <v>126.00000000000001</v>
      </c>
      <c r="G47" s="1391"/>
      <c r="H47" s="1741"/>
      <c r="I47" s="1429"/>
      <c r="J47" s="1741"/>
      <c r="K47" s="1941"/>
      <c r="L47" s="1741"/>
      <c r="M47" s="1941"/>
      <c r="N47" s="1741"/>
      <c r="O47" s="1941"/>
      <c r="P47" s="1741"/>
      <c r="Q47" s="1941"/>
      <c r="R47" s="1741"/>
      <c r="S47" s="1941"/>
      <c r="T47" s="1741"/>
      <c r="U47" s="1941"/>
      <c r="V47" s="1741"/>
      <c r="W47" s="1941"/>
      <c r="X47" s="1741"/>
      <c r="Y47" s="1941"/>
      <c r="Z47" s="1741"/>
      <c r="AA47" s="1942"/>
      <c r="AB47" s="1945"/>
      <c r="AC47" s="1757">
        <v>253.3</v>
      </c>
      <c r="AD47" s="1984"/>
      <c r="AE47" s="1945" t="s">
        <v>14</v>
      </c>
      <c r="AF47" s="1757">
        <v>236.8</v>
      </c>
      <c r="AG47" s="1429"/>
      <c r="AH47" s="2396"/>
      <c r="AI47" s="1411">
        <f t="shared" si="11"/>
        <v>16.5</v>
      </c>
      <c r="AJ47" s="1412"/>
      <c r="AK47" s="1406">
        <f t="shared" si="12"/>
        <v>7.0000000000000007E-2</v>
      </c>
      <c r="AL47" s="2333"/>
      <c r="AM47" s="2335"/>
      <c r="AO47" s="2335"/>
    </row>
    <row r="48" spans="1:41" s="2397" customFormat="1" ht="15" customHeight="1">
      <c r="A48" s="2395"/>
      <c r="B48" s="2171" t="s">
        <v>1011</v>
      </c>
      <c r="C48" s="2344"/>
      <c r="D48" s="3741">
        <v>1.5</v>
      </c>
      <c r="E48" s="1391"/>
      <c r="F48" s="3741">
        <f t="shared" si="10"/>
        <v>1.1000000000000001</v>
      </c>
      <c r="G48" s="1391"/>
      <c r="H48" s="1741"/>
      <c r="I48" s="1429"/>
      <c r="J48" s="1741"/>
      <c r="K48" s="1941"/>
      <c r="L48" s="1741"/>
      <c r="M48" s="1941"/>
      <c r="N48" s="1741"/>
      <c r="O48" s="1941"/>
      <c r="P48" s="1741"/>
      <c r="Q48" s="1941"/>
      <c r="R48" s="1741"/>
      <c r="S48" s="1941"/>
      <c r="T48" s="1741"/>
      <c r="U48" s="1941"/>
      <c r="V48" s="1741"/>
      <c r="W48" s="1941"/>
      <c r="X48" s="1741"/>
      <c r="Y48" s="1941"/>
      <c r="Z48" s="1741"/>
      <c r="AA48" s="1942"/>
      <c r="AB48" s="1945"/>
      <c r="AC48" s="1757">
        <v>2.6</v>
      </c>
      <c r="AD48" s="1984"/>
      <c r="AE48" s="1945" t="s">
        <v>14</v>
      </c>
      <c r="AF48" s="1757">
        <v>2.4</v>
      </c>
      <c r="AG48" s="1429"/>
      <c r="AH48" s="2396"/>
      <c r="AI48" s="1411">
        <f t="shared" si="11"/>
        <v>0.2</v>
      </c>
      <c r="AJ48" s="1412"/>
      <c r="AK48" s="1406">
        <f t="shared" si="12"/>
        <v>8.3000000000000004E-2</v>
      </c>
      <c r="AL48" s="2333"/>
      <c r="AM48" s="2335"/>
      <c r="AO48" s="2335"/>
    </row>
    <row r="49" spans="1:41" s="2397" customFormat="1" ht="15" customHeight="1">
      <c r="A49" s="2395"/>
      <c r="B49" s="2171" t="s">
        <v>1012</v>
      </c>
      <c r="C49" s="2344"/>
      <c r="D49" s="3741">
        <v>0</v>
      </c>
      <c r="E49" s="1391"/>
      <c r="F49" s="3741">
        <f t="shared" si="10"/>
        <v>0</v>
      </c>
      <c r="G49" s="1391"/>
      <c r="H49" s="1741"/>
      <c r="I49" s="1429"/>
      <c r="J49" s="1741"/>
      <c r="K49" s="1941"/>
      <c r="L49" s="1741"/>
      <c r="M49" s="1941"/>
      <c r="N49" s="1741"/>
      <c r="O49" s="1941"/>
      <c r="P49" s="1741"/>
      <c r="Q49" s="1941"/>
      <c r="R49" s="1741"/>
      <c r="S49" s="1941"/>
      <c r="T49" s="1741"/>
      <c r="U49" s="1941"/>
      <c r="V49" s="1741"/>
      <c r="W49" s="1941"/>
      <c r="X49" s="1741"/>
      <c r="Y49" s="1941"/>
      <c r="Z49" s="1741"/>
      <c r="AA49" s="1942"/>
      <c r="AB49" s="1945"/>
      <c r="AC49" s="1757">
        <v>0</v>
      </c>
      <c r="AD49" s="1984">
        <f>'Exhibit F'!AF1214</f>
        <v>0</v>
      </c>
      <c r="AE49" s="1945" t="s">
        <v>14</v>
      </c>
      <c r="AF49" s="1757">
        <v>0</v>
      </c>
      <c r="AG49" s="1429"/>
      <c r="AH49" s="2396"/>
      <c r="AI49" s="1411">
        <f t="shared" si="11"/>
        <v>0</v>
      </c>
      <c r="AJ49" s="1412"/>
      <c r="AK49" s="1406">
        <f t="shared" si="12"/>
        <v>0</v>
      </c>
      <c r="AL49" s="2333"/>
      <c r="AM49" s="2335"/>
      <c r="AO49" s="2335"/>
    </row>
    <row r="50" spans="1:41" s="2397" customFormat="1" ht="15" customHeight="1">
      <c r="A50" s="2395"/>
      <c r="B50" s="2171" t="s">
        <v>1455</v>
      </c>
      <c r="C50" s="2344"/>
      <c r="D50" s="3741">
        <v>0</v>
      </c>
      <c r="E50" s="1391"/>
      <c r="F50" s="3741">
        <f t="shared" si="10"/>
        <v>0.2</v>
      </c>
      <c r="G50" s="1391"/>
      <c r="H50" s="1741"/>
      <c r="I50" s="1429"/>
      <c r="J50" s="1741"/>
      <c r="K50" s="1941"/>
      <c r="L50" s="1741"/>
      <c r="M50" s="1941"/>
      <c r="N50" s="1741"/>
      <c r="O50" s="1941"/>
      <c r="P50" s="1741"/>
      <c r="Q50" s="1941"/>
      <c r="R50" s="1741"/>
      <c r="S50" s="1941"/>
      <c r="T50" s="1741"/>
      <c r="U50" s="1941"/>
      <c r="V50" s="1741"/>
      <c r="W50" s="1941"/>
      <c r="X50" s="1741"/>
      <c r="Y50" s="1941"/>
      <c r="Z50" s="1741"/>
      <c r="AA50" s="1942"/>
      <c r="AB50" s="1945"/>
      <c r="AC50" s="1757">
        <v>0.2</v>
      </c>
      <c r="AD50" s="1984"/>
      <c r="AE50" s="1945" t="s">
        <v>14</v>
      </c>
      <c r="AF50" s="1757">
        <v>0</v>
      </c>
      <c r="AG50" s="1429"/>
      <c r="AH50" s="2396"/>
      <c r="AI50" s="1411">
        <f t="shared" si="11"/>
        <v>0.2</v>
      </c>
      <c r="AJ50" s="1412"/>
      <c r="AK50" s="1406">
        <f>ROUND(IF(AF50=0,1,AI50/ABS(AF50)),3)</f>
        <v>1</v>
      </c>
      <c r="AL50" s="2333"/>
      <c r="AM50" s="2335"/>
      <c r="AO50" s="2335"/>
    </row>
    <row r="51" spans="1:41" s="2397" customFormat="1" ht="15" customHeight="1">
      <c r="A51" s="2395"/>
      <c r="B51" s="2386" t="s">
        <v>1257</v>
      </c>
      <c r="C51" s="2381"/>
      <c r="D51" s="3741">
        <v>0.2</v>
      </c>
      <c r="E51" s="1391"/>
      <c r="F51" s="3741">
        <f t="shared" si="10"/>
        <v>9.9999999999999978E-2</v>
      </c>
      <c r="G51" s="1391"/>
      <c r="H51" s="1741"/>
      <c r="I51" s="2385"/>
      <c r="J51" s="1741"/>
      <c r="K51" s="1941"/>
      <c r="L51" s="1741"/>
      <c r="M51" s="1941"/>
      <c r="N51" s="1741"/>
      <c r="O51" s="1941"/>
      <c r="P51" s="1741"/>
      <c r="Q51" s="1941"/>
      <c r="R51" s="1741"/>
      <c r="S51" s="1941"/>
      <c r="T51" s="1741"/>
      <c r="U51" s="1941"/>
      <c r="V51" s="1741"/>
      <c r="W51" s="1941"/>
      <c r="X51" s="1741"/>
      <c r="Y51" s="1941"/>
      <c r="Z51" s="1741"/>
      <c r="AA51" s="1942"/>
      <c r="AB51" s="1945"/>
      <c r="AC51" s="1757">
        <v>0.3</v>
      </c>
      <c r="AD51" s="1984"/>
      <c r="AE51" s="1945" t="s">
        <v>14</v>
      </c>
      <c r="AF51" s="1757">
        <v>0.2</v>
      </c>
      <c r="AG51" s="2124"/>
      <c r="AH51" s="2383"/>
      <c r="AI51" s="1943">
        <f>ROUND(SUM(+AC51-AF51),1)</f>
        <v>0.1</v>
      </c>
      <c r="AJ51" s="2384"/>
      <c r="AK51" s="1677">
        <f>ROUND(IF(AF51=0,1,AI51/ABS(AF51)),3)</f>
        <v>0.5</v>
      </c>
      <c r="AL51" s="2333"/>
      <c r="AM51" s="2335"/>
      <c r="AO51" s="2335"/>
    </row>
    <row r="52" spans="1:41" s="2397" customFormat="1" ht="15" customHeight="1">
      <c r="A52" s="2395"/>
      <c r="B52" s="2389" t="s">
        <v>1007</v>
      </c>
      <c r="C52" s="2344"/>
      <c r="D52" s="2391">
        <f>ROUND(SUM(D46:D51),1)</f>
        <v>129</v>
      </c>
      <c r="E52" s="1429"/>
      <c r="F52" s="2391">
        <f>ROUND(SUM(F46:F51),1)</f>
        <v>127.4</v>
      </c>
      <c r="G52" s="1429"/>
      <c r="H52" s="2391">
        <f>ROUND(SUM(H46:H51),1)</f>
        <v>0</v>
      </c>
      <c r="I52" s="1429"/>
      <c r="J52" s="2391">
        <f>ROUND(SUM(J46:J51),1)</f>
        <v>0</v>
      </c>
      <c r="K52" s="1429"/>
      <c r="L52" s="1428">
        <f>ROUND(SUM(L46:L51),1)</f>
        <v>0</v>
      </c>
      <c r="M52" s="1429"/>
      <c r="N52" s="1428">
        <f>ROUND(SUM(N46:N51),1)</f>
        <v>0</v>
      </c>
      <c r="O52" s="1429"/>
      <c r="P52" s="1428">
        <f>ROUND(SUM(P46:P51),1)</f>
        <v>0</v>
      </c>
      <c r="Q52" s="1429"/>
      <c r="R52" s="1428">
        <f>ROUND(SUM(R46:R51),1)</f>
        <v>0</v>
      </c>
      <c r="S52" s="1429"/>
      <c r="T52" s="1428">
        <f>ROUND(SUM(T46:T51),1)</f>
        <v>0</v>
      </c>
      <c r="U52" s="1429"/>
      <c r="V52" s="1428">
        <f>ROUND(SUM(V46:V51),1)</f>
        <v>0</v>
      </c>
      <c r="W52" s="1429"/>
      <c r="X52" s="1428">
        <f>ROUND(SUM(X46:X51),1)</f>
        <v>0</v>
      </c>
      <c r="Y52" s="1429"/>
      <c r="Z52" s="1428">
        <f>ROUND(SUM(Z46:Z51),1)</f>
        <v>0</v>
      </c>
      <c r="AA52" s="1953"/>
      <c r="AB52" s="1988"/>
      <c r="AC52" s="3044">
        <f>ROUND(SUM(AC46:AC51),1)</f>
        <v>256.39999999999998</v>
      </c>
      <c r="AD52" s="1993"/>
      <c r="AE52" s="2469"/>
      <c r="AF52" s="1428">
        <f>ROUND(SUM(AF46:AF51),1)</f>
        <v>239.4</v>
      </c>
      <c r="AG52" s="1429"/>
      <c r="AH52" s="2396"/>
      <c r="AI52" s="1428">
        <f>ROUND(SUM(AI46:AI51),1)</f>
        <v>17</v>
      </c>
      <c r="AJ52" s="1412"/>
      <c r="AK52" s="1413">
        <f>ROUND(SUM(+AI52/AF52),3)</f>
        <v>7.0999999999999994E-2</v>
      </c>
      <c r="AL52" s="2333"/>
      <c r="AM52" s="2335"/>
      <c r="AO52" s="2335"/>
    </row>
    <row r="53" spans="1:41" s="2397" customFormat="1" ht="15" customHeight="1">
      <c r="A53" s="2395"/>
      <c r="B53" s="2389"/>
      <c r="C53" s="2344"/>
      <c r="D53" s="1412"/>
      <c r="E53" s="1429"/>
      <c r="F53" s="1412"/>
      <c r="G53" s="1412"/>
      <c r="H53" s="1412"/>
      <c r="I53" s="1412"/>
      <c r="J53" s="1430"/>
      <c r="K53" s="1412"/>
      <c r="L53" s="1412"/>
      <c r="M53" s="1412"/>
      <c r="N53" s="1412"/>
      <c r="O53" s="1412"/>
      <c r="P53" s="1430"/>
      <c r="Q53" s="1412"/>
      <c r="R53" s="1412"/>
      <c r="S53" s="1412"/>
      <c r="T53" s="1412"/>
      <c r="U53" s="1412"/>
      <c r="V53" s="1412"/>
      <c r="W53" s="1412"/>
      <c r="X53" s="1430"/>
      <c r="Y53" s="1412"/>
      <c r="Z53" s="1430"/>
      <c r="AA53" s="1953"/>
      <c r="AB53" s="1988"/>
      <c r="AC53" s="1430"/>
      <c r="AD53" s="1993"/>
      <c r="AE53" s="2469"/>
      <c r="AF53" s="1430"/>
      <c r="AG53" s="1429"/>
      <c r="AH53" s="2396"/>
      <c r="AI53" s="1412"/>
      <c r="AJ53" s="1412"/>
      <c r="AK53" s="2394"/>
      <c r="AL53" s="2333"/>
      <c r="AM53" s="2335"/>
      <c r="AO53" s="2335"/>
    </row>
    <row r="54" spans="1:41" ht="15" customHeight="1">
      <c r="A54" s="2367"/>
      <c r="B54" s="2389" t="s">
        <v>1008</v>
      </c>
      <c r="C54" s="1965"/>
      <c r="D54" s="2398">
        <f>ROUND(SUM(D26+D36+D44+D52),1)</f>
        <v>9019.7999999999993</v>
      </c>
      <c r="E54" s="1411"/>
      <c r="F54" s="2398">
        <f>ROUND(SUM(F26+F36+F44+F52),1)</f>
        <v>1974.8</v>
      </c>
      <c r="G54" s="1411"/>
      <c r="H54" s="2398">
        <f>ROUND(SUM(H26+H36+H44+H52),1)</f>
        <v>0</v>
      </c>
      <c r="I54" s="1411"/>
      <c r="J54" s="2398">
        <f>ROUND(SUM(J26+J36+J44+J52),1)</f>
        <v>0</v>
      </c>
      <c r="K54" s="1949"/>
      <c r="L54" s="1926">
        <f>ROUND(SUM(L26+L36+L44+L52),1)</f>
        <v>0</v>
      </c>
      <c r="M54" s="1949"/>
      <c r="N54" s="1926">
        <f>ROUND(SUM(N26+N36+N44+N52),1)</f>
        <v>0</v>
      </c>
      <c r="O54" s="1949"/>
      <c r="P54" s="1926">
        <f>ROUND(SUM(P26+P36+P44+P52),1)</f>
        <v>0</v>
      </c>
      <c r="Q54" s="1949"/>
      <c r="R54" s="1926">
        <f>ROUND(SUM(R26+R36+R44+R52),1)</f>
        <v>0</v>
      </c>
      <c r="S54" s="1949"/>
      <c r="T54" s="1926">
        <f>ROUND(SUM(T26+T36+T44+T52),1)</f>
        <v>0</v>
      </c>
      <c r="U54" s="1949"/>
      <c r="V54" s="1926">
        <f>ROUND(SUM(V26+V36+V44+V52),1)</f>
        <v>0</v>
      </c>
      <c r="W54" s="1949"/>
      <c r="X54" s="1926">
        <f>ROUND(SUM(X26+X36+X44+X52),1)</f>
        <v>0</v>
      </c>
      <c r="Y54" s="1949"/>
      <c r="Z54" s="1926">
        <f>ROUND(SUM(Z26+Z36+Z44+Z52),1)</f>
        <v>0</v>
      </c>
      <c r="AA54" s="1431"/>
      <c r="AB54" s="1986"/>
      <c r="AC54" s="3046">
        <f>ROUND(SUM(AC26+AC36+AC44+AC52),1)</f>
        <v>10994.6</v>
      </c>
      <c r="AD54" s="1938"/>
      <c r="AE54" s="1982"/>
      <c r="AF54" s="1926">
        <f>ROUND(SUM(AF26+AF36+AF44+AF52),1)</f>
        <v>9946.2999999999993</v>
      </c>
      <c r="AG54" s="1949"/>
      <c r="AH54" s="2392"/>
      <c r="AI54" s="1926">
        <f>ROUND(SUM(AI26+AI36+AI44+AI52),1)</f>
        <v>1048.3</v>
      </c>
      <c r="AJ54" s="2393"/>
      <c r="AK54" s="1403">
        <f>ROUND(SUM(+AI54/AF54),3)</f>
        <v>0.105</v>
      </c>
      <c r="AM54" s="2335"/>
      <c r="AO54" s="2335"/>
    </row>
    <row r="55" spans="1:41" ht="8.25" customHeight="1">
      <c r="A55" s="2367"/>
      <c r="B55" s="2385"/>
      <c r="C55" s="1965"/>
      <c r="D55" s="1411"/>
      <c r="E55" s="1411"/>
      <c r="F55" s="1411"/>
      <c r="G55" s="1411"/>
      <c r="H55" s="1411"/>
      <c r="I55" s="1411"/>
      <c r="J55" s="1943"/>
      <c r="K55" s="1949"/>
      <c r="L55" s="1949"/>
      <c r="M55" s="1949"/>
      <c r="N55" s="1949"/>
      <c r="O55" s="1949"/>
      <c r="P55" s="1938"/>
      <c r="Q55" s="1949"/>
      <c r="R55" s="1949"/>
      <c r="S55" s="1949"/>
      <c r="T55" s="1949"/>
      <c r="U55" s="1949"/>
      <c r="V55" s="1949"/>
      <c r="W55" s="1949"/>
      <c r="X55" s="1949"/>
      <c r="Y55" s="1949"/>
      <c r="Z55" s="1949"/>
      <c r="AA55" s="1431"/>
      <c r="AB55" s="1986"/>
      <c r="AC55" s="1943"/>
      <c r="AD55" s="1938"/>
      <c r="AE55" s="1982"/>
      <c r="AF55" s="1938"/>
      <c r="AG55" s="1949"/>
      <c r="AH55" s="2392"/>
      <c r="AI55" s="1411"/>
      <c r="AJ55" s="2393"/>
      <c r="AK55" s="1400"/>
      <c r="AM55" s="2335"/>
      <c r="AO55" s="2335"/>
    </row>
    <row r="56" spans="1:41" ht="15" customHeight="1">
      <c r="A56" s="2367"/>
      <c r="B56" s="2378" t="s">
        <v>918</v>
      </c>
      <c r="C56" s="2399"/>
      <c r="D56" s="1411"/>
      <c r="E56" s="2400"/>
      <c r="F56" s="1411"/>
      <c r="G56" s="2400"/>
      <c r="H56" s="1411"/>
      <c r="I56" s="1411"/>
      <c r="J56" s="1943"/>
      <c r="K56" s="1949"/>
      <c r="L56" s="1949"/>
      <c r="M56" s="1949"/>
      <c r="N56" s="1949"/>
      <c r="O56" s="1949"/>
      <c r="P56" s="1938"/>
      <c r="Q56" s="1949"/>
      <c r="R56" s="1949"/>
      <c r="S56" s="1949"/>
      <c r="T56" s="1949"/>
      <c r="U56" s="1949"/>
      <c r="V56" s="1949"/>
      <c r="W56" s="1949"/>
      <c r="X56" s="1949"/>
      <c r="Y56" s="1949"/>
      <c r="Z56" s="1949"/>
      <c r="AA56" s="1431"/>
      <c r="AB56" s="1986"/>
      <c r="AC56" s="1943"/>
      <c r="AD56" s="1938"/>
      <c r="AE56" s="1982"/>
      <c r="AF56" s="1938"/>
      <c r="AG56" s="1949"/>
      <c r="AH56" s="2392"/>
      <c r="AI56" s="1411"/>
      <c r="AJ56" s="2393"/>
      <c r="AK56" s="1400"/>
      <c r="AM56" s="2335"/>
      <c r="AO56" s="2335"/>
    </row>
    <row r="57" spans="1:41" ht="15" customHeight="1">
      <c r="A57" s="2367"/>
      <c r="B57" s="2401" t="s">
        <v>1033</v>
      </c>
      <c r="C57" s="2399"/>
      <c r="D57" s="1411"/>
      <c r="E57" s="2400"/>
      <c r="F57" s="1411"/>
      <c r="G57" s="2400"/>
      <c r="H57" s="1411"/>
      <c r="I57" s="1411"/>
      <c r="J57" s="1943"/>
      <c r="K57" s="1949"/>
      <c r="L57" s="1949"/>
      <c r="M57" s="1949"/>
      <c r="N57" s="1949"/>
      <c r="O57" s="1949"/>
      <c r="P57" s="1938"/>
      <c r="Q57" s="1949"/>
      <c r="R57" s="1949"/>
      <c r="S57" s="1949"/>
      <c r="T57" s="1949"/>
      <c r="U57" s="1949"/>
      <c r="V57" s="1949"/>
      <c r="W57" s="1949"/>
      <c r="X57" s="1949"/>
      <c r="Y57" s="1949"/>
      <c r="Z57" s="1949"/>
      <c r="AA57" s="1431"/>
      <c r="AB57" s="1989"/>
      <c r="AC57" s="1943"/>
      <c r="AD57" s="1938"/>
      <c r="AE57" s="1982"/>
      <c r="AF57" s="1943"/>
      <c r="AG57" s="1949"/>
      <c r="AH57" s="2392"/>
      <c r="AI57" s="1411"/>
      <c r="AJ57" s="2393"/>
      <c r="AK57" s="1400"/>
      <c r="AM57" s="2335"/>
      <c r="AO57" s="2335"/>
    </row>
    <row r="58" spans="1:41" ht="15" customHeight="1">
      <c r="A58" s="2367"/>
      <c r="B58" s="2401" t="s">
        <v>916</v>
      </c>
      <c r="C58" s="2401"/>
      <c r="D58" s="3741">
        <v>1</v>
      </c>
      <c r="E58" s="2400"/>
      <c r="F58" s="3741">
        <f t="shared" ref="F58:F94" si="13">$AC58-D58</f>
        <v>0</v>
      </c>
      <c r="G58" s="2400"/>
      <c r="H58" s="1741"/>
      <c r="I58" s="1411"/>
      <c r="J58" s="1741"/>
      <c r="K58" s="1941"/>
      <c r="L58" s="1741"/>
      <c r="M58" s="1941"/>
      <c r="N58" s="1741"/>
      <c r="O58" s="1941"/>
      <c r="P58" s="1741"/>
      <c r="Q58" s="1941"/>
      <c r="R58" s="1741"/>
      <c r="S58" s="1941"/>
      <c r="T58" s="1741"/>
      <c r="U58" s="1941"/>
      <c r="V58" s="1741"/>
      <c r="W58" s="1941"/>
      <c r="X58" s="1741"/>
      <c r="Y58" s="1941"/>
      <c r="Z58" s="1741"/>
      <c r="AA58" s="1942"/>
      <c r="AB58" s="1945"/>
      <c r="AC58" s="1757">
        <v>1</v>
      </c>
      <c r="AD58" s="1984"/>
      <c r="AE58" s="1945" t="s">
        <v>14</v>
      </c>
      <c r="AF58" s="1757">
        <v>0.4</v>
      </c>
      <c r="AG58" s="2402"/>
      <c r="AH58" s="2403"/>
      <c r="AI58" s="1411">
        <f>ROUND(SUM(+AC58-AF58),1)</f>
        <v>0.6</v>
      </c>
      <c r="AJ58" s="2393"/>
      <c r="AK58" s="1406">
        <f>ROUND(IF(AF58=0,1,AI58/ABS(AF58)),3)</f>
        <v>1.5</v>
      </c>
      <c r="AM58" s="2335"/>
      <c r="AO58" s="2335"/>
    </row>
    <row r="59" spans="1:41" ht="15" customHeight="1">
      <c r="A59" s="2367"/>
      <c r="B59" s="2401" t="s">
        <v>917</v>
      </c>
      <c r="C59" s="2401"/>
      <c r="D59" s="3741">
        <v>0.2</v>
      </c>
      <c r="E59" s="2400"/>
      <c r="F59" s="3741">
        <f t="shared" si="13"/>
        <v>0.2</v>
      </c>
      <c r="G59" s="2400"/>
      <c r="H59" s="1741"/>
      <c r="I59" s="1411"/>
      <c r="J59" s="1741"/>
      <c r="K59" s="1941"/>
      <c r="L59" s="1741"/>
      <c r="M59" s="1941"/>
      <c r="N59" s="1741"/>
      <c r="O59" s="1941"/>
      <c r="P59" s="1741"/>
      <c r="Q59" s="1941"/>
      <c r="R59" s="1741"/>
      <c r="S59" s="1941"/>
      <c r="T59" s="1741"/>
      <c r="U59" s="1941"/>
      <c r="V59" s="1741"/>
      <c r="W59" s="1941"/>
      <c r="X59" s="1741"/>
      <c r="Y59" s="1941"/>
      <c r="Z59" s="1741"/>
      <c r="AA59" s="1942"/>
      <c r="AB59" s="1945"/>
      <c r="AC59" s="1757">
        <v>0.4</v>
      </c>
      <c r="AD59" s="1984"/>
      <c r="AE59" s="1945" t="s">
        <v>14</v>
      </c>
      <c r="AF59" s="1757">
        <v>1.3</v>
      </c>
      <c r="AG59" s="1950"/>
      <c r="AH59" s="2392"/>
      <c r="AI59" s="1411">
        <f>ROUND(SUM(+AC59-AF59),1)</f>
        <v>-0.9</v>
      </c>
      <c r="AJ59" s="2393"/>
      <c r="AK59" s="1406">
        <f>ROUND(IF(AF59=0,0,AI59/ABS(AF59)),3)</f>
        <v>-0.69199999999999995</v>
      </c>
      <c r="AM59" s="2335"/>
      <c r="AO59" s="2335"/>
    </row>
    <row r="60" spans="1:41" ht="15" customHeight="1">
      <c r="A60" s="2367"/>
      <c r="B60" s="2401" t="s">
        <v>1034</v>
      </c>
      <c r="C60" s="2401"/>
      <c r="D60" s="3741" t="s">
        <v>14</v>
      </c>
      <c r="E60" s="2400"/>
      <c r="F60" s="3741"/>
      <c r="G60" s="2400"/>
      <c r="H60" s="1741"/>
      <c r="I60" s="1411"/>
      <c r="J60" s="1741"/>
      <c r="K60" s="1938"/>
      <c r="L60" s="1741"/>
      <c r="M60" s="1938"/>
      <c r="N60" s="1741"/>
      <c r="O60" s="1938"/>
      <c r="P60" s="1741"/>
      <c r="Q60" s="1938"/>
      <c r="R60" s="1741"/>
      <c r="S60" s="1938"/>
      <c r="T60" s="1741"/>
      <c r="U60" s="1938"/>
      <c r="V60" s="1741"/>
      <c r="W60" s="1938"/>
      <c r="X60" s="1741"/>
      <c r="Y60" s="1938"/>
      <c r="Z60" s="1741"/>
      <c r="AA60" s="1934"/>
      <c r="AB60" s="1990"/>
      <c r="AC60" s="3047"/>
      <c r="AD60" s="1920"/>
      <c r="AE60" s="1940"/>
      <c r="AF60" s="3047"/>
      <c r="AG60" s="1950"/>
      <c r="AH60" s="2392"/>
      <c r="AI60" s="1411"/>
      <c r="AJ60" s="2393"/>
      <c r="AK60" s="1400"/>
      <c r="AM60" s="2335"/>
      <c r="AO60" s="2335"/>
    </row>
    <row r="61" spans="1:41" ht="15" customHeight="1">
      <c r="A61" s="2367"/>
      <c r="B61" s="2401" t="s">
        <v>921</v>
      </c>
      <c r="C61" s="2401"/>
      <c r="D61" s="3741">
        <v>0</v>
      </c>
      <c r="E61" s="2400"/>
      <c r="F61" s="3741">
        <f t="shared" si="13"/>
        <v>0</v>
      </c>
      <c r="G61" s="2400"/>
      <c r="H61" s="1741"/>
      <c r="I61" s="1411"/>
      <c r="J61" s="1741"/>
      <c r="K61" s="1941"/>
      <c r="L61" s="1741"/>
      <c r="M61" s="1941"/>
      <c r="N61" s="1741"/>
      <c r="O61" s="1941"/>
      <c r="P61" s="1741"/>
      <c r="Q61" s="1941"/>
      <c r="R61" s="1741"/>
      <c r="S61" s="1941"/>
      <c r="T61" s="1741"/>
      <c r="U61" s="1941"/>
      <c r="V61" s="1741"/>
      <c r="W61" s="1941"/>
      <c r="X61" s="1741"/>
      <c r="Y61" s="1941"/>
      <c r="Z61" s="1741"/>
      <c r="AA61" s="1942"/>
      <c r="AB61" s="1945"/>
      <c r="AC61" s="1757">
        <v>0</v>
      </c>
      <c r="AD61" s="1984"/>
      <c r="AE61" s="1945" t="s">
        <v>14</v>
      </c>
      <c r="AF61" s="1757">
        <v>0</v>
      </c>
      <c r="AG61" s="2402"/>
      <c r="AH61" s="2403"/>
      <c r="AI61" s="1411">
        <f>ROUND(SUM(+AC61-AF61),1)</f>
        <v>0</v>
      </c>
      <c r="AJ61" s="2393"/>
      <c r="AK61" s="1406">
        <f>ROUND(IF(AF61=0,0,AI61/ABS(AF61)),3)</f>
        <v>0</v>
      </c>
      <c r="AM61" s="2335"/>
      <c r="AO61" s="2335"/>
    </row>
    <row r="62" spans="1:41" ht="15" customHeight="1">
      <c r="A62" s="2367"/>
      <c r="B62" s="2401" t="s">
        <v>922</v>
      </c>
      <c r="C62" s="2401"/>
      <c r="D62" s="3741">
        <v>1.6</v>
      </c>
      <c r="E62" s="2400"/>
      <c r="F62" s="3741">
        <f t="shared" si="13"/>
        <v>3.1999999999999997</v>
      </c>
      <c r="G62" s="2400"/>
      <c r="H62" s="1741"/>
      <c r="I62" s="1411"/>
      <c r="J62" s="1741"/>
      <c r="K62" s="1941"/>
      <c r="L62" s="1741"/>
      <c r="M62" s="1941"/>
      <c r="N62" s="1741"/>
      <c r="O62" s="1941"/>
      <c r="P62" s="1741"/>
      <c r="Q62" s="1941"/>
      <c r="R62" s="1741"/>
      <c r="S62" s="1941"/>
      <c r="T62" s="1741"/>
      <c r="U62" s="1941"/>
      <c r="V62" s="1741"/>
      <c r="W62" s="1941"/>
      <c r="X62" s="1741"/>
      <c r="Y62" s="1941"/>
      <c r="Z62" s="1741"/>
      <c r="AA62" s="1942"/>
      <c r="AB62" s="1945"/>
      <c r="AC62" s="1757">
        <v>4.8</v>
      </c>
      <c r="AD62" s="1984"/>
      <c r="AE62" s="1945" t="s">
        <v>14</v>
      </c>
      <c r="AF62" s="1757">
        <v>5.6</v>
      </c>
      <c r="AG62" s="2402"/>
      <c r="AH62" s="2403"/>
      <c r="AI62" s="1411">
        <f>ROUND(SUM(+AC62-AF62),1)</f>
        <v>-0.8</v>
      </c>
      <c r="AJ62" s="2393"/>
      <c r="AK62" s="1406">
        <f>ROUND(IF(AF62=0,1,AI62/ABS(AF62)),3)</f>
        <v>-0.14299999999999999</v>
      </c>
      <c r="AM62" s="2335"/>
      <c r="AO62" s="2335"/>
    </row>
    <row r="63" spans="1:41" ht="15" customHeight="1">
      <c r="A63" s="2367"/>
      <c r="B63" s="2401" t="s">
        <v>923</v>
      </c>
      <c r="C63" s="2401"/>
      <c r="D63" s="3741">
        <v>0</v>
      </c>
      <c r="E63" s="2400"/>
      <c r="F63" s="3741">
        <f t="shared" si="13"/>
        <v>0</v>
      </c>
      <c r="G63" s="2400"/>
      <c r="H63" s="1741"/>
      <c r="I63" s="1411"/>
      <c r="J63" s="1741"/>
      <c r="K63" s="1941"/>
      <c r="L63" s="1741"/>
      <c r="M63" s="1941"/>
      <c r="N63" s="1741"/>
      <c r="O63" s="1941"/>
      <c r="P63" s="1741"/>
      <c r="Q63" s="1941"/>
      <c r="R63" s="1741"/>
      <c r="S63" s="1941"/>
      <c r="T63" s="1741"/>
      <c r="U63" s="1941"/>
      <c r="V63" s="1741"/>
      <c r="W63" s="1941"/>
      <c r="X63" s="1741"/>
      <c r="Y63" s="1941"/>
      <c r="Z63" s="1741"/>
      <c r="AA63" s="1942"/>
      <c r="AB63" s="1945"/>
      <c r="AC63" s="1757">
        <v>0</v>
      </c>
      <c r="AD63" s="1984"/>
      <c r="AE63" s="1945" t="s">
        <v>14</v>
      </c>
      <c r="AF63" s="1757">
        <v>0</v>
      </c>
      <c r="AG63" s="2402"/>
      <c r="AH63" s="2403"/>
      <c r="AI63" s="1411">
        <f>ROUND(SUM(+AC63-AF63),1)</f>
        <v>0</v>
      </c>
      <c r="AJ63" s="2393"/>
      <c r="AK63" s="1406">
        <f>ROUND(IF(AF63=0,0,AI63/ABS(AF63)),3)</f>
        <v>0</v>
      </c>
      <c r="AM63" s="2335"/>
      <c r="AO63" s="2335"/>
    </row>
    <row r="64" spans="1:41" ht="15">
      <c r="A64" s="2367"/>
      <c r="B64" s="2401" t="s">
        <v>924</v>
      </c>
      <c r="C64" s="2401"/>
      <c r="D64" s="3741">
        <v>0</v>
      </c>
      <c r="E64" s="2400"/>
      <c r="F64" s="3741">
        <f t="shared" si="13"/>
        <v>0</v>
      </c>
      <c r="G64" s="2400"/>
      <c r="H64" s="1741"/>
      <c r="I64" s="1411"/>
      <c r="J64" s="1741"/>
      <c r="K64" s="1941"/>
      <c r="L64" s="1741"/>
      <c r="M64" s="1941"/>
      <c r="N64" s="1741"/>
      <c r="O64" s="1941"/>
      <c r="P64" s="1741"/>
      <c r="Q64" s="1941"/>
      <c r="R64" s="1741"/>
      <c r="S64" s="1941"/>
      <c r="T64" s="1741"/>
      <c r="U64" s="1941"/>
      <c r="V64" s="1741"/>
      <c r="W64" s="1941"/>
      <c r="X64" s="1741"/>
      <c r="Y64" s="1941"/>
      <c r="Z64" s="1741"/>
      <c r="AA64" s="1942"/>
      <c r="AB64" s="1945"/>
      <c r="AC64" s="1757">
        <v>0</v>
      </c>
      <c r="AD64" s="1984"/>
      <c r="AE64" s="1945" t="s">
        <v>14</v>
      </c>
      <c r="AF64" s="1757">
        <v>0.1</v>
      </c>
      <c r="AG64" s="2402"/>
      <c r="AH64" s="2403"/>
      <c r="AI64" s="1411">
        <f>ROUND(SUM(+AC64-AF64),1)</f>
        <v>-0.1</v>
      </c>
      <c r="AJ64" s="2393"/>
      <c r="AK64" s="1406">
        <f>ROUND(IF(AF64=0,0,AI64/ABS(AF64)),3)</f>
        <v>-1</v>
      </c>
      <c r="AM64" s="2335"/>
      <c r="AO64" s="2335"/>
    </row>
    <row r="65" spans="1:41" ht="15" customHeight="1">
      <c r="A65" s="2367"/>
      <c r="B65" s="2401" t="s">
        <v>1038</v>
      </c>
      <c r="C65" s="2401"/>
      <c r="D65" s="3741" t="s">
        <v>14</v>
      </c>
      <c r="E65" s="2400"/>
      <c r="F65" s="3741"/>
      <c r="G65" s="2400"/>
      <c r="H65" s="1741"/>
      <c r="I65" s="1411"/>
      <c r="J65" s="1741"/>
      <c r="K65" s="1938"/>
      <c r="L65" s="1741"/>
      <c r="M65" s="1938"/>
      <c r="N65" s="1741"/>
      <c r="O65" s="1938"/>
      <c r="P65" s="1741"/>
      <c r="Q65" s="1938"/>
      <c r="R65" s="1741"/>
      <c r="S65" s="1938"/>
      <c r="T65" s="1741"/>
      <c r="U65" s="1938"/>
      <c r="V65" s="1741"/>
      <c r="W65" s="1938"/>
      <c r="X65" s="1741"/>
      <c r="Y65" s="1938"/>
      <c r="Z65" s="1741"/>
      <c r="AA65" s="1934"/>
      <c r="AB65" s="1990"/>
      <c r="AC65" s="3047"/>
      <c r="AD65" s="1920"/>
      <c r="AE65" s="1940"/>
      <c r="AF65" s="3047"/>
      <c r="AG65" s="1950"/>
      <c r="AH65" s="2392"/>
      <c r="AI65" s="1411"/>
      <c r="AJ65" s="2393"/>
      <c r="AK65" s="1400"/>
      <c r="AM65" s="2335"/>
      <c r="AO65" s="2335"/>
    </row>
    <row r="66" spans="1:41" ht="15" customHeight="1">
      <c r="A66" s="2367"/>
      <c r="B66" s="2401" t="s">
        <v>925</v>
      </c>
      <c r="C66" s="2401"/>
      <c r="D66" s="3741">
        <v>5.4</v>
      </c>
      <c r="E66" s="2400"/>
      <c r="F66" s="3741">
        <f t="shared" si="13"/>
        <v>5.6999999999999993</v>
      </c>
      <c r="G66" s="2400"/>
      <c r="H66" s="1741"/>
      <c r="I66" s="1411"/>
      <c r="J66" s="1741"/>
      <c r="K66" s="1941"/>
      <c r="L66" s="1741"/>
      <c r="M66" s="1941"/>
      <c r="N66" s="1741"/>
      <c r="O66" s="1941"/>
      <c r="P66" s="1741"/>
      <c r="Q66" s="1941"/>
      <c r="R66" s="1741"/>
      <c r="S66" s="1941"/>
      <c r="T66" s="1741"/>
      <c r="U66" s="1941"/>
      <c r="V66" s="1741"/>
      <c r="W66" s="1941"/>
      <c r="X66" s="1741"/>
      <c r="Y66" s="1941"/>
      <c r="Z66" s="1741"/>
      <c r="AA66" s="1942"/>
      <c r="AB66" s="1945"/>
      <c r="AC66" s="1757">
        <v>11.1</v>
      </c>
      <c r="AD66" s="1984"/>
      <c r="AE66" s="1945" t="s">
        <v>14</v>
      </c>
      <c r="AF66" s="1757">
        <v>10.8</v>
      </c>
      <c r="AG66" s="1950"/>
      <c r="AH66" s="2392"/>
      <c r="AI66" s="1411">
        <f t="shared" ref="AI66:AI75" si="14">ROUND(SUM(+AC66-AF66),1)</f>
        <v>0.3</v>
      </c>
      <c r="AJ66" s="2393"/>
      <c r="AK66" s="1406">
        <f>ROUND(IF(AF66=0,0,AI66/ABS(AF66)),3)</f>
        <v>2.8000000000000001E-2</v>
      </c>
      <c r="AM66" s="2335"/>
      <c r="AO66" s="2335"/>
    </row>
    <row r="67" spans="1:41" ht="15" customHeight="1">
      <c r="A67" s="2367"/>
      <c r="B67" s="2401" t="s">
        <v>1128</v>
      </c>
      <c r="C67" s="2401"/>
      <c r="D67" s="3741">
        <v>0</v>
      </c>
      <c r="E67" s="2400"/>
      <c r="F67" s="3741">
        <f t="shared" si="13"/>
        <v>0</v>
      </c>
      <c r="G67" s="2400"/>
      <c r="H67" s="1741"/>
      <c r="I67" s="1411"/>
      <c r="J67" s="1741"/>
      <c r="K67" s="1941"/>
      <c r="L67" s="1741"/>
      <c r="M67" s="1941"/>
      <c r="N67" s="1741"/>
      <c r="O67" s="1941"/>
      <c r="P67" s="1741"/>
      <c r="Q67" s="1941"/>
      <c r="R67" s="1741"/>
      <c r="S67" s="1941"/>
      <c r="T67" s="1741"/>
      <c r="U67" s="1941"/>
      <c r="V67" s="1741"/>
      <c r="W67" s="1941"/>
      <c r="X67" s="1741"/>
      <c r="Y67" s="1941"/>
      <c r="Z67" s="1741"/>
      <c r="AA67" s="1942"/>
      <c r="AB67" s="1991"/>
      <c r="AC67" s="1757">
        <v>0</v>
      </c>
      <c r="AD67" s="1984"/>
      <c r="AE67" s="1991" t="s">
        <v>14</v>
      </c>
      <c r="AF67" s="1757">
        <v>0</v>
      </c>
      <c r="AG67" s="1950"/>
      <c r="AH67" s="2392"/>
      <c r="AI67" s="1411">
        <f>ROUND(SUM(+AC67-AF67),1)</f>
        <v>0</v>
      </c>
      <c r="AJ67" s="2393"/>
      <c r="AK67" s="1406">
        <f>ROUND(IF(AF67=0,0,AI67/ABS(AF67)),3)</f>
        <v>0</v>
      </c>
      <c r="AM67" s="2335"/>
      <c r="AO67" s="2335"/>
    </row>
    <row r="68" spans="1:41" ht="15" customHeight="1">
      <c r="A68" s="2367"/>
      <c r="B68" s="2401" t="s">
        <v>926</v>
      </c>
      <c r="C68" s="2401"/>
      <c r="D68" s="3741">
        <v>14.2</v>
      </c>
      <c r="E68" s="2400"/>
      <c r="F68" s="3741">
        <f t="shared" si="13"/>
        <v>11.5</v>
      </c>
      <c r="G68" s="2400"/>
      <c r="H68" s="1741"/>
      <c r="I68" s="1411"/>
      <c r="J68" s="1741"/>
      <c r="K68" s="1941"/>
      <c r="L68" s="1741"/>
      <c r="M68" s="1941"/>
      <c r="N68" s="1741"/>
      <c r="O68" s="1941"/>
      <c r="P68" s="1741"/>
      <c r="Q68" s="1941"/>
      <c r="R68" s="1741"/>
      <c r="S68" s="1941"/>
      <c r="T68" s="1741"/>
      <c r="U68" s="1941"/>
      <c r="V68" s="1741"/>
      <c r="W68" s="1941"/>
      <c r="X68" s="1741"/>
      <c r="Y68" s="1941"/>
      <c r="Z68" s="1741"/>
      <c r="AA68" s="1942"/>
      <c r="AB68" s="1945"/>
      <c r="AC68" s="1757">
        <v>25.7</v>
      </c>
      <c r="AD68" s="1984"/>
      <c r="AE68" s="1945" t="s">
        <v>14</v>
      </c>
      <c r="AF68" s="1757">
        <v>34.700000000000003</v>
      </c>
      <c r="AG68" s="2402"/>
      <c r="AH68" s="2403"/>
      <c r="AI68" s="1411">
        <f t="shared" si="14"/>
        <v>-9</v>
      </c>
      <c r="AJ68" s="2393"/>
      <c r="AK68" s="1406">
        <f>ROUND(IF(AF68=0,0,AI68/ABS(AF68)),3)</f>
        <v>-0.25900000000000001</v>
      </c>
      <c r="AM68" s="2335"/>
      <c r="AO68" s="2335"/>
    </row>
    <row r="69" spans="1:41" ht="15" customHeight="1">
      <c r="A69" s="2367"/>
      <c r="B69" s="2401" t="s">
        <v>927</v>
      </c>
      <c r="C69" s="2401"/>
      <c r="D69" s="3741">
        <v>3.1</v>
      </c>
      <c r="E69" s="2400"/>
      <c r="F69" s="3741">
        <f t="shared" si="13"/>
        <v>28.099999999999998</v>
      </c>
      <c r="G69" s="2400"/>
      <c r="H69" s="1741"/>
      <c r="I69" s="1411"/>
      <c r="J69" s="1741"/>
      <c r="K69" s="1941"/>
      <c r="L69" s="1741"/>
      <c r="M69" s="1941"/>
      <c r="N69" s="1741"/>
      <c r="O69" s="1941"/>
      <c r="P69" s="1741"/>
      <c r="Q69" s="1941"/>
      <c r="R69" s="1741"/>
      <c r="S69" s="1941"/>
      <c r="T69" s="1741"/>
      <c r="U69" s="1941"/>
      <c r="V69" s="1741"/>
      <c r="W69" s="1941"/>
      <c r="X69" s="1741"/>
      <c r="Y69" s="1941"/>
      <c r="Z69" s="1741"/>
      <c r="AA69" s="1942"/>
      <c r="AB69" s="1945"/>
      <c r="AC69" s="1757">
        <v>31.2</v>
      </c>
      <c r="AD69" s="1984"/>
      <c r="AE69" s="1945" t="s">
        <v>14</v>
      </c>
      <c r="AF69" s="1757">
        <v>43.6</v>
      </c>
      <c r="AG69" s="2402"/>
      <c r="AH69" s="2403"/>
      <c r="AI69" s="1411">
        <f t="shared" si="14"/>
        <v>-12.4</v>
      </c>
      <c r="AJ69" s="2393"/>
      <c r="AK69" s="1443">
        <f>ROUND(IF(AF69=0,0,AI69/ABS(AF69)),3)</f>
        <v>-0.28399999999999997</v>
      </c>
      <c r="AM69" s="2335"/>
      <c r="AO69" s="2335"/>
    </row>
    <row r="70" spans="1:41" ht="15" customHeight="1">
      <c r="A70" s="2367"/>
      <c r="B70" s="2401" t="s">
        <v>928</v>
      </c>
      <c r="C70" s="2401"/>
      <c r="D70" s="3741">
        <v>0</v>
      </c>
      <c r="E70" s="2400"/>
      <c r="F70" s="3741">
        <f t="shared" si="13"/>
        <v>0.2</v>
      </c>
      <c r="G70" s="2400"/>
      <c r="H70" s="1741"/>
      <c r="I70" s="1411"/>
      <c r="J70" s="1741"/>
      <c r="K70" s="1941"/>
      <c r="L70" s="1741"/>
      <c r="M70" s="1941"/>
      <c r="N70" s="1741"/>
      <c r="O70" s="1941"/>
      <c r="P70" s="1741"/>
      <c r="Q70" s="1941"/>
      <c r="R70" s="1741"/>
      <c r="S70" s="1941"/>
      <c r="T70" s="1741"/>
      <c r="U70" s="1941"/>
      <c r="V70" s="1741"/>
      <c r="W70" s="1941"/>
      <c r="X70" s="1741"/>
      <c r="Y70" s="1941"/>
      <c r="Z70" s="1741"/>
      <c r="AA70" s="1942"/>
      <c r="AB70" s="1945"/>
      <c r="AC70" s="1757">
        <v>0.2</v>
      </c>
      <c r="AD70" s="1984"/>
      <c r="AE70" s="1945" t="s">
        <v>14</v>
      </c>
      <c r="AF70" s="1757">
        <v>0.2</v>
      </c>
      <c r="AG70" s="2402"/>
      <c r="AH70" s="2403"/>
      <c r="AI70" s="1411">
        <f t="shared" si="14"/>
        <v>0</v>
      </c>
      <c r="AJ70" s="2393"/>
      <c r="AK70" s="1406">
        <f>ROUND(IF(AF70=0,0,AI70/ABS(AF70)),3)</f>
        <v>0</v>
      </c>
      <c r="AM70" s="2335"/>
      <c r="AO70" s="2335"/>
    </row>
    <row r="71" spans="1:41" ht="15" customHeight="1">
      <c r="A71" s="2367"/>
      <c r="B71" s="2401" t="s">
        <v>929</v>
      </c>
      <c r="C71" s="2401"/>
      <c r="D71" s="3741">
        <v>17.7</v>
      </c>
      <c r="E71" s="2400"/>
      <c r="F71" s="3741">
        <f t="shared" si="13"/>
        <v>26.099999999999998</v>
      </c>
      <c r="G71" s="2400"/>
      <c r="H71" s="1741"/>
      <c r="I71" s="1411"/>
      <c r="J71" s="1741"/>
      <c r="K71" s="1941"/>
      <c r="L71" s="1741"/>
      <c r="M71" s="1941"/>
      <c r="N71" s="1741"/>
      <c r="O71" s="1941"/>
      <c r="P71" s="1741"/>
      <c r="Q71" s="1941"/>
      <c r="R71" s="1741"/>
      <c r="S71" s="1941"/>
      <c r="T71" s="1741"/>
      <c r="U71" s="1941"/>
      <c r="V71" s="1741"/>
      <c r="W71" s="1941"/>
      <c r="X71" s="1741"/>
      <c r="Y71" s="1941"/>
      <c r="Z71" s="1741"/>
      <c r="AA71" s="1942"/>
      <c r="AB71" s="1945"/>
      <c r="AC71" s="1757">
        <v>43.8</v>
      </c>
      <c r="AD71" s="1984"/>
      <c r="AE71" s="1945" t="s">
        <v>14</v>
      </c>
      <c r="AF71" s="1757">
        <v>35.799999999999997</v>
      </c>
      <c r="AG71" s="2402"/>
      <c r="AH71" s="2403"/>
      <c r="AI71" s="1411">
        <f t="shared" si="14"/>
        <v>8</v>
      </c>
      <c r="AJ71" s="2393"/>
      <c r="AK71" s="1443">
        <f>ROUND(IF(AF71=0,1,AI71/ABS(AF71)),3)</f>
        <v>0.223</v>
      </c>
      <c r="AM71" s="2335"/>
      <c r="AO71" s="2335"/>
    </row>
    <row r="72" spans="1:41" ht="15" customHeight="1">
      <c r="A72" s="2367"/>
      <c r="B72" s="2401" t="s">
        <v>930</v>
      </c>
      <c r="C72" s="2401"/>
      <c r="D72" s="3741">
        <v>0</v>
      </c>
      <c r="E72" s="2400"/>
      <c r="F72" s="3741">
        <f t="shared" si="13"/>
        <v>3.4</v>
      </c>
      <c r="G72" s="2400"/>
      <c r="H72" s="1741"/>
      <c r="I72" s="1411"/>
      <c r="J72" s="1741"/>
      <c r="K72" s="1941"/>
      <c r="L72" s="1741"/>
      <c r="M72" s="1941"/>
      <c r="N72" s="1741"/>
      <c r="O72" s="1941"/>
      <c r="P72" s="1741"/>
      <c r="Q72" s="1941"/>
      <c r="R72" s="1741"/>
      <c r="S72" s="1941"/>
      <c r="T72" s="1741"/>
      <c r="U72" s="1941"/>
      <c r="V72" s="1741"/>
      <c r="W72" s="1941"/>
      <c r="X72" s="1741"/>
      <c r="Y72" s="1941"/>
      <c r="Z72" s="1741"/>
      <c r="AA72" s="3882"/>
      <c r="AB72" s="1984"/>
      <c r="AC72" s="1757">
        <v>3.4</v>
      </c>
      <c r="AD72" s="1984"/>
      <c r="AE72" s="1945" t="s">
        <v>14</v>
      </c>
      <c r="AF72" s="1757">
        <v>2</v>
      </c>
      <c r="AG72" s="2402"/>
      <c r="AH72" s="2403"/>
      <c r="AI72" s="1411">
        <f t="shared" si="14"/>
        <v>1.4</v>
      </c>
      <c r="AJ72" s="2393"/>
      <c r="AK72" s="1443">
        <f>ROUND(IF(AF72=0,1,AI72/ABS(AF72)),3)</f>
        <v>0.7</v>
      </c>
      <c r="AM72" s="2335"/>
      <c r="AO72" s="2335"/>
    </row>
    <row r="73" spans="1:41" ht="15" customHeight="1">
      <c r="A73" s="2367"/>
      <c r="B73" s="2401" t="s">
        <v>919</v>
      </c>
      <c r="C73" s="2401"/>
      <c r="D73" s="3741">
        <v>24.1</v>
      </c>
      <c r="E73" s="2400"/>
      <c r="F73" s="3741">
        <f t="shared" si="13"/>
        <v>7.5999999999999979</v>
      </c>
      <c r="G73" s="2400"/>
      <c r="H73" s="1741"/>
      <c r="I73" s="1411"/>
      <c r="J73" s="1741"/>
      <c r="K73" s="1941"/>
      <c r="L73" s="1741"/>
      <c r="M73" s="1941"/>
      <c r="N73" s="1741"/>
      <c r="O73" s="1941"/>
      <c r="P73" s="1741"/>
      <c r="Q73" s="1941"/>
      <c r="R73" s="1741"/>
      <c r="S73" s="1941"/>
      <c r="T73" s="1741"/>
      <c r="U73" s="1941"/>
      <c r="V73" s="1741"/>
      <c r="W73" s="1941"/>
      <c r="X73" s="1741"/>
      <c r="Y73" s="1941"/>
      <c r="Z73" s="1741"/>
      <c r="AA73" s="3882"/>
      <c r="AB73" s="1984"/>
      <c r="AC73" s="1757">
        <v>31.7</v>
      </c>
      <c r="AD73" s="3884"/>
      <c r="AE73" s="1984" t="s">
        <v>14</v>
      </c>
      <c r="AF73" s="1757">
        <v>74.099999999999994</v>
      </c>
      <c r="AG73" s="2402"/>
      <c r="AH73" s="2403"/>
      <c r="AI73" s="1411">
        <f t="shared" si="14"/>
        <v>-42.4</v>
      </c>
      <c r="AJ73" s="2393"/>
      <c r="AK73" s="1443">
        <f>ROUND(IF(AF73=0,0,AI73/ABS(AF73)),3)</f>
        <v>-0.57199999999999995</v>
      </c>
      <c r="AM73" s="2335"/>
      <c r="AO73" s="2335"/>
    </row>
    <row r="74" spans="1:41" s="864" customFormat="1" ht="15" customHeight="1">
      <c r="A74" s="1047"/>
      <c r="B74" s="869" t="s">
        <v>1035</v>
      </c>
      <c r="C74" s="101"/>
      <c r="D74" s="3741" t="s">
        <v>14</v>
      </c>
      <c r="E74" s="1489"/>
      <c r="F74" s="3741"/>
      <c r="G74" s="1489"/>
      <c r="H74" s="873"/>
      <c r="I74" s="1489"/>
      <c r="J74" s="873"/>
      <c r="K74" s="112"/>
      <c r="L74" s="3766"/>
      <c r="M74" s="112"/>
      <c r="N74" s="873"/>
      <c r="O74" s="112"/>
      <c r="P74" s="3766"/>
      <c r="Q74" s="1938"/>
      <c r="R74" s="1741"/>
      <c r="S74" s="1938"/>
      <c r="T74" s="1741"/>
      <c r="U74" s="1938"/>
      <c r="V74" s="1741"/>
      <c r="W74" s="1938"/>
      <c r="X74" s="3766"/>
      <c r="Y74" s="1938"/>
      <c r="Z74" s="1741"/>
      <c r="AA74" s="3883"/>
      <c r="AB74" s="1920"/>
      <c r="AC74" s="1920"/>
      <c r="AD74" s="3885"/>
      <c r="AE74" s="1920"/>
      <c r="AF74" s="1920"/>
      <c r="AG74" s="2402"/>
      <c r="AH74" s="2403"/>
      <c r="AI74" s="62"/>
      <c r="AJ74" s="872"/>
      <c r="AK74" s="872"/>
      <c r="AL74" s="1770"/>
      <c r="AM74" s="1771"/>
    </row>
    <row r="75" spans="1:41" s="864" customFormat="1" ht="15" customHeight="1">
      <c r="A75" s="1047"/>
      <c r="B75" s="869" t="s">
        <v>961</v>
      </c>
      <c r="C75" s="101"/>
      <c r="D75" s="3741">
        <v>5</v>
      </c>
      <c r="E75" s="1489"/>
      <c r="F75" s="3741">
        <f t="shared" si="13"/>
        <v>0</v>
      </c>
      <c r="G75" s="1489"/>
      <c r="H75" s="873"/>
      <c r="I75" s="1489"/>
      <c r="J75" s="3766"/>
      <c r="K75" s="1495"/>
      <c r="L75" s="3766"/>
      <c r="M75" s="1495"/>
      <c r="N75" s="3766"/>
      <c r="O75" s="1495"/>
      <c r="P75" s="3766"/>
      <c r="Q75" s="1941"/>
      <c r="R75" s="1741"/>
      <c r="S75" s="1941"/>
      <c r="T75" s="3766"/>
      <c r="U75" s="1941"/>
      <c r="V75" s="3766"/>
      <c r="W75" s="1941"/>
      <c r="X75" s="3766"/>
      <c r="Y75" s="1941"/>
      <c r="Z75" s="1741"/>
      <c r="AA75" s="3882"/>
      <c r="AB75" s="1984"/>
      <c r="AC75" s="2402">
        <v>5</v>
      </c>
      <c r="AD75" s="3886" t="e">
        <v>#VALUE!</v>
      </c>
      <c r="AE75" s="2402"/>
      <c r="AF75" s="2402">
        <v>0</v>
      </c>
      <c r="AG75" s="2402" t="e">
        <v>#VALUE!</v>
      </c>
      <c r="AH75" s="2403"/>
      <c r="AI75" s="62">
        <f t="shared" si="14"/>
        <v>5</v>
      </c>
      <c r="AJ75" s="872"/>
      <c r="AK75" s="3224">
        <f>ROUND(IF(AF75=0,1,AI75/ABS(AF75)),3)</f>
        <v>1</v>
      </c>
      <c r="AL75" s="1682"/>
      <c r="AM75" s="1771"/>
    </row>
    <row r="76" spans="1:41" ht="15" customHeight="1">
      <c r="A76" s="2367"/>
      <c r="B76" s="2401" t="s">
        <v>920</v>
      </c>
      <c r="C76" s="2401"/>
      <c r="D76" s="3741">
        <v>6.7</v>
      </c>
      <c r="E76" s="2400"/>
      <c r="F76" s="3741">
        <f t="shared" si="13"/>
        <v>11.900000000000002</v>
      </c>
      <c r="G76" s="2400"/>
      <c r="H76" s="1741"/>
      <c r="I76" s="1411"/>
      <c r="J76" s="1741"/>
      <c r="K76" s="1941"/>
      <c r="L76" s="1741"/>
      <c r="M76" s="1941"/>
      <c r="N76" s="1741"/>
      <c r="O76" s="1941"/>
      <c r="P76" s="1741"/>
      <c r="Q76" s="1941"/>
      <c r="R76" s="1741"/>
      <c r="S76" s="1941"/>
      <c r="T76" s="1741"/>
      <c r="U76" s="1941"/>
      <c r="V76" s="1741"/>
      <c r="W76" s="1941"/>
      <c r="X76" s="1741"/>
      <c r="Y76" s="1941"/>
      <c r="Z76" s="1741"/>
      <c r="AA76" s="3882"/>
      <c r="AB76" s="1984"/>
      <c r="AC76" s="1757">
        <v>18.600000000000001</v>
      </c>
      <c r="AD76" s="3884"/>
      <c r="AE76" s="1984" t="s">
        <v>14</v>
      </c>
      <c r="AF76" s="1757">
        <v>2.1</v>
      </c>
      <c r="AG76" s="2402"/>
      <c r="AH76" s="2403"/>
      <c r="AI76" s="1411">
        <f>ROUND(SUM(+AC76-AF76),1)</f>
        <v>16.5</v>
      </c>
      <c r="AJ76" s="2393"/>
      <c r="AK76" s="1443">
        <f>ROUND(IF(AF76=0,1,AI76/ABS(AF76)),3)</f>
        <v>7.8570000000000002</v>
      </c>
      <c r="AM76" s="2335"/>
      <c r="AO76" s="2335"/>
    </row>
    <row r="77" spans="1:41" ht="15" customHeight="1">
      <c r="A77" s="2367"/>
      <c r="B77" s="2401" t="s">
        <v>937</v>
      </c>
      <c r="C77" s="2401"/>
      <c r="D77" s="3741">
        <v>0</v>
      </c>
      <c r="E77" s="2400"/>
      <c r="F77" s="3741">
        <f t="shared" si="13"/>
        <v>0</v>
      </c>
      <c r="G77" s="2400"/>
      <c r="H77" s="1741"/>
      <c r="I77" s="1411"/>
      <c r="J77" s="1741"/>
      <c r="K77" s="1941"/>
      <c r="L77" s="1741"/>
      <c r="M77" s="1941"/>
      <c r="N77" s="1741"/>
      <c r="O77" s="1941"/>
      <c r="P77" s="1741"/>
      <c r="Q77" s="1941"/>
      <c r="R77" s="1741"/>
      <c r="S77" s="1941"/>
      <c r="T77" s="1741"/>
      <c r="U77" s="1941"/>
      <c r="V77" s="1741"/>
      <c r="W77" s="1941"/>
      <c r="X77" s="1741"/>
      <c r="Y77" s="1941"/>
      <c r="Z77" s="1741"/>
      <c r="AA77" s="1942"/>
      <c r="AB77" s="1945"/>
      <c r="AC77" s="1757">
        <v>0</v>
      </c>
      <c r="AD77" s="1984"/>
      <c r="AE77" s="1945" t="s">
        <v>14</v>
      </c>
      <c r="AF77" s="1757">
        <v>0</v>
      </c>
      <c r="AG77" s="2402"/>
      <c r="AH77" s="2403"/>
      <c r="AI77" s="1411">
        <f>ROUND(SUM(+AC77-AF77),1)</f>
        <v>0</v>
      </c>
      <c r="AJ77" s="2393"/>
      <c r="AK77" s="1406">
        <f>ROUND(IF(AF77=0,0,AI77/ABS(AF77)),3)</f>
        <v>0</v>
      </c>
      <c r="AM77" s="2335"/>
      <c r="AO77" s="2335"/>
    </row>
    <row r="78" spans="1:41" ht="15" customHeight="1">
      <c r="A78" s="2367"/>
      <c r="B78" s="2401" t="s">
        <v>1036</v>
      </c>
      <c r="C78" s="2401"/>
      <c r="D78" s="3741" t="s">
        <v>14</v>
      </c>
      <c r="E78" s="2400"/>
      <c r="F78" s="3741"/>
      <c r="G78" s="2400"/>
      <c r="H78" s="1741"/>
      <c r="I78" s="1411"/>
      <c r="J78" s="1741"/>
      <c r="K78" s="1938"/>
      <c r="L78" s="1741"/>
      <c r="M78" s="1938"/>
      <c r="N78" s="1741"/>
      <c r="O78" s="1938"/>
      <c r="P78" s="1741"/>
      <c r="Q78" s="1938"/>
      <c r="R78" s="1741"/>
      <c r="S78" s="1938"/>
      <c r="T78" s="1741"/>
      <c r="U78" s="1938"/>
      <c r="V78" s="1741"/>
      <c r="W78" s="1938"/>
      <c r="X78" s="1741"/>
      <c r="Y78" s="1938"/>
      <c r="Z78" s="1741"/>
      <c r="AA78" s="1934"/>
      <c r="AB78" s="1990"/>
      <c r="AC78" s="3047"/>
      <c r="AD78" s="1920"/>
      <c r="AE78" s="1940"/>
      <c r="AF78" s="3047"/>
      <c r="AG78" s="1950"/>
      <c r="AH78" s="2392"/>
      <c r="AI78" s="1411"/>
      <c r="AJ78" s="2393"/>
      <c r="AK78" s="1400"/>
      <c r="AM78" s="2335"/>
      <c r="AO78" s="2335"/>
    </row>
    <row r="79" spans="1:41" ht="15" customHeight="1">
      <c r="A79" s="2367"/>
      <c r="B79" s="2401" t="s">
        <v>933</v>
      </c>
      <c r="C79" s="2401"/>
      <c r="D79" s="3741">
        <v>0</v>
      </c>
      <c r="E79" s="2400"/>
      <c r="F79" s="3741">
        <f t="shared" si="13"/>
        <v>0</v>
      </c>
      <c r="G79" s="2400"/>
      <c r="H79" s="1741"/>
      <c r="I79" s="1411"/>
      <c r="J79" s="1741"/>
      <c r="K79" s="1938"/>
      <c r="L79" s="1741"/>
      <c r="M79" s="1938"/>
      <c r="N79" s="1741"/>
      <c r="O79" s="1938"/>
      <c r="P79" s="1741"/>
      <c r="Q79" s="1938"/>
      <c r="R79" s="1741"/>
      <c r="S79" s="1938"/>
      <c r="T79" s="1741"/>
      <c r="U79" s="1938"/>
      <c r="V79" s="1741"/>
      <c r="W79" s="1938"/>
      <c r="X79" s="1741"/>
      <c r="Y79" s="1938"/>
      <c r="Z79" s="1741"/>
      <c r="AA79" s="1934"/>
      <c r="AB79" s="3565"/>
      <c r="AC79" s="1757">
        <v>0</v>
      </c>
      <c r="AD79" s="1920"/>
      <c r="AE79" s="3063"/>
      <c r="AF79" s="1757">
        <v>0</v>
      </c>
      <c r="AG79" s="1950"/>
      <c r="AH79" s="2392"/>
      <c r="AI79" s="1411">
        <f t="shared" ref="AI79:AI83" si="15">ROUND(SUM(+AC79-AF79),1)</f>
        <v>0</v>
      </c>
      <c r="AJ79" s="2393"/>
      <c r="AK79" s="1406">
        <f>ROUND(IF(AF79=0,0,AI79/ABS(AF79)),3)</f>
        <v>0</v>
      </c>
      <c r="AM79" s="2335"/>
      <c r="AO79" s="2335"/>
    </row>
    <row r="80" spans="1:41" ht="15" customHeight="1">
      <c r="A80" s="2367"/>
      <c r="B80" s="2401" t="s">
        <v>934</v>
      </c>
      <c r="C80" s="2401"/>
      <c r="D80" s="3741">
        <v>0</v>
      </c>
      <c r="E80" s="2400"/>
      <c r="F80" s="3741">
        <f t="shared" si="13"/>
        <v>0</v>
      </c>
      <c r="G80" s="2400"/>
      <c r="H80" s="1741"/>
      <c r="I80" s="1411"/>
      <c r="J80" s="1741"/>
      <c r="K80" s="1941"/>
      <c r="L80" s="1741"/>
      <c r="M80" s="1941"/>
      <c r="N80" s="1741"/>
      <c r="O80" s="1941"/>
      <c r="P80" s="1741"/>
      <c r="Q80" s="1941"/>
      <c r="R80" s="1741"/>
      <c r="S80" s="1941"/>
      <c r="T80" s="1741"/>
      <c r="U80" s="1941"/>
      <c r="V80" s="1741"/>
      <c r="W80" s="1941"/>
      <c r="X80" s="1741"/>
      <c r="Y80" s="1941"/>
      <c r="Z80" s="1741"/>
      <c r="AA80" s="1942"/>
      <c r="AB80" s="1945"/>
      <c r="AC80" s="1757">
        <v>0</v>
      </c>
      <c r="AD80" s="1984"/>
      <c r="AE80" s="1945" t="s">
        <v>14</v>
      </c>
      <c r="AF80" s="1757">
        <v>0</v>
      </c>
      <c r="AG80" s="2402"/>
      <c r="AH80" s="2403"/>
      <c r="AI80" s="1411">
        <f t="shared" si="15"/>
        <v>0</v>
      </c>
      <c r="AJ80" s="2393"/>
      <c r="AK80" s="1406">
        <f>ROUND(IF(AF80=0,0,AI80/ABS(AF80)),3)</f>
        <v>0</v>
      </c>
      <c r="AM80" s="2335"/>
      <c r="AO80" s="2335"/>
    </row>
    <row r="81" spans="1:41" ht="15" customHeight="1">
      <c r="A81" s="2367"/>
      <c r="B81" s="2401" t="s">
        <v>935</v>
      </c>
      <c r="C81" s="2401"/>
      <c r="D81" s="3741">
        <v>0</v>
      </c>
      <c r="E81" s="2400"/>
      <c r="F81" s="3741">
        <f t="shared" si="13"/>
        <v>0</v>
      </c>
      <c r="G81" s="2400"/>
      <c r="H81" s="1741"/>
      <c r="I81" s="1411"/>
      <c r="J81" s="1741"/>
      <c r="K81" s="1941"/>
      <c r="L81" s="1741"/>
      <c r="M81" s="1941"/>
      <c r="N81" s="1741"/>
      <c r="O81" s="1941"/>
      <c r="P81" s="1741"/>
      <c r="Q81" s="1941"/>
      <c r="R81" s="1741"/>
      <c r="S81" s="1941"/>
      <c r="T81" s="1741"/>
      <c r="U81" s="1941"/>
      <c r="V81" s="1741"/>
      <c r="W81" s="1941"/>
      <c r="X81" s="1741"/>
      <c r="Y81" s="1941"/>
      <c r="Z81" s="1741"/>
      <c r="AA81" s="1942"/>
      <c r="AB81" s="1945"/>
      <c r="AC81" s="1757">
        <v>0</v>
      </c>
      <c r="AD81" s="1984"/>
      <c r="AE81" s="1945" t="s">
        <v>14</v>
      </c>
      <c r="AF81" s="1757">
        <v>0</v>
      </c>
      <c r="AG81" s="2402"/>
      <c r="AH81" s="2403"/>
      <c r="AI81" s="1411">
        <f t="shared" si="15"/>
        <v>0</v>
      </c>
      <c r="AJ81" s="2393"/>
      <c r="AK81" s="1406">
        <f>ROUND(IF(AF81=0,0,AI81/ABS(AF81)),3)</f>
        <v>0</v>
      </c>
      <c r="AM81" s="2335"/>
      <c r="AO81" s="2335"/>
    </row>
    <row r="82" spans="1:41" ht="15" customHeight="1">
      <c r="A82" s="2367"/>
      <c r="B82" s="2401" t="s">
        <v>936</v>
      </c>
      <c r="C82" s="2401"/>
      <c r="D82" s="3741">
        <v>0</v>
      </c>
      <c r="E82" s="2400"/>
      <c r="F82" s="3741">
        <f t="shared" si="13"/>
        <v>0</v>
      </c>
      <c r="G82" s="2400"/>
      <c r="H82" s="1741"/>
      <c r="I82" s="1411"/>
      <c r="J82" s="1741"/>
      <c r="K82" s="1941"/>
      <c r="L82" s="1741"/>
      <c r="M82" s="1941"/>
      <c r="N82" s="1741"/>
      <c r="O82" s="1941"/>
      <c r="P82" s="1741"/>
      <c r="Q82" s="1941"/>
      <c r="R82" s="1741"/>
      <c r="S82" s="1941"/>
      <c r="T82" s="1741"/>
      <c r="U82" s="1941"/>
      <c r="V82" s="1741"/>
      <c r="W82" s="1941"/>
      <c r="X82" s="1741"/>
      <c r="Y82" s="1941"/>
      <c r="Z82" s="1741"/>
      <c r="AA82" s="1942"/>
      <c r="AB82" s="1945"/>
      <c r="AC82" s="1757">
        <v>0</v>
      </c>
      <c r="AD82" s="1984"/>
      <c r="AE82" s="1945" t="s">
        <v>14</v>
      </c>
      <c r="AF82" s="1757">
        <v>0</v>
      </c>
      <c r="AG82" s="2402"/>
      <c r="AH82" s="2403"/>
      <c r="AI82" s="1411">
        <f t="shared" si="15"/>
        <v>0</v>
      </c>
      <c r="AJ82" s="2393"/>
      <c r="AK82" s="1406">
        <f>ROUND(IF(AF82=0,0,AI82/ABS(AF82)),3)</f>
        <v>0</v>
      </c>
      <c r="AM82" s="2335"/>
      <c r="AO82" s="2335"/>
    </row>
    <row r="83" spans="1:41" ht="15" customHeight="1">
      <c r="A83" s="2367"/>
      <c r="B83" s="2401" t="s">
        <v>938</v>
      </c>
      <c r="C83" s="2401"/>
      <c r="D83" s="3741">
        <v>0.1</v>
      </c>
      <c r="E83" s="2400"/>
      <c r="F83" s="3741">
        <f t="shared" si="13"/>
        <v>0.1</v>
      </c>
      <c r="G83" s="2400"/>
      <c r="H83" s="1741"/>
      <c r="I83" s="1411"/>
      <c r="J83" s="1741"/>
      <c r="K83" s="1941"/>
      <c r="L83" s="1741"/>
      <c r="M83" s="1941"/>
      <c r="N83" s="1741"/>
      <c r="O83" s="1941"/>
      <c r="P83" s="1741"/>
      <c r="Q83" s="1941"/>
      <c r="R83" s="1741"/>
      <c r="S83" s="1941"/>
      <c r="T83" s="1741"/>
      <c r="U83" s="1941"/>
      <c r="V83" s="1741"/>
      <c r="W83" s="1941"/>
      <c r="X83" s="1741"/>
      <c r="Y83" s="1941"/>
      <c r="Z83" s="1741"/>
      <c r="AA83" s="1942"/>
      <c r="AB83" s="1945"/>
      <c r="AC83" s="1757">
        <v>0.2</v>
      </c>
      <c r="AD83" s="1984"/>
      <c r="AE83" s="1945" t="s">
        <v>14</v>
      </c>
      <c r="AF83" s="1757">
        <v>0.3</v>
      </c>
      <c r="AG83" s="2402"/>
      <c r="AH83" s="2403"/>
      <c r="AI83" s="1411">
        <f t="shared" si="15"/>
        <v>-0.1</v>
      </c>
      <c r="AJ83" s="2393"/>
      <c r="AK83" s="1443">
        <f>ROUND(IF(AF83=0,1,AI83/ABS(AF83)),3)</f>
        <v>-0.33300000000000002</v>
      </c>
      <c r="AM83" s="2335"/>
      <c r="AO83" s="2335"/>
    </row>
    <row r="84" spans="1:41" ht="15" customHeight="1">
      <c r="A84" s="2367"/>
      <c r="B84" s="2401" t="s">
        <v>1037</v>
      </c>
      <c r="C84" s="2401"/>
      <c r="D84" s="3741" t="s">
        <v>14</v>
      </c>
      <c r="E84" s="2400"/>
      <c r="F84" s="3741"/>
      <c r="G84" s="2400"/>
      <c r="H84" s="1741"/>
      <c r="I84" s="1411"/>
      <c r="J84" s="1741"/>
      <c r="K84" s="1938"/>
      <c r="L84" s="1741"/>
      <c r="M84" s="1938"/>
      <c r="N84" s="1741"/>
      <c r="O84" s="1938"/>
      <c r="P84" s="1741"/>
      <c r="Q84" s="1938"/>
      <c r="R84" s="1741"/>
      <c r="S84" s="1938"/>
      <c r="T84" s="1741"/>
      <c r="U84" s="1938"/>
      <c r="V84" s="1741"/>
      <c r="W84" s="1938"/>
      <c r="X84" s="1741"/>
      <c r="Y84" s="1938"/>
      <c r="Z84" s="1741"/>
      <c r="AA84" s="1934"/>
      <c r="AB84" s="1990"/>
      <c r="AC84" s="3047"/>
      <c r="AD84" s="1920"/>
      <c r="AE84" s="1945" t="s">
        <v>14</v>
      </c>
      <c r="AF84" s="3047"/>
      <c r="AG84" s="1950"/>
      <c r="AH84" s="2392"/>
      <c r="AI84" s="1411"/>
      <c r="AJ84" s="2393"/>
      <c r="AK84" s="1400"/>
      <c r="AM84" s="2335"/>
      <c r="AO84" s="2335"/>
    </row>
    <row r="85" spans="1:41" ht="15" customHeight="1">
      <c r="A85" s="2367"/>
      <c r="B85" s="2401" t="s">
        <v>939</v>
      </c>
      <c r="C85" s="2401"/>
      <c r="D85" s="3741">
        <v>0.5</v>
      </c>
      <c r="E85" s="2400"/>
      <c r="F85" s="3741">
        <f t="shared" si="13"/>
        <v>0.5</v>
      </c>
      <c r="G85" s="2400"/>
      <c r="H85" s="1741"/>
      <c r="I85" s="1411"/>
      <c r="J85" s="1741"/>
      <c r="K85" s="1941"/>
      <c r="L85" s="1741"/>
      <c r="M85" s="1941"/>
      <c r="N85" s="1741"/>
      <c r="O85" s="1941"/>
      <c r="P85" s="1741"/>
      <c r="Q85" s="1941"/>
      <c r="R85" s="1741"/>
      <c r="S85" s="1941"/>
      <c r="T85" s="1741"/>
      <c r="U85" s="1941"/>
      <c r="V85" s="1741"/>
      <c r="W85" s="1941"/>
      <c r="X85" s="1741"/>
      <c r="Y85" s="1941"/>
      <c r="Z85" s="1741"/>
      <c r="AA85" s="1942"/>
      <c r="AB85" s="1945"/>
      <c r="AC85" s="1757">
        <v>1</v>
      </c>
      <c r="AD85" s="1984"/>
      <c r="AE85" s="1945" t="s">
        <v>14</v>
      </c>
      <c r="AF85" s="1757">
        <v>1.1000000000000001</v>
      </c>
      <c r="AG85" s="2402"/>
      <c r="AH85" s="2403"/>
      <c r="AI85" s="1411">
        <f t="shared" ref="AI85:AI94" si="16">ROUND(SUM(+AC85-AF85),1)</f>
        <v>-0.1</v>
      </c>
      <c r="AJ85" s="2393"/>
      <c r="AK85" s="1406">
        <f t="shared" ref="AK85" si="17">ROUND(IF(AF85=0,1,AI85/ABS(AF85)),3)</f>
        <v>-9.0999999999999998E-2</v>
      </c>
      <c r="AM85" s="2335"/>
      <c r="AO85" s="2335"/>
    </row>
    <row r="86" spans="1:41" ht="15" customHeight="1">
      <c r="A86" s="2367"/>
      <c r="B86" s="2401" t="s">
        <v>940</v>
      </c>
      <c r="C86" s="2401"/>
      <c r="D86" s="3741">
        <v>0.1</v>
      </c>
      <c r="E86" s="2400"/>
      <c r="F86" s="3741">
        <f t="shared" si="13"/>
        <v>0</v>
      </c>
      <c r="G86" s="2400"/>
      <c r="H86" s="1741"/>
      <c r="I86" s="1411"/>
      <c r="J86" s="1741"/>
      <c r="K86" s="1941"/>
      <c r="L86" s="1741"/>
      <c r="M86" s="1941"/>
      <c r="N86" s="1741"/>
      <c r="O86" s="1941"/>
      <c r="P86" s="1741"/>
      <c r="Q86" s="1941"/>
      <c r="R86" s="1741"/>
      <c r="S86" s="1941"/>
      <c r="T86" s="1741"/>
      <c r="U86" s="1941"/>
      <c r="V86" s="1741"/>
      <c r="W86" s="1941"/>
      <c r="X86" s="1741"/>
      <c r="Y86" s="1941"/>
      <c r="Z86" s="1741"/>
      <c r="AA86" s="1942"/>
      <c r="AB86" s="1991"/>
      <c r="AC86" s="1757">
        <v>0.1</v>
      </c>
      <c r="AD86" s="1984"/>
      <c r="AE86" s="1945" t="s">
        <v>14</v>
      </c>
      <c r="AF86" s="1757">
        <v>0.6</v>
      </c>
      <c r="AG86" s="2402"/>
      <c r="AH86" s="2403"/>
      <c r="AI86" s="1411">
        <f t="shared" ref="AI86" si="18">ROUND(SUM(+AC86-AF86),1)</f>
        <v>-0.5</v>
      </c>
      <c r="AJ86" s="2393"/>
      <c r="AK86" s="1443">
        <f>ROUND(IF(AF86=0,1,AI86/ABS(AF86)),3)</f>
        <v>-0.83299999999999996</v>
      </c>
      <c r="AM86" s="2335"/>
      <c r="AO86" s="2335"/>
    </row>
    <row r="87" spans="1:41" ht="15" customHeight="1">
      <c r="A87" s="2367"/>
      <c r="B87" s="2401" t="s">
        <v>941</v>
      </c>
      <c r="C87" s="2401"/>
      <c r="D87" s="3741">
        <v>0</v>
      </c>
      <c r="E87" s="2400"/>
      <c r="F87" s="3741">
        <f t="shared" si="13"/>
        <v>0</v>
      </c>
      <c r="G87" s="2400"/>
      <c r="H87" s="1741"/>
      <c r="I87" s="1411"/>
      <c r="J87" s="1741"/>
      <c r="K87" s="1941"/>
      <c r="L87" s="1741"/>
      <c r="M87" s="1941"/>
      <c r="N87" s="1741"/>
      <c r="O87" s="1941"/>
      <c r="P87" s="1741"/>
      <c r="Q87" s="1941"/>
      <c r="R87" s="1741"/>
      <c r="S87" s="1941"/>
      <c r="T87" s="1741"/>
      <c r="U87" s="1941"/>
      <c r="V87" s="1741"/>
      <c r="W87" s="1941"/>
      <c r="X87" s="1741"/>
      <c r="Y87" s="1941"/>
      <c r="Z87" s="1741"/>
      <c r="AA87" s="1942"/>
      <c r="AB87" s="1945"/>
      <c r="AC87" s="1757">
        <v>0</v>
      </c>
      <c r="AD87" s="1984"/>
      <c r="AE87" s="1945" t="s">
        <v>14</v>
      </c>
      <c r="AF87" s="1757">
        <v>0</v>
      </c>
      <c r="AG87" s="2402"/>
      <c r="AH87" s="2403"/>
      <c r="AI87" s="1411">
        <f t="shared" si="16"/>
        <v>0</v>
      </c>
      <c r="AJ87" s="2393"/>
      <c r="AK87" s="1443">
        <f>ROUND(IF(AF87=0,0,AI87/ABS(AF87)),3)</f>
        <v>0</v>
      </c>
      <c r="AM87" s="2335"/>
      <c r="AO87" s="2335"/>
    </row>
    <row r="88" spans="1:41" ht="15" customHeight="1">
      <c r="A88" s="2367"/>
      <c r="B88" s="2401" t="s">
        <v>942</v>
      </c>
      <c r="C88" s="2401"/>
      <c r="D88" s="3741">
        <v>5.3</v>
      </c>
      <c r="E88" s="2400"/>
      <c r="F88" s="3741">
        <f t="shared" si="13"/>
        <v>6.3</v>
      </c>
      <c r="G88" s="2400"/>
      <c r="H88" s="1741"/>
      <c r="I88" s="1411"/>
      <c r="J88" s="1741"/>
      <c r="K88" s="1941"/>
      <c r="L88" s="1741"/>
      <c r="M88" s="1941"/>
      <c r="N88" s="1741"/>
      <c r="O88" s="1941"/>
      <c r="P88" s="1741"/>
      <c r="Q88" s="1941"/>
      <c r="R88" s="1741"/>
      <c r="S88" s="1941"/>
      <c r="T88" s="1741"/>
      <c r="U88" s="1941"/>
      <c r="V88" s="1741"/>
      <c r="W88" s="1941"/>
      <c r="X88" s="1741"/>
      <c r="Y88" s="1941"/>
      <c r="Z88" s="1741"/>
      <c r="AA88" s="1942"/>
      <c r="AB88" s="1945"/>
      <c r="AC88" s="1757">
        <v>11.6</v>
      </c>
      <c r="AD88" s="1984"/>
      <c r="AE88" s="1945" t="s">
        <v>14</v>
      </c>
      <c r="AF88" s="1757">
        <v>10.6</v>
      </c>
      <c r="AG88" s="2402"/>
      <c r="AH88" s="2403"/>
      <c r="AI88" s="1411">
        <f t="shared" si="16"/>
        <v>1</v>
      </c>
      <c r="AJ88" s="2393"/>
      <c r="AK88" s="1406">
        <f>ROUND(IF(AF88=0,1,AI88/ABS(AF88)),3)</f>
        <v>9.4E-2</v>
      </c>
      <c r="AM88" s="2335"/>
      <c r="AO88" s="2335"/>
    </row>
    <row r="89" spans="1:41" ht="15" customHeight="1">
      <c r="A89" s="2367"/>
      <c r="B89" s="2401" t="s">
        <v>943</v>
      </c>
      <c r="C89" s="2401"/>
      <c r="D89" s="3741">
        <v>50</v>
      </c>
      <c r="E89" s="2400"/>
      <c r="F89" s="3741">
        <f t="shared" si="13"/>
        <v>7</v>
      </c>
      <c r="G89" s="2400"/>
      <c r="H89" s="1741"/>
      <c r="I89" s="1411"/>
      <c r="J89" s="1741"/>
      <c r="K89" s="1941"/>
      <c r="L89" s="1741"/>
      <c r="M89" s="1941"/>
      <c r="N89" s="1741"/>
      <c r="O89" s="1941"/>
      <c r="P89" s="1741"/>
      <c r="Q89" s="1941"/>
      <c r="R89" s="1741"/>
      <c r="S89" s="1941"/>
      <c r="T89" s="1741"/>
      <c r="U89" s="1941"/>
      <c r="V89" s="1741"/>
      <c r="W89" s="1941"/>
      <c r="X89" s="1741"/>
      <c r="Y89" s="1941"/>
      <c r="Z89" s="1741"/>
      <c r="AA89" s="1942"/>
      <c r="AB89" s="1991"/>
      <c r="AC89" s="1757">
        <v>57</v>
      </c>
      <c r="AD89" s="1984"/>
      <c r="AE89" s="1991" t="s">
        <v>14</v>
      </c>
      <c r="AF89" s="1757">
        <v>44.4</v>
      </c>
      <c r="AG89" s="2402"/>
      <c r="AH89" s="2403"/>
      <c r="AI89" s="1411">
        <f>ROUND(SUM(+AC89-AF89),1)</f>
        <v>12.6</v>
      </c>
      <c r="AJ89" s="2393"/>
      <c r="AK89" s="1443">
        <f>ROUND(IF(AF89=0,1,AI89/ABS(AF89)),3)</f>
        <v>0.28399999999999997</v>
      </c>
      <c r="AM89" s="2335"/>
      <c r="AO89" s="2335"/>
    </row>
    <row r="90" spans="1:41" ht="15" customHeight="1">
      <c r="A90" s="2367"/>
      <c r="B90" s="2401" t="s">
        <v>944</v>
      </c>
      <c r="C90" s="2401"/>
      <c r="D90" s="3741">
        <v>-0.5</v>
      </c>
      <c r="E90" s="2400"/>
      <c r="F90" s="3741">
        <f t="shared" si="13"/>
        <v>1.5</v>
      </c>
      <c r="G90" s="2400"/>
      <c r="H90" s="1741"/>
      <c r="I90" s="1411"/>
      <c r="J90" s="1741"/>
      <c r="K90" s="1941"/>
      <c r="L90" s="1741"/>
      <c r="M90" s="1941"/>
      <c r="N90" s="1741"/>
      <c r="O90" s="1941"/>
      <c r="P90" s="1741"/>
      <c r="Q90" s="1941"/>
      <c r="R90" s="1741"/>
      <c r="S90" s="1941"/>
      <c r="T90" s="1741"/>
      <c r="U90" s="1941"/>
      <c r="V90" s="1741"/>
      <c r="W90" s="1941"/>
      <c r="X90" s="1741"/>
      <c r="Y90" s="1941"/>
      <c r="Z90" s="1741"/>
      <c r="AA90" s="1942"/>
      <c r="AB90" s="1945"/>
      <c r="AC90" s="1757">
        <v>1</v>
      </c>
      <c r="AD90" s="1984"/>
      <c r="AE90" s="1945" t="s">
        <v>14</v>
      </c>
      <c r="AF90" s="1757">
        <v>1.6</v>
      </c>
      <c r="AG90" s="2402"/>
      <c r="AH90" s="2403"/>
      <c r="AI90" s="1411">
        <f t="shared" si="16"/>
        <v>-0.6</v>
      </c>
      <c r="AJ90" s="2393"/>
      <c r="AK90" s="1406">
        <f>ROUND(IF(AF90=0,0,AI90/ABS(AF90)),3)</f>
        <v>-0.375</v>
      </c>
      <c r="AM90" s="2335"/>
      <c r="AO90" s="2335"/>
    </row>
    <row r="91" spans="1:41" ht="15" customHeight="1">
      <c r="A91" s="2367"/>
      <c r="B91" s="2401" t="s">
        <v>945</v>
      </c>
      <c r="C91" s="2401"/>
      <c r="D91" s="3741">
        <v>0</v>
      </c>
      <c r="E91" s="2400"/>
      <c r="F91" s="3741">
        <f t="shared" si="13"/>
        <v>0</v>
      </c>
      <c r="G91" s="2400"/>
      <c r="H91" s="1741"/>
      <c r="I91" s="1411"/>
      <c r="J91" s="1741"/>
      <c r="K91" s="1941"/>
      <c r="L91" s="1741"/>
      <c r="M91" s="1941"/>
      <c r="N91" s="1741"/>
      <c r="O91" s="1941"/>
      <c r="P91" s="1741"/>
      <c r="Q91" s="1941"/>
      <c r="R91" s="1741"/>
      <c r="S91" s="1941"/>
      <c r="T91" s="1741"/>
      <c r="U91" s="1941"/>
      <c r="V91" s="1741"/>
      <c r="W91" s="1941"/>
      <c r="X91" s="1741"/>
      <c r="Y91" s="1941"/>
      <c r="Z91" s="1741"/>
      <c r="AA91" s="1942"/>
      <c r="AB91" s="1945"/>
      <c r="AC91" s="1757">
        <v>0</v>
      </c>
      <c r="AD91" s="1984"/>
      <c r="AE91" s="1945" t="s">
        <v>14</v>
      </c>
      <c r="AF91" s="1757">
        <v>0</v>
      </c>
      <c r="AG91" s="2402"/>
      <c r="AH91" s="2403"/>
      <c r="AI91" s="1411">
        <f t="shared" si="16"/>
        <v>0</v>
      </c>
      <c r="AJ91" s="2393"/>
      <c r="AK91" s="1443">
        <f>ROUND(IF(AF91=0,0,AI91/ABS(AF91)),3)</f>
        <v>0</v>
      </c>
      <c r="AM91" s="2335"/>
      <c r="AO91" s="2335"/>
    </row>
    <row r="92" spans="1:41" ht="15" customHeight="1">
      <c r="A92" s="2367"/>
      <c r="B92" s="2401" t="s">
        <v>946</v>
      </c>
      <c r="C92" s="2401"/>
      <c r="D92" s="3741">
        <v>0</v>
      </c>
      <c r="E92" s="2400"/>
      <c r="F92" s="3741">
        <f t="shared" si="13"/>
        <v>0</v>
      </c>
      <c r="G92" s="2400"/>
      <c r="H92" s="1741"/>
      <c r="I92" s="1411"/>
      <c r="J92" s="1741"/>
      <c r="K92" s="1941"/>
      <c r="L92" s="1741"/>
      <c r="M92" s="1941"/>
      <c r="N92" s="1741"/>
      <c r="O92" s="1941"/>
      <c r="P92" s="1741"/>
      <c r="Q92" s="1941"/>
      <c r="R92" s="1741"/>
      <c r="S92" s="1941"/>
      <c r="T92" s="1741"/>
      <c r="U92" s="1941"/>
      <c r="V92" s="1741"/>
      <c r="W92" s="1941"/>
      <c r="X92" s="1741"/>
      <c r="Y92" s="1941"/>
      <c r="Z92" s="1741"/>
      <c r="AA92" s="1942"/>
      <c r="AB92" s="1945"/>
      <c r="AC92" s="1757">
        <v>0</v>
      </c>
      <c r="AD92" s="1984"/>
      <c r="AE92" s="1945" t="s">
        <v>14</v>
      </c>
      <c r="AF92" s="1757">
        <v>0</v>
      </c>
      <c r="AG92" s="2402"/>
      <c r="AH92" s="2403"/>
      <c r="AI92" s="1411">
        <f t="shared" si="16"/>
        <v>0</v>
      </c>
      <c r="AJ92" s="2393"/>
      <c r="AK92" s="1406">
        <f>ROUND(IF(AF92=0,0,AI92/ABS(AF92)),3)</f>
        <v>0</v>
      </c>
      <c r="AM92" s="2335"/>
      <c r="AO92" s="2335"/>
    </row>
    <row r="93" spans="1:41" ht="15" customHeight="1">
      <c r="A93" s="2367"/>
      <c r="B93" s="2401" t="s">
        <v>947</v>
      </c>
      <c r="C93" s="2401"/>
      <c r="D93" s="3741">
        <v>63.5</v>
      </c>
      <c r="E93" s="2400"/>
      <c r="F93" s="3741">
        <f t="shared" si="13"/>
        <v>-12.299999999999997</v>
      </c>
      <c r="G93" s="2400"/>
      <c r="H93" s="1741"/>
      <c r="I93" s="1411"/>
      <c r="J93" s="1741"/>
      <c r="K93" s="1941"/>
      <c r="L93" s="1741"/>
      <c r="M93" s="1941"/>
      <c r="N93" s="1741"/>
      <c r="O93" s="1941"/>
      <c r="P93" s="1741"/>
      <c r="Q93" s="1941"/>
      <c r="R93" s="1741"/>
      <c r="S93" s="1941"/>
      <c r="T93" s="1741"/>
      <c r="U93" s="1941"/>
      <c r="V93" s="1741"/>
      <c r="W93" s="1941"/>
      <c r="X93" s="1741"/>
      <c r="Y93" s="1941"/>
      <c r="Z93" s="1741"/>
      <c r="AA93" s="1942"/>
      <c r="AB93" s="1945"/>
      <c r="AC93" s="1741">
        <v>51.2</v>
      </c>
      <c r="AD93" s="1984"/>
      <c r="AE93" s="1945" t="s">
        <v>14</v>
      </c>
      <c r="AF93" s="1741">
        <v>43.2</v>
      </c>
      <c r="AG93" s="1984"/>
      <c r="AH93" s="2403"/>
      <c r="AI93" s="1411">
        <f t="shared" si="16"/>
        <v>8</v>
      </c>
      <c r="AJ93" s="2393"/>
      <c r="AK93" s="1443">
        <f>ROUND(IF(AF93=0,0,AI93/ABS(AF93)),3)</f>
        <v>0.185</v>
      </c>
      <c r="AM93" s="2335"/>
      <c r="AO93" s="2335"/>
    </row>
    <row r="94" spans="1:41" ht="15" customHeight="1">
      <c r="A94" s="2367"/>
      <c r="B94" s="2401" t="s">
        <v>948</v>
      </c>
      <c r="C94" s="2401"/>
      <c r="D94" s="3741">
        <v>-0.1</v>
      </c>
      <c r="E94" s="2400"/>
      <c r="F94" s="3741">
        <f t="shared" si="13"/>
        <v>0</v>
      </c>
      <c r="G94" s="2400"/>
      <c r="H94" s="1741"/>
      <c r="I94" s="1411"/>
      <c r="J94" s="1741"/>
      <c r="K94" s="1941"/>
      <c r="L94" s="1741"/>
      <c r="M94" s="1941"/>
      <c r="N94" s="1741"/>
      <c r="O94" s="1941"/>
      <c r="P94" s="1741"/>
      <c r="Q94" s="1941"/>
      <c r="R94" s="1741"/>
      <c r="S94" s="1941"/>
      <c r="T94" s="1741"/>
      <c r="U94" s="1941"/>
      <c r="V94" s="1741"/>
      <c r="W94" s="1941"/>
      <c r="X94" s="1741"/>
      <c r="Y94" s="1941"/>
      <c r="Z94" s="1741"/>
      <c r="AA94" s="1942"/>
      <c r="AB94" s="1945"/>
      <c r="AC94" s="1757">
        <v>-0.1</v>
      </c>
      <c r="AD94" s="1984"/>
      <c r="AE94" s="1945" t="s">
        <v>14</v>
      </c>
      <c r="AF94" s="1757">
        <v>0.1</v>
      </c>
      <c r="AG94" s="1984"/>
      <c r="AH94" s="2403"/>
      <c r="AI94" s="1411">
        <f t="shared" si="16"/>
        <v>-0.2</v>
      </c>
      <c r="AJ94" s="2393"/>
      <c r="AK94" s="2404">
        <f>ROUND(IF(AF94=0,1,AI94/ABS(AF94)),3)</f>
        <v>-2</v>
      </c>
      <c r="AM94" s="2335"/>
      <c r="AO94" s="2335"/>
    </row>
    <row r="95" spans="1:41" s="2397" customFormat="1" ht="15" customHeight="1">
      <c r="A95" s="2395"/>
      <c r="B95" s="2389" t="s">
        <v>982</v>
      </c>
      <c r="C95" s="2344"/>
      <c r="D95" s="2391">
        <f>ROUND(SUM(D58:D94),1)</f>
        <v>197.9</v>
      </c>
      <c r="E95" s="2405"/>
      <c r="F95" s="2390">
        <f>ROUND(SUM(F58:F94),1)</f>
        <v>101</v>
      </c>
      <c r="G95" s="2405"/>
      <c r="H95" s="2390">
        <f>ROUND(SUM(H58:H94),1)</f>
        <v>0</v>
      </c>
      <c r="I95" s="1429"/>
      <c r="J95" s="2391">
        <f>ROUND(SUM(J58:J94),1)</f>
        <v>0</v>
      </c>
      <c r="K95" s="1429"/>
      <c r="L95" s="2391">
        <f>ROUND(SUM(L58:L94),1)</f>
        <v>0</v>
      </c>
      <c r="M95" s="1429"/>
      <c r="N95" s="1985">
        <f>ROUND(SUM(N58:N94),1)</f>
        <v>0</v>
      </c>
      <c r="O95" s="1429"/>
      <c r="P95" s="1428">
        <f>ROUND(SUM(P58:P94),1)</f>
        <v>0</v>
      </c>
      <c r="Q95" s="1429"/>
      <c r="R95" s="1985">
        <f>ROUND(SUM(R58:R94),1)</f>
        <v>0</v>
      </c>
      <c r="S95" s="1429"/>
      <c r="T95" s="1985">
        <f>ROUND(SUM(T58:T94),1)</f>
        <v>0</v>
      </c>
      <c r="U95" s="1429"/>
      <c r="V95" s="1985">
        <f>ROUND(SUM(V58:V94),1)</f>
        <v>0</v>
      </c>
      <c r="W95" s="1429"/>
      <c r="X95" s="1985">
        <f>ROUND(SUM(X58:X94),1)</f>
        <v>0</v>
      </c>
      <c r="Y95" s="1429"/>
      <c r="Z95" s="1985">
        <f>ROUND(SUM(Z58:Z94),1)</f>
        <v>0</v>
      </c>
      <c r="AA95" s="1953"/>
      <c r="AB95" s="1992"/>
      <c r="AC95" s="3044">
        <f>ROUND(SUM(AC58:AC94),1)</f>
        <v>298.89999999999998</v>
      </c>
      <c r="AD95" s="1993"/>
      <c r="AE95" s="3048" t="s">
        <v>14</v>
      </c>
      <c r="AF95" s="3370">
        <f>ROUND(SUM(AF58:AF94),1)</f>
        <v>312.60000000000002</v>
      </c>
      <c r="AG95" s="1429"/>
      <c r="AH95" s="2396"/>
      <c r="AI95" s="1985">
        <f>ROUND(SUM(AI58:AI94),1)</f>
        <v>-13.7</v>
      </c>
      <c r="AJ95" s="1412"/>
      <c r="AK95" s="1413">
        <f>ROUND(SUM(+AI95/AF95),3)</f>
        <v>-4.3999999999999997E-2</v>
      </c>
      <c r="AL95" s="2333"/>
      <c r="AM95" s="2335"/>
      <c r="AO95" s="2335"/>
    </row>
    <row r="96" spans="1:41" s="2397" customFormat="1" ht="8.25" customHeight="1">
      <c r="A96" s="2395"/>
      <c r="B96" s="2343"/>
      <c r="C96" s="2344"/>
      <c r="D96" s="1429"/>
      <c r="E96" s="2405"/>
      <c r="F96" s="1429"/>
      <c r="G96" s="2405"/>
      <c r="H96" s="1429"/>
      <c r="I96" s="1429"/>
      <c r="J96" s="1993"/>
      <c r="K96" s="1429"/>
      <c r="L96" s="1429"/>
      <c r="M96" s="1429"/>
      <c r="N96" s="1429"/>
      <c r="O96" s="1429"/>
      <c r="P96" s="1993"/>
      <c r="Q96" s="1429"/>
      <c r="R96" s="1429"/>
      <c r="S96" s="1429"/>
      <c r="T96" s="1429"/>
      <c r="U96" s="1429"/>
      <c r="V96" s="1429"/>
      <c r="W96" s="1429"/>
      <c r="X96" s="1429"/>
      <c r="Y96" s="1429"/>
      <c r="Z96" s="1429"/>
      <c r="AA96" s="1953"/>
      <c r="AB96" s="1992"/>
      <c r="AC96" s="1993"/>
      <c r="AD96" s="1993"/>
      <c r="AE96" s="3048"/>
      <c r="AF96" s="1993"/>
      <c r="AG96" s="1429"/>
      <c r="AH96" s="2396"/>
      <c r="AI96" s="1429"/>
      <c r="AJ96" s="1412"/>
      <c r="AK96" s="2406"/>
      <c r="AL96" s="2333"/>
      <c r="AM96" s="2335"/>
      <c r="AO96" s="2335"/>
    </row>
    <row r="97" spans="1:41" ht="15" customHeight="1">
      <c r="A97" s="2367"/>
      <c r="B97" s="2385" t="s">
        <v>1124</v>
      </c>
      <c r="C97" s="1965"/>
      <c r="D97" s="3741">
        <v>0</v>
      </c>
      <c r="E97" s="1411"/>
      <c r="F97" s="3741">
        <f t="shared" ref="F97" si="19">$AC97-D97</f>
        <v>0.2</v>
      </c>
      <c r="G97" s="1411"/>
      <c r="H97" s="1741"/>
      <c r="I97" s="1411"/>
      <c r="J97" s="1741"/>
      <c r="K97" s="1941"/>
      <c r="L97" s="3801"/>
      <c r="M97" s="1941"/>
      <c r="N97" s="1741"/>
      <c r="O97" s="1941"/>
      <c r="P97" s="1741"/>
      <c r="Q97" s="1941"/>
      <c r="R97" s="1741"/>
      <c r="S97" s="1941"/>
      <c r="T97" s="1741"/>
      <c r="U97" s="1941"/>
      <c r="V97" s="1741"/>
      <c r="W97" s="1941"/>
      <c r="X97" s="1741"/>
      <c r="Y97" s="1941"/>
      <c r="Z97" s="1741"/>
      <c r="AA97" s="1942"/>
      <c r="AB97" s="1945"/>
      <c r="AC97" s="1757">
        <v>0.2</v>
      </c>
      <c r="AD97" s="1984"/>
      <c r="AE97" s="1945" t="s">
        <v>14</v>
      </c>
      <c r="AF97" s="1757">
        <v>0.2</v>
      </c>
      <c r="AG97" s="1950"/>
      <c r="AH97" s="2392"/>
      <c r="AI97" s="2407">
        <f>ROUND(SUM(+AC97-AF97),1)</f>
        <v>0</v>
      </c>
      <c r="AJ97" s="2393"/>
      <c r="AK97" s="3762">
        <f>ROUND(IF(AF97=0,1,AI97/ABS(AF97)),3)</f>
        <v>0</v>
      </c>
      <c r="AM97" s="2335"/>
      <c r="AO97" s="2335"/>
    </row>
    <row r="98" spans="1:41" ht="4.3499999999999996" customHeight="1">
      <c r="A98" s="2367"/>
      <c r="B98" s="1987"/>
      <c r="C98" s="1965"/>
      <c r="D98" s="2408"/>
      <c r="E98" s="1411"/>
      <c r="F98" s="2408"/>
      <c r="G98" s="1411"/>
      <c r="H98" s="2408"/>
      <c r="I98" s="1411"/>
      <c r="J98" s="2409"/>
      <c r="K98" s="1949"/>
      <c r="L98" s="1948"/>
      <c r="M98" s="1949"/>
      <c r="N98" s="1948"/>
      <c r="O98" s="1949"/>
      <c r="P98" s="3464"/>
      <c r="Q98" s="1949"/>
      <c r="R98" s="1948"/>
      <c r="S98" s="1949"/>
      <c r="T98" s="1948"/>
      <c r="U98" s="1949"/>
      <c r="V98" s="1948"/>
      <c r="W98" s="1949"/>
      <c r="X98" s="1948">
        <f t="shared" ref="X98" si="20">$AC98-$D98-$F98-$H98-$J98-$L98-$N98-$P98-$R98-$T98-$V98</f>
        <v>0</v>
      </c>
      <c r="Y98" s="1949"/>
      <c r="Z98" s="1948"/>
      <c r="AA98" s="1964"/>
      <c r="AB98" s="1989"/>
      <c r="AC98" s="3049"/>
      <c r="AD98" s="1938"/>
      <c r="AE98" s="1945" t="s">
        <v>14</v>
      </c>
      <c r="AF98" s="1994"/>
      <c r="AG98" s="1950"/>
      <c r="AH98" s="2392"/>
      <c r="AI98" s="1411"/>
      <c r="AJ98" s="2393"/>
      <c r="AK98" s="1400"/>
      <c r="AM98" s="2335"/>
      <c r="AO98" s="2335"/>
    </row>
    <row r="99" spans="1:41" ht="15" customHeight="1">
      <c r="A99" s="2367"/>
      <c r="B99" s="2343" t="s">
        <v>147</v>
      </c>
      <c r="C99" s="1965"/>
      <c r="D99" s="1963">
        <f>ROUND(SUM(D97+D95+D54),1)</f>
        <v>9217.7000000000007</v>
      </c>
      <c r="E99" s="1429"/>
      <c r="F99" s="1963">
        <f>ROUND(SUM(F97+F95+F54),1)</f>
        <v>2076</v>
      </c>
      <c r="G99" s="1429"/>
      <c r="H99" s="1963">
        <f>ROUND(SUM(H97+H95+H54),1)</f>
        <v>0</v>
      </c>
      <c r="I99" s="1429"/>
      <c r="J99" s="1517">
        <f>ROUND(SUM(J97+J95+J54),1)</f>
        <v>0</v>
      </c>
      <c r="K99" s="1429"/>
      <c r="L99" s="1517">
        <f>ROUND(SUM(L97+L95+L54),1)</f>
        <v>0</v>
      </c>
      <c r="M99" s="1429"/>
      <c r="N99" s="1429">
        <f>ROUND(SUM(N97+N95+N54),1)</f>
        <v>0</v>
      </c>
      <c r="O99" s="1429"/>
      <c r="P99" s="1997">
        <f>ROUND(SUM(P97+P95+P54),1)</f>
        <v>0</v>
      </c>
      <c r="Q99" s="1429"/>
      <c r="R99" s="1995">
        <f>ROUND(SUM(R97+R95+R54),1)</f>
        <v>0</v>
      </c>
      <c r="S99" s="1429"/>
      <c r="T99" s="1995">
        <f>ROUND(SUM(T97+T95+T54),1)</f>
        <v>0</v>
      </c>
      <c r="U99" s="1429"/>
      <c r="V99" s="1995">
        <f>ROUND(SUM(V97+V95+V54),1)</f>
        <v>0</v>
      </c>
      <c r="W99" s="1429"/>
      <c r="X99" s="1995">
        <f>ROUND(SUM(X97+X95+X54),1)</f>
        <v>0</v>
      </c>
      <c r="Y99" s="1429"/>
      <c r="Z99" s="1995">
        <f>ROUND(SUM(Z97+Z95+Z54),1)</f>
        <v>0</v>
      </c>
      <c r="AA99" s="1996"/>
      <c r="AB99" s="1992"/>
      <c r="AC99" s="1997">
        <f>ROUND(SUM(AC97+AC95+AC54),1)</f>
        <v>11293.7</v>
      </c>
      <c r="AD99" s="1993"/>
      <c r="AE99" s="3048"/>
      <c r="AF99" s="1997">
        <f>ROUND(SUM(AF97+AF95+AF54),1)</f>
        <v>10259.1</v>
      </c>
      <c r="AG99" s="1412"/>
      <c r="AH99" s="2396"/>
      <c r="AI99" s="1995">
        <f>ROUND(SUM(AI97+AI95+AI54),1)</f>
        <v>1034.5999999999999</v>
      </c>
      <c r="AJ99" s="1412"/>
      <c r="AK99" s="1403">
        <f>ROUND(SUM(+AI99/AF99),3)</f>
        <v>0.10100000000000001</v>
      </c>
      <c r="AM99" s="2335"/>
      <c r="AO99" s="2335"/>
    </row>
    <row r="100" spans="1:41" ht="15" customHeight="1">
      <c r="A100" s="2367"/>
      <c r="B100" s="1987"/>
      <c r="C100" s="1965"/>
      <c r="D100" s="2393"/>
      <c r="E100" s="1411"/>
      <c r="F100" s="2393"/>
      <c r="G100" s="1411"/>
      <c r="H100" s="2393"/>
      <c r="I100" s="1411"/>
      <c r="J100" s="1984"/>
      <c r="K100" s="1949"/>
      <c r="L100" s="1948"/>
      <c r="M100" s="1949"/>
      <c r="N100" s="1948"/>
      <c r="O100" s="1949"/>
      <c r="P100" s="1920"/>
      <c r="Q100" s="1949"/>
      <c r="R100" s="1950"/>
      <c r="S100" s="1949"/>
      <c r="T100" s="1950"/>
      <c r="U100" s="1949"/>
      <c r="V100" s="1950"/>
      <c r="W100" s="1949"/>
      <c r="X100" s="1950"/>
      <c r="Y100" s="1949"/>
      <c r="Z100" s="1950"/>
      <c r="AA100" s="1956"/>
      <c r="AB100" s="1989"/>
      <c r="AC100" s="1984"/>
      <c r="AD100" s="1938"/>
      <c r="AE100" s="1940"/>
      <c r="AF100" s="1920"/>
      <c r="AG100" s="1950"/>
      <c r="AH100" s="2392"/>
      <c r="AI100" s="1411"/>
      <c r="AJ100" s="2393"/>
      <c r="AK100" s="1400"/>
      <c r="AM100" s="2335"/>
      <c r="AO100" s="2335"/>
    </row>
    <row r="101" spans="1:41" ht="15" customHeight="1">
      <c r="A101" s="2367"/>
      <c r="B101" s="2343" t="s">
        <v>22</v>
      </c>
      <c r="C101" s="1965"/>
      <c r="D101" s="1411"/>
      <c r="E101" s="1411"/>
      <c r="F101" s="1411"/>
      <c r="G101" s="1411"/>
      <c r="H101" s="1411"/>
      <c r="I101" s="1411"/>
      <c r="J101" s="1943"/>
      <c r="K101" s="1949"/>
      <c r="L101" s="1949"/>
      <c r="M101" s="1949"/>
      <c r="N101" s="1949"/>
      <c r="O101" s="1949"/>
      <c r="P101" s="1938"/>
      <c r="Q101" s="1949"/>
      <c r="R101" s="1949"/>
      <c r="S101" s="1949"/>
      <c r="T101" s="1949"/>
      <c r="U101" s="1949"/>
      <c r="V101" s="1949"/>
      <c r="W101" s="1949"/>
      <c r="X101" s="1949"/>
      <c r="Y101" s="1949"/>
      <c r="Z101" s="1949"/>
      <c r="AA101" s="1431"/>
      <c r="AB101" s="1989"/>
      <c r="AC101" s="1943"/>
      <c r="AD101" s="1938"/>
      <c r="AE101" s="1940"/>
      <c r="AF101" s="1938"/>
      <c r="AG101" s="1949"/>
      <c r="AH101" s="2392"/>
      <c r="AI101" s="1411"/>
      <c r="AJ101" s="2393"/>
      <c r="AK101" s="1400"/>
      <c r="AM101" s="2335"/>
      <c r="AO101" s="2335"/>
    </row>
    <row r="102" spans="1:41" ht="15" customHeight="1">
      <c r="A102" s="2367"/>
      <c r="B102" s="1987" t="s">
        <v>148</v>
      </c>
      <c r="C102" s="1965"/>
      <c r="D102" s="2393"/>
      <c r="E102" s="2393"/>
      <c r="F102" s="2393"/>
      <c r="G102" s="2393"/>
      <c r="H102" s="2393"/>
      <c r="I102" s="2393"/>
      <c r="J102" s="1984"/>
      <c r="K102" s="1950"/>
      <c r="L102" s="1950"/>
      <c r="M102" s="1950"/>
      <c r="N102" s="1950"/>
      <c r="O102" s="1950"/>
      <c r="P102" s="1920"/>
      <c r="Q102" s="1950"/>
      <c r="R102" s="1950"/>
      <c r="S102" s="1950"/>
      <c r="T102" s="1950"/>
      <c r="U102" s="1950"/>
      <c r="V102" s="1950"/>
      <c r="W102" s="1950"/>
      <c r="X102" s="1950"/>
      <c r="Y102" s="1950"/>
      <c r="Z102" s="1741"/>
      <c r="AA102" s="1431"/>
      <c r="AB102" s="1989"/>
      <c r="AC102" s="3050"/>
      <c r="AD102" s="1938"/>
      <c r="AE102" s="1940"/>
      <c r="AF102" s="3371"/>
      <c r="AG102" s="2410"/>
      <c r="AH102" s="2392"/>
      <c r="AI102" s="1411"/>
      <c r="AJ102" s="2393"/>
      <c r="AK102" s="1400"/>
      <c r="AM102" s="2335"/>
      <c r="AO102" s="2335"/>
    </row>
    <row r="103" spans="1:41" ht="15" customHeight="1">
      <c r="A103" s="2367"/>
      <c r="B103" s="2376" t="s">
        <v>24</v>
      </c>
      <c r="C103" s="1965"/>
      <c r="D103" s="3741">
        <v>1436</v>
      </c>
      <c r="E103" s="2393"/>
      <c r="F103" s="3741">
        <f t="shared" ref="F103:F105" si="21">$AC103-D103</f>
        <v>4347</v>
      </c>
      <c r="G103" s="2393"/>
      <c r="H103" s="1741"/>
      <c r="I103" s="2393"/>
      <c r="J103" s="1741"/>
      <c r="K103" s="1941"/>
      <c r="L103" s="1741"/>
      <c r="M103" s="1941"/>
      <c r="N103" s="1741"/>
      <c r="O103" s="1941"/>
      <c r="P103" s="1741"/>
      <c r="Q103" s="1941"/>
      <c r="R103" s="1741"/>
      <c r="S103" s="1941"/>
      <c r="T103" s="1741"/>
      <c r="U103" s="1941"/>
      <c r="V103" s="1741"/>
      <c r="W103" s="1941"/>
      <c r="X103" s="1741"/>
      <c r="Y103" s="1941"/>
      <c r="Z103" s="1741"/>
      <c r="AA103" s="1942"/>
      <c r="AB103" s="1945"/>
      <c r="AC103" s="1757">
        <v>5783</v>
      </c>
      <c r="AD103" s="1984"/>
      <c r="AE103" s="1945" t="s">
        <v>14</v>
      </c>
      <c r="AF103" s="1757">
        <v>4422.6000000000004</v>
      </c>
      <c r="AG103" s="2410"/>
      <c r="AH103" s="2392"/>
      <c r="AI103" s="1411">
        <f>ROUND(SUM(+AC103-AF103),1)</f>
        <v>1360.4</v>
      </c>
      <c r="AJ103" s="2393"/>
      <c r="AK103" s="1406">
        <f>ROUND(IF(AF103=0,0,AI103/ABS(AF103)),3)</f>
        <v>0.308</v>
      </c>
      <c r="AM103" s="2335"/>
      <c r="AO103" s="2335"/>
    </row>
    <row r="104" spans="1:41" ht="15" customHeight="1">
      <c r="A104" s="2367"/>
      <c r="B104" s="2376" t="s">
        <v>25</v>
      </c>
      <c r="C104" s="1965"/>
      <c r="D104" s="3741">
        <v>0.1</v>
      </c>
      <c r="E104" s="1411"/>
      <c r="F104" s="3741">
        <f t="shared" si="21"/>
        <v>0</v>
      </c>
      <c r="G104" s="1411"/>
      <c r="H104" s="1741"/>
      <c r="I104" s="1411"/>
      <c r="J104" s="1741"/>
      <c r="K104" s="1941"/>
      <c r="L104" s="1741"/>
      <c r="M104" s="1941"/>
      <c r="N104" s="1741"/>
      <c r="O104" s="1941"/>
      <c r="P104" s="1741"/>
      <c r="Q104" s="1941"/>
      <c r="R104" s="1741"/>
      <c r="S104" s="1941"/>
      <c r="T104" s="1741"/>
      <c r="U104" s="1941"/>
      <c r="V104" s="1741"/>
      <c r="W104" s="1941"/>
      <c r="X104" s="1741"/>
      <c r="Y104" s="1941"/>
      <c r="Z104" s="1741"/>
      <c r="AA104" s="1942"/>
      <c r="AB104" s="1945"/>
      <c r="AC104" s="1757">
        <v>0.1</v>
      </c>
      <c r="AD104" s="1984"/>
      <c r="AE104" s="1945" t="s">
        <v>14</v>
      </c>
      <c r="AF104" s="1757">
        <v>1.7</v>
      </c>
      <c r="AG104" s="1949"/>
      <c r="AH104" s="2392"/>
      <c r="AI104" s="1411">
        <f t="shared" ref="AI104:AI112" si="22">ROUND(SUM(+AC104-AF104),1)</f>
        <v>-1.6</v>
      </c>
      <c r="AJ104" s="2393"/>
      <c r="AK104" s="1443">
        <f>ROUND(IF(AF104=0,1,AI104/ABS(AF104)),3)</f>
        <v>-0.94099999999999995</v>
      </c>
      <c r="AM104" s="2335"/>
      <c r="AO104" s="2335"/>
    </row>
    <row r="105" spans="1:41" ht="15" customHeight="1">
      <c r="A105" s="2367"/>
      <c r="B105" s="2376" t="s">
        <v>26</v>
      </c>
      <c r="C105" s="1965"/>
      <c r="D105" s="3741">
        <v>9.9</v>
      </c>
      <c r="E105" s="1411"/>
      <c r="F105" s="3741">
        <f t="shared" si="21"/>
        <v>41.7</v>
      </c>
      <c r="G105" s="1411"/>
      <c r="H105" s="1741"/>
      <c r="I105" s="1411"/>
      <c r="J105" s="1741"/>
      <c r="K105" s="1941"/>
      <c r="L105" s="1741"/>
      <c r="M105" s="1941"/>
      <c r="N105" s="1741"/>
      <c r="O105" s="1941"/>
      <c r="P105" s="1741"/>
      <c r="Q105" s="1941"/>
      <c r="R105" s="1741"/>
      <c r="S105" s="1941"/>
      <c r="T105" s="1741"/>
      <c r="U105" s="1941"/>
      <c r="V105" s="1741"/>
      <c r="W105" s="1941"/>
      <c r="X105" s="1741"/>
      <c r="Y105" s="1941"/>
      <c r="Z105" s="1741"/>
      <c r="AA105" s="1942"/>
      <c r="AB105" s="1945"/>
      <c r="AC105" s="1757">
        <v>51.6</v>
      </c>
      <c r="AD105" s="1984"/>
      <c r="AE105" s="1945" t="s">
        <v>14</v>
      </c>
      <c r="AF105" s="1757">
        <v>51.5</v>
      </c>
      <c r="AG105" s="1949"/>
      <c r="AH105" s="2392"/>
      <c r="AI105" s="1411">
        <f t="shared" si="22"/>
        <v>0.1</v>
      </c>
      <c r="AJ105" s="2393"/>
      <c r="AK105" s="1406">
        <f>ROUND(IF(AF105=0,0,AI105/ABS(AF105)),3)</f>
        <v>2E-3</v>
      </c>
      <c r="AM105" s="2335"/>
      <c r="AO105" s="2335"/>
    </row>
    <row r="106" spans="1:41" ht="15" customHeight="1">
      <c r="A106" s="2367"/>
      <c r="B106" s="2376" t="s">
        <v>27</v>
      </c>
      <c r="C106" s="1965"/>
      <c r="D106" s="3741" t="s">
        <v>14</v>
      </c>
      <c r="E106" s="1411"/>
      <c r="F106" s="1741"/>
      <c r="G106" s="1411"/>
      <c r="H106" s="1741"/>
      <c r="I106" s="1411"/>
      <c r="J106" s="1741"/>
      <c r="K106" s="1941"/>
      <c r="L106" s="1741"/>
      <c r="M106" s="1941"/>
      <c r="N106" s="1741"/>
      <c r="O106" s="1941"/>
      <c r="P106" s="1741"/>
      <c r="Q106" s="1941"/>
      <c r="R106" s="1741"/>
      <c r="S106" s="1941"/>
      <c r="T106" s="1741"/>
      <c r="U106" s="1941"/>
      <c r="V106" s="1741"/>
      <c r="W106" s="1941"/>
      <c r="X106" s="1741"/>
      <c r="Y106" s="1941"/>
      <c r="Z106" s="1741"/>
      <c r="AA106" s="1942"/>
      <c r="AB106" s="1945"/>
      <c r="AC106" s="1757"/>
      <c r="AD106" s="1984"/>
      <c r="AE106" s="1945" t="s">
        <v>14</v>
      </c>
      <c r="AF106" s="1757"/>
      <c r="AG106" s="1949"/>
      <c r="AH106" s="2392"/>
      <c r="AI106" s="1411" t="s">
        <v>14</v>
      </c>
      <c r="AJ106" s="2393"/>
      <c r="AK106" s="1400" t="s">
        <v>14</v>
      </c>
      <c r="AM106" s="2335"/>
      <c r="AO106" s="2335"/>
    </row>
    <row r="107" spans="1:41" ht="15" customHeight="1">
      <c r="A107" s="2367"/>
      <c r="B107" s="2411" t="s">
        <v>28</v>
      </c>
      <c r="C107" s="1965"/>
      <c r="D107" s="3741">
        <v>2018.4</v>
      </c>
      <c r="E107" s="1411"/>
      <c r="F107" s="3741">
        <f t="shared" ref="F107:F112" si="23">$AC107-D107</f>
        <v>1920.1</v>
      </c>
      <c r="G107" s="1411"/>
      <c r="H107" s="1741"/>
      <c r="I107" s="1411"/>
      <c r="J107" s="1741"/>
      <c r="K107" s="1941"/>
      <c r="L107" s="1741"/>
      <c r="M107" s="1941"/>
      <c r="N107" s="1741"/>
      <c r="O107" s="1941"/>
      <c r="P107" s="1741"/>
      <c r="Q107" s="1941"/>
      <c r="R107" s="1741"/>
      <c r="S107" s="1941"/>
      <c r="T107" s="1741"/>
      <c r="U107" s="1941"/>
      <c r="V107" s="1741"/>
      <c r="W107" s="1941"/>
      <c r="X107" s="1741"/>
      <c r="Y107" s="1941"/>
      <c r="Z107" s="1741"/>
      <c r="AA107" s="1942"/>
      <c r="AB107" s="1945"/>
      <c r="AC107" s="1757">
        <v>3938.5</v>
      </c>
      <c r="AD107" s="1984"/>
      <c r="AE107" s="1945" t="s">
        <v>14</v>
      </c>
      <c r="AF107" s="1757">
        <v>4234.2</v>
      </c>
      <c r="AG107" s="1949"/>
      <c r="AH107" s="2392"/>
      <c r="AI107" s="1411">
        <f t="shared" si="22"/>
        <v>-295.7</v>
      </c>
      <c r="AJ107" s="2393"/>
      <c r="AK107" s="1443">
        <f t="shared" ref="AK107:AK110" si="24">ROUND(IF(AF107=0,0,AI107/ABS(AF107)),3)</f>
        <v>-7.0000000000000007E-2</v>
      </c>
      <c r="AM107" s="2335"/>
      <c r="AO107" s="2335"/>
    </row>
    <row r="108" spans="1:41" ht="15" customHeight="1">
      <c r="A108" s="2367"/>
      <c r="B108" s="2376" t="s">
        <v>29</v>
      </c>
      <c r="C108" s="1965"/>
      <c r="D108" s="3741">
        <v>66.400000000000006</v>
      </c>
      <c r="E108" s="1411"/>
      <c r="F108" s="3741">
        <f t="shared" si="23"/>
        <v>139.9</v>
      </c>
      <c r="G108" s="1411"/>
      <c r="H108" s="1741"/>
      <c r="I108" s="1411"/>
      <c r="J108" s="1741"/>
      <c r="K108" s="1941"/>
      <c r="L108" s="1741"/>
      <c r="M108" s="1941"/>
      <c r="N108" s="1741"/>
      <c r="O108" s="1941"/>
      <c r="P108" s="1741"/>
      <c r="Q108" s="1941"/>
      <c r="R108" s="1741"/>
      <c r="S108" s="1941"/>
      <c r="T108" s="1741"/>
      <c r="U108" s="1941"/>
      <c r="V108" s="1741"/>
      <c r="W108" s="1941"/>
      <c r="X108" s="1741"/>
      <c r="Y108" s="1941"/>
      <c r="Z108" s="1741"/>
      <c r="AA108" s="1942"/>
      <c r="AB108" s="1945"/>
      <c r="AC108" s="1757">
        <v>206.3</v>
      </c>
      <c r="AD108" s="1984"/>
      <c r="AE108" s="1945" t="s">
        <v>14</v>
      </c>
      <c r="AF108" s="1757">
        <v>150</v>
      </c>
      <c r="AG108" s="1949"/>
      <c r="AH108" s="2392"/>
      <c r="AI108" s="1411">
        <f t="shared" si="22"/>
        <v>56.3</v>
      </c>
      <c r="AJ108" s="2393"/>
      <c r="AK108" s="1406">
        <f t="shared" si="24"/>
        <v>0.375</v>
      </c>
      <c r="AM108" s="2335"/>
      <c r="AO108" s="2335"/>
    </row>
    <row r="109" spans="1:41" ht="15" customHeight="1">
      <c r="A109" s="2367"/>
      <c r="B109" s="2376" t="s">
        <v>30</v>
      </c>
      <c r="C109" s="1965"/>
      <c r="D109" s="3741">
        <v>7.6</v>
      </c>
      <c r="E109" s="1411"/>
      <c r="F109" s="3741">
        <f t="shared" si="23"/>
        <v>14.000000000000002</v>
      </c>
      <c r="G109" s="1411"/>
      <c r="H109" s="1741"/>
      <c r="I109" s="1411"/>
      <c r="J109" s="1741"/>
      <c r="K109" s="1941"/>
      <c r="L109" s="1741"/>
      <c r="M109" s="1941"/>
      <c r="N109" s="1741"/>
      <c r="O109" s="1941"/>
      <c r="P109" s="1741"/>
      <c r="Q109" s="1941"/>
      <c r="R109" s="1741"/>
      <c r="S109" s="1941"/>
      <c r="T109" s="1741"/>
      <c r="U109" s="1941"/>
      <c r="V109" s="1741"/>
      <c r="W109" s="1941"/>
      <c r="X109" s="1741"/>
      <c r="Y109" s="1941"/>
      <c r="Z109" s="1741"/>
      <c r="AA109" s="1942"/>
      <c r="AB109" s="1945"/>
      <c r="AC109" s="1757">
        <v>21.6</v>
      </c>
      <c r="AD109" s="1984"/>
      <c r="AE109" s="1945" t="s">
        <v>14</v>
      </c>
      <c r="AF109" s="1757">
        <v>34.1</v>
      </c>
      <c r="AG109" s="1949"/>
      <c r="AH109" s="2392" t="s">
        <v>14</v>
      </c>
      <c r="AI109" s="1411">
        <f t="shared" si="22"/>
        <v>-12.5</v>
      </c>
      <c r="AJ109" s="2393"/>
      <c r="AK109" s="1406">
        <f t="shared" si="24"/>
        <v>-0.36699999999999999</v>
      </c>
      <c r="AM109" s="2335"/>
      <c r="AO109" s="2335"/>
    </row>
    <row r="110" spans="1:41" ht="15" customHeight="1">
      <c r="A110" s="2367"/>
      <c r="B110" s="2376" t="s">
        <v>31</v>
      </c>
      <c r="C110" s="1965"/>
      <c r="D110" s="3741">
        <v>101.1</v>
      </c>
      <c r="E110" s="1411"/>
      <c r="F110" s="3741">
        <f t="shared" si="23"/>
        <v>218.4</v>
      </c>
      <c r="G110" s="1411"/>
      <c r="H110" s="1741"/>
      <c r="I110" s="1411"/>
      <c r="J110" s="1741"/>
      <c r="K110" s="1941"/>
      <c r="L110" s="1741"/>
      <c r="M110" s="1941"/>
      <c r="N110" s="1741"/>
      <c r="O110" s="1941"/>
      <c r="P110" s="1741"/>
      <c r="Q110" s="1941"/>
      <c r="R110" s="1741"/>
      <c r="S110" s="1941"/>
      <c r="T110" s="1741"/>
      <c r="U110" s="1941"/>
      <c r="V110" s="1741"/>
      <c r="W110" s="1941"/>
      <c r="X110" s="1741"/>
      <c r="Y110" s="1941"/>
      <c r="Z110" s="1741"/>
      <c r="AA110" s="1942"/>
      <c r="AB110" s="1945"/>
      <c r="AC110" s="1757">
        <v>319.5</v>
      </c>
      <c r="AD110" s="1984"/>
      <c r="AE110" s="1945" t="s">
        <v>14</v>
      </c>
      <c r="AF110" s="1757">
        <v>143.6</v>
      </c>
      <c r="AG110" s="1949"/>
      <c r="AH110" s="2392"/>
      <c r="AI110" s="1411">
        <f t="shared" si="22"/>
        <v>175.9</v>
      </c>
      <c r="AJ110" s="2393"/>
      <c r="AK110" s="1406">
        <f t="shared" si="24"/>
        <v>1.2250000000000001</v>
      </c>
      <c r="AM110" s="2335"/>
      <c r="AO110" s="2335"/>
    </row>
    <row r="111" spans="1:41" ht="15" customHeight="1">
      <c r="A111" s="2367"/>
      <c r="B111" s="2376" t="s">
        <v>32</v>
      </c>
      <c r="C111" s="1965"/>
      <c r="D111" s="3741">
        <v>6.2</v>
      </c>
      <c r="E111" s="1411"/>
      <c r="F111" s="3741">
        <f t="shared" si="23"/>
        <v>11.5</v>
      </c>
      <c r="G111" s="1411"/>
      <c r="H111" s="1741"/>
      <c r="I111" s="1411"/>
      <c r="J111" s="1741"/>
      <c r="K111" s="1941"/>
      <c r="L111" s="1741"/>
      <c r="M111" s="1941"/>
      <c r="N111" s="1741"/>
      <c r="O111" s="1941"/>
      <c r="P111" s="1741"/>
      <c r="Q111" s="1941"/>
      <c r="R111" s="1741"/>
      <c r="S111" s="1941"/>
      <c r="T111" s="1741"/>
      <c r="U111" s="1941"/>
      <c r="V111" s="1741"/>
      <c r="W111" s="1941"/>
      <c r="X111" s="1741"/>
      <c r="Y111" s="1941"/>
      <c r="Z111" s="1741"/>
      <c r="AA111" s="1942"/>
      <c r="AB111" s="1945"/>
      <c r="AC111" s="1757">
        <v>17.7</v>
      </c>
      <c r="AD111" s="1984"/>
      <c r="AE111" s="1945" t="s">
        <v>14</v>
      </c>
      <c r="AF111" s="1757">
        <v>12</v>
      </c>
      <c r="AG111" s="1949"/>
      <c r="AH111" s="2392"/>
      <c r="AI111" s="1411">
        <f t="shared" si="22"/>
        <v>5.7</v>
      </c>
      <c r="AJ111" s="2393"/>
      <c r="AK111" s="1443">
        <f>ROUND(IF(AF111=0,0,AI111/ABS(AF111)),3)</f>
        <v>0.47499999999999998</v>
      </c>
      <c r="AM111" s="2335"/>
      <c r="AO111" s="2335"/>
    </row>
    <row r="112" spans="1:41" ht="15" customHeight="1">
      <c r="A112" s="2367"/>
      <c r="B112" s="2376" t="s">
        <v>33</v>
      </c>
      <c r="C112" s="1965"/>
      <c r="D112" s="3741">
        <v>0</v>
      </c>
      <c r="E112" s="1411"/>
      <c r="F112" s="3741">
        <f t="shared" si="23"/>
        <v>32.6</v>
      </c>
      <c r="G112" s="1411"/>
      <c r="H112" s="1741"/>
      <c r="I112" s="1411"/>
      <c r="J112" s="1741"/>
      <c r="K112" s="1941"/>
      <c r="L112" s="1741"/>
      <c r="M112" s="1941"/>
      <c r="N112" s="1741"/>
      <c r="O112" s="1941"/>
      <c r="P112" s="1741"/>
      <c r="Q112" s="1941"/>
      <c r="R112" s="1741"/>
      <c r="S112" s="1941"/>
      <c r="T112" s="1741"/>
      <c r="U112" s="1941"/>
      <c r="V112" s="1741"/>
      <c r="W112" s="1941"/>
      <c r="X112" s="1741"/>
      <c r="Y112" s="1941"/>
      <c r="Z112" s="1741"/>
      <c r="AA112" s="1942"/>
      <c r="AB112" s="1945"/>
      <c r="AC112" s="1757">
        <v>32.6</v>
      </c>
      <c r="AD112" s="1984"/>
      <c r="AE112" s="1945" t="s">
        <v>14</v>
      </c>
      <c r="AF112" s="1757">
        <v>31.9</v>
      </c>
      <c r="AG112" s="1981"/>
      <c r="AH112" s="2412"/>
      <c r="AI112" s="1411">
        <f t="shared" si="22"/>
        <v>0.7</v>
      </c>
      <c r="AJ112" s="2413"/>
      <c r="AK112" s="1443">
        <f>ROUND(IF(AF112=0,1,AI112/ABS(AF112)),3)</f>
        <v>2.1999999999999999E-2</v>
      </c>
      <c r="AM112" s="2335"/>
      <c r="AO112" s="2335"/>
    </row>
    <row r="113" spans="1:41" ht="15" customHeight="1">
      <c r="A113" s="2367"/>
      <c r="B113" s="2385" t="s">
        <v>880</v>
      </c>
      <c r="C113" s="1965"/>
      <c r="D113" s="1985">
        <f>ROUND(SUM(D103:D112),1)</f>
        <v>3645.7</v>
      </c>
      <c r="E113" s="1429"/>
      <c r="F113" s="1985">
        <f>ROUND(SUM(F103:F112),1)</f>
        <v>6725.2</v>
      </c>
      <c r="G113" s="1429"/>
      <c r="H113" s="1985">
        <f>ROUND(SUM(H103:H112),1)</f>
        <v>0</v>
      </c>
      <c r="I113" s="1412"/>
      <c r="J113" s="1428">
        <f>ROUND(SUM(J103:J112),1)</f>
        <v>0</v>
      </c>
      <c r="K113" s="1412"/>
      <c r="L113" s="1985">
        <f>ROUND(SUM(L103:L112),1)</f>
        <v>0</v>
      </c>
      <c r="M113" s="1412"/>
      <c r="N113" s="1985">
        <f>ROUND(SUM(N103:N112),1)</f>
        <v>0</v>
      </c>
      <c r="O113" s="1412"/>
      <c r="P113" s="1428">
        <f>ROUND(SUM(P103:P112),1)</f>
        <v>0</v>
      </c>
      <c r="Q113" s="1412"/>
      <c r="R113" s="1985">
        <f>ROUND(SUM(R103:R112),1)</f>
        <v>0</v>
      </c>
      <c r="S113" s="1412"/>
      <c r="T113" s="1985">
        <f>ROUND(SUM(T103:T112),1)</f>
        <v>0</v>
      </c>
      <c r="U113" s="1412"/>
      <c r="V113" s="1985">
        <f>ROUND(SUM(V103:V112),1)</f>
        <v>0</v>
      </c>
      <c r="W113" s="1412"/>
      <c r="X113" s="1985">
        <f>ROUND(SUM(X103:X112),1)</f>
        <v>0</v>
      </c>
      <c r="Y113" s="1412"/>
      <c r="Z113" s="1985">
        <f>ROUND(SUM(Z103:Z112),1)</f>
        <v>0</v>
      </c>
      <c r="AA113" s="1996"/>
      <c r="AB113" s="1992"/>
      <c r="AC113" s="1428">
        <f>SUM(AC103:AC112)</f>
        <v>10370.900000000001</v>
      </c>
      <c r="AD113" s="1993"/>
      <c r="AE113" s="3048" t="s">
        <v>14</v>
      </c>
      <c r="AF113" s="1428">
        <f>ROUND(SUM(AF103:AF112),1)</f>
        <v>9081.6</v>
      </c>
      <c r="AG113" s="1412"/>
      <c r="AH113" s="2396"/>
      <c r="AI113" s="1985">
        <f>ROUND(SUM(+AC113-AF113),1)</f>
        <v>1289.3</v>
      </c>
      <c r="AJ113" s="1412"/>
      <c r="AK113" s="2414">
        <f>ROUND(SUM(AI113/AF113),3)</f>
        <v>0.14199999999999999</v>
      </c>
      <c r="AM113" s="2335"/>
      <c r="AO113" s="2335"/>
    </row>
    <row r="114" spans="1:41" ht="15" customHeight="1">
      <c r="A114" s="2367"/>
      <c r="B114" s="1987" t="s">
        <v>149</v>
      </c>
      <c r="C114" s="1965"/>
      <c r="D114" s="1411"/>
      <c r="E114" s="1411"/>
      <c r="F114" s="1411"/>
      <c r="G114" s="1411"/>
      <c r="H114" s="1411"/>
      <c r="I114" s="1411"/>
      <c r="J114" s="1943"/>
      <c r="K114" s="1949"/>
      <c r="L114" s="1949"/>
      <c r="M114" s="1949"/>
      <c r="N114" s="1949"/>
      <c r="O114" s="1949"/>
      <c r="P114" s="1938"/>
      <c r="Q114" s="1949"/>
      <c r="R114" s="1949"/>
      <c r="S114" s="1949"/>
      <c r="T114" s="1949"/>
      <c r="U114" s="1949"/>
      <c r="V114" s="1949"/>
      <c r="W114" s="1949"/>
      <c r="X114" s="1949"/>
      <c r="Y114" s="1949"/>
      <c r="Z114" s="1949"/>
      <c r="AA114" s="1431"/>
      <c r="AB114" s="1989"/>
      <c r="AC114" s="1943"/>
      <c r="AD114" s="1938"/>
      <c r="AE114" s="1940"/>
      <c r="AF114" s="1938"/>
      <c r="AG114" s="1949"/>
      <c r="AH114" s="2392"/>
      <c r="AI114" s="1411"/>
      <c r="AJ114" s="2393"/>
      <c r="AK114" s="1400"/>
      <c r="AM114" s="2335"/>
      <c r="AO114" s="2335"/>
    </row>
    <row r="115" spans="1:41" ht="15" customHeight="1">
      <c r="A115" s="2367"/>
      <c r="B115" s="1987" t="s">
        <v>150</v>
      </c>
      <c r="C115" s="1965"/>
      <c r="D115" s="3741">
        <v>740.5</v>
      </c>
      <c r="E115" s="1411"/>
      <c r="F115" s="3741">
        <f t="shared" ref="F115:F117" si="25">$AC115-D115</f>
        <v>695.2</v>
      </c>
      <c r="G115" s="1411"/>
      <c r="H115" s="1741"/>
      <c r="I115" s="1411"/>
      <c r="J115" s="1741"/>
      <c r="K115" s="1941"/>
      <c r="L115" s="1741"/>
      <c r="M115" s="1941"/>
      <c r="N115" s="1741"/>
      <c r="O115" s="1941"/>
      <c r="P115" s="1741"/>
      <c r="Q115" s="1941"/>
      <c r="R115" s="1741"/>
      <c r="S115" s="1941"/>
      <c r="T115" s="1741"/>
      <c r="U115" s="1941"/>
      <c r="V115" s="1741"/>
      <c r="W115" s="1941"/>
      <c r="X115" s="1741"/>
      <c r="Y115" s="1941"/>
      <c r="Z115" s="1741"/>
      <c r="AA115" s="1942"/>
      <c r="AB115" s="1945"/>
      <c r="AC115" s="1757">
        <v>1435.7</v>
      </c>
      <c r="AD115" s="1984"/>
      <c r="AE115" s="1945" t="s">
        <v>14</v>
      </c>
      <c r="AF115" s="1757">
        <v>1433</v>
      </c>
      <c r="AG115" s="1949"/>
      <c r="AH115" s="2392"/>
      <c r="AI115" s="1411">
        <f>ROUND(SUM(+AC115-AF115),1)</f>
        <v>2.7</v>
      </c>
      <c r="AJ115" s="2393"/>
      <c r="AK115" s="1406">
        <f>ROUND(IF(AF115=0,0,AI115/ABS(AF115)),3)</f>
        <v>2E-3</v>
      </c>
      <c r="AM115" s="2335"/>
      <c r="AO115" s="2335"/>
    </row>
    <row r="116" spans="1:41" ht="15" customHeight="1">
      <c r="A116" s="2367"/>
      <c r="B116" s="2415" t="s">
        <v>151</v>
      </c>
      <c r="C116" s="1965"/>
      <c r="D116" s="3741">
        <v>149</v>
      </c>
      <c r="E116" s="1411"/>
      <c r="F116" s="3741">
        <f t="shared" si="25"/>
        <v>224.7</v>
      </c>
      <c r="G116" s="1411"/>
      <c r="H116" s="1741"/>
      <c r="I116" s="1411"/>
      <c r="J116" s="1741"/>
      <c r="K116" s="1941"/>
      <c r="L116" s="1741"/>
      <c r="M116" s="1941"/>
      <c r="N116" s="1741"/>
      <c r="O116" s="1941"/>
      <c r="P116" s="1741"/>
      <c r="Q116" s="1941"/>
      <c r="R116" s="1741"/>
      <c r="S116" s="1941"/>
      <c r="T116" s="1741"/>
      <c r="U116" s="1941"/>
      <c r="V116" s="1741"/>
      <c r="W116" s="1941"/>
      <c r="X116" s="1741"/>
      <c r="Y116" s="1941"/>
      <c r="Z116" s="1741"/>
      <c r="AA116" s="1942"/>
      <c r="AB116" s="1945"/>
      <c r="AC116" s="1757">
        <v>373.7</v>
      </c>
      <c r="AD116" s="1984"/>
      <c r="AE116" s="1945" t="s">
        <v>14</v>
      </c>
      <c r="AF116" s="1757">
        <v>370.9</v>
      </c>
      <c r="AG116" s="1949"/>
      <c r="AH116" s="2392"/>
      <c r="AI116" s="1411">
        <f>ROUND(SUM(+AC116-AF116),1)</f>
        <v>2.8</v>
      </c>
      <c r="AJ116" s="2393"/>
      <c r="AK116" s="1406">
        <f>ROUND(IF(AF116=0,0,AI116/ABS(AF116)),3)</f>
        <v>8.0000000000000002E-3</v>
      </c>
      <c r="AM116" s="2335"/>
      <c r="AO116" s="2335"/>
    </row>
    <row r="117" spans="1:41" ht="15" customHeight="1">
      <c r="A117" s="2367"/>
      <c r="B117" s="2415" t="s">
        <v>152</v>
      </c>
      <c r="C117" s="1965"/>
      <c r="D117" s="3741">
        <v>779.7</v>
      </c>
      <c r="E117" s="2400"/>
      <c r="F117" s="3741">
        <f t="shared" si="25"/>
        <v>1999.8999999999999</v>
      </c>
      <c r="G117" s="2400"/>
      <c r="H117" s="1741"/>
      <c r="I117" s="1411"/>
      <c r="J117" s="1741"/>
      <c r="K117" s="1941"/>
      <c r="L117" s="1741"/>
      <c r="M117" s="1941"/>
      <c r="N117" s="1741"/>
      <c r="O117" s="1941"/>
      <c r="P117" s="1741"/>
      <c r="Q117" s="1941"/>
      <c r="R117" s="1741"/>
      <c r="S117" s="1941"/>
      <c r="T117" s="1741"/>
      <c r="U117" s="1941"/>
      <c r="V117" s="1741"/>
      <c r="W117" s="1941"/>
      <c r="X117" s="1741"/>
      <c r="Y117" s="1941"/>
      <c r="Z117" s="1741"/>
      <c r="AA117" s="1942"/>
      <c r="AB117" s="1945"/>
      <c r="AC117" s="1757">
        <v>2779.6</v>
      </c>
      <c r="AD117" s="1984"/>
      <c r="AE117" s="1945" t="s">
        <v>14</v>
      </c>
      <c r="AF117" s="1757">
        <v>3086.9</v>
      </c>
      <c r="AG117" s="1950"/>
      <c r="AH117" s="2392"/>
      <c r="AI117" s="2407">
        <f>ROUND(SUM(+AC117-AF117),1)</f>
        <v>-307.3</v>
      </c>
      <c r="AJ117" s="2393"/>
      <c r="AK117" s="1409">
        <f>ROUND(IF(AF117=0,0,AI117/ABS(AF117)),3)</f>
        <v>-0.1</v>
      </c>
      <c r="AM117" s="2335"/>
      <c r="AO117" s="2335"/>
    </row>
    <row r="118" spans="1:41" ht="7.5" customHeight="1">
      <c r="A118" s="2367"/>
      <c r="B118" s="1987"/>
      <c r="C118" s="1965"/>
      <c r="D118" s="2408"/>
      <c r="E118" s="1411"/>
      <c r="F118" s="2408"/>
      <c r="G118" s="1411"/>
      <c r="H118" s="2408"/>
      <c r="I118" s="1411"/>
      <c r="J118" s="2409"/>
      <c r="K118" s="1949"/>
      <c r="L118" s="1948"/>
      <c r="M118" s="1949"/>
      <c r="N118" s="1948"/>
      <c r="O118" s="1949"/>
      <c r="P118" s="1994"/>
      <c r="Q118" s="1949"/>
      <c r="R118" s="2089"/>
      <c r="S118" s="1949"/>
      <c r="T118" s="1948"/>
      <c r="U118" s="1949"/>
      <c r="V118" s="1948"/>
      <c r="W118" s="1949"/>
      <c r="X118" s="1948"/>
      <c r="Y118" s="1949"/>
      <c r="Z118" s="1948"/>
      <c r="AA118" s="1956"/>
      <c r="AB118" s="1989"/>
      <c r="AC118" s="3049"/>
      <c r="AD118" s="1938"/>
      <c r="AE118" s="1940"/>
      <c r="AF118" s="1994"/>
      <c r="AG118" s="1950"/>
      <c r="AH118" s="2392"/>
      <c r="AI118" s="1411"/>
      <c r="AJ118" s="2393"/>
      <c r="AK118" s="1400"/>
      <c r="AM118" s="2335"/>
      <c r="AO118" s="2335"/>
    </row>
    <row r="119" spans="1:41" ht="15" customHeight="1">
      <c r="A119" s="2367"/>
      <c r="B119" s="2343" t="s">
        <v>153</v>
      </c>
      <c r="C119" s="1965"/>
      <c r="D119" s="1429">
        <f>ROUND(SUM(D115:D117)+D113,1)</f>
        <v>5314.9</v>
      </c>
      <c r="E119" s="1429"/>
      <c r="F119" s="1429">
        <f>ROUND(SUM(F113:F117),1)</f>
        <v>9645</v>
      </c>
      <c r="G119" s="1429"/>
      <c r="H119" s="1429">
        <f>ROUND(SUM(H113:H117),1)</f>
        <v>0</v>
      </c>
      <c r="I119" s="1429"/>
      <c r="J119" s="1993">
        <f>ROUND(SUM(J113:J117),1)</f>
        <v>0</v>
      </c>
      <c r="K119" s="1429"/>
      <c r="L119" s="1429">
        <f>ROUND(SUM(L113:L117),1)</f>
        <v>0</v>
      </c>
      <c r="M119" s="1429"/>
      <c r="N119" s="1429">
        <f>ROUND(SUM(N113:N117),1)</f>
        <v>0</v>
      </c>
      <c r="O119" s="1429"/>
      <c r="P119" s="1993">
        <f>ROUND(SUM(P113:P117),1)</f>
        <v>0</v>
      </c>
      <c r="Q119" s="1429"/>
      <c r="R119" s="1429">
        <f>ROUND(SUM(R113:R117),1)</f>
        <v>0</v>
      </c>
      <c r="S119" s="1429"/>
      <c r="T119" s="1429">
        <f>ROUND(SUM(T113:T117),1)</f>
        <v>0</v>
      </c>
      <c r="U119" s="1429"/>
      <c r="V119" s="1429">
        <f>ROUND(SUM(V113:V117),1)</f>
        <v>0</v>
      </c>
      <c r="W119" s="1429"/>
      <c r="X119" s="1429">
        <f>ROUND(SUM(X113:X117),1)</f>
        <v>0</v>
      </c>
      <c r="Y119" s="1429"/>
      <c r="Z119" s="1429">
        <f>ROUND(SUM(Z113:Z117),1)</f>
        <v>0</v>
      </c>
      <c r="AA119" s="1996"/>
      <c r="AB119" s="1992"/>
      <c r="AC119" s="1993">
        <f>ROUND(SUM(AC113:AC117),1)</f>
        <v>14959.9</v>
      </c>
      <c r="AD119" s="1993"/>
      <c r="AE119" s="3048"/>
      <c r="AF119" s="1993">
        <f>ROUND(SUM(AF113:AF117),1)</f>
        <v>13972.4</v>
      </c>
      <c r="AG119" s="1412"/>
      <c r="AH119" s="2396"/>
      <c r="AI119" s="1517">
        <f>ROUND(SUM(AI113:AI117),1)</f>
        <v>987.5</v>
      </c>
      <c r="AJ119" s="1412"/>
      <c r="AK119" s="2416">
        <f>ROUND(SUM(AI119/AF119),3)</f>
        <v>7.0999999999999994E-2</v>
      </c>
      <c r="AM119" s="2335"/>
      <c r="AO119" s="2335"/>
    </row>
    <row r="120" spans="1:41" ht="15" customHeight="1">
      <c r="A120" s="2367"/>
      <c r="B120" s="1987"/>
      <c r="C120" s="1965"/>
      <c r="D120" s="2408"/>
      <c r="E120" s="1411"/>
      <c r="F120" s="2408"/>
      <c r="G120" s="1411"/>
      <c r="H120" s="2408"/>
      <c r="I120" s="1411"/>
      <c r="J120" s="2409"/>
      <c r="K120" s="1949"/>
      <c r="L120" s="1948"/>
      <c r="M120" s="1949"/>
      <c r="N120" s="1948"/>
      <c r="O120" s="1949"/>
      <c r="P120" s="1994"/>
      <c r="Q120" s="1949"/>
      <c r="R120" s="1948"/>
      <c r="S120" s="1949"/>
      <c r="T120" s="1948"/>
      <c r="U120" s="1949"/>
      <c r="V120" s="1948"/>
      <c r="W120" s="1949"/>
      <c r="X120" s="1948"/>
      <c r="Y120" s="1949"/>
      <c r="Z120" s="1948"/>
      <c r="AA120" s="1956"/>
      <c r="AB120" s="1989"/>
      <c r="AC120" s="3049"/>
      <c r="AD120" s="1938"/>
      <c r="AE120" s="1940"/>
      <c r="AF120" s="1994"/>
      <c r="AG120" s="1950"/>
      <c r="AH120" s="2392"/>
      <c r="AI120" s="1411"/>
      <c r="AJ120" s="2393"/>
      <c r="AK120" s="1400"/>
      <c r="AM120" s="2335"/>
      <c r="AO120" s="2335"/>
    </row>
    <row r="121" spans="1:41" ht="15" customHeight="1">
      <c r="A121" s="2367"/>
      <c r="B121" s="2343" t="s">
        <v>154</v>
      </c>
      <c r="C121" s="1965"/>
      <c r="D121" s="1411"/>
      <c r="E121" s="1411"/>
      <c r="F121" s="1411"/>
      <c r="G121" s="1411"/>
      <c r="H121" s="1411"/>
      <c r="I121" s="1411"/>
      <c r="J121" s="1943"/>
      <c r="K121" s="1949"/>
      <c r="L121" s="1949"/>
      <c r="M121" s="1949"/>
      <c r="N121" s="1949"/>
      <c r="O121" s="1949"/>
      <c r="P121" s="1938"/>
      <c r="Q121" s="1949"/>
      <c r="R121" s="1949"/>
      <c r="S121" s="1949"/>
      <c r="T121" s="1949"/>
      <c r="U121" s="1949"/>
      <c r="V121" s="1949"/>
      <c r="W121" s="1949"/>
      <c r="X121" s="1949"/>
      <c r="Y121" s="1949"/>
      <c r="Z121" s="1949"/>
      <c r="AA121" s="1431"/>
      <c r="AB121" s="1989"/>
      <c r="AC121" s="1943"/>
      <c r="AD121" s="1938"/>
      <c r="AE121" s="1940"/>
      <c r="AF121" s="1938"/>
      <c r="AG121" s="1949"/>
      <c r="AH121" s="2392"/>
      <c r="AI121" s="1411"/>
      <c r="AJ121" s="2393"/>
      <c r="AK121" s="1400"/>
      <c r="AM121" s="2335"/>
      <c r="AO121" s="2335"/>
    </row>
    <row r="122" spans="1:41" ht="15" customHeight="1">
      <c r="A122" s="2367"/>
      <c r="B122" s="2343" t="s">
        <v>44</v>
      </c>
      <c r="C122" s="1965"/>
      <c r="D122" s="1429">
        <f>ROUND(SUM(D99-D119),1)</f>
        <v>3902.8</v>
      </c>
      <c r="E122" s="1429"/>
      <c r="F122" s="1429">
        <f>ROUND(SUM(F99-F119),1)</f>
        <v>-7569</v>
      </c>
      <c r="G122" s="1429"/>
      <c r="H122" s="1429">
        <f>ROUND(SUM(H99-H119),1)</f>
        <v>0</v>
      </c>
      <c r="I122" s="1429"/>
      <c r="J122" s="1993">
        <f>ROUND(SUM(J99-J119),1)</f>
        <v>0</v>
      </c>
      <c r="K122" s="1429"/>
      <c r="L122" s="1429">
        <f>ROUND(SUM(L99-L119),1)</f>
        <v>0</v>
      </c>
      <c r="M122" s="1429"/>
      <c r="N122" s="1429">
        <f>ROUND(SUM(N99-N119),1)</f>
        <v>0</v>
      </c>
      <c r="O122" s="1429"/>
      <c r="P122" s="1993">
        <f>ROUND(SUM(P99-P119),1)</f>
        <v>0</v>
      </c>
      <c r="Q122" s="1429"/>
      <c r="R122" s="1429">
        <f>ROUND(SUM(R99-R119),1)</f>
        <v>0</v>
      </c>
      <c r="S122" s="1429"/>
      <c r="T122" s="1429">
        <f>ROUND(SUM(T99-T119),1)</f>
        <v>0</v>
      </c>
      <c r="U122" s="1429"/>
      <c r="V122" s="1429">
        <f>ROUND(SUM(V99-V119),1)</f>
        <v>0</v>
      </c>
      <c r="W122" s="1429"/>
      <c r="X122" s="1429">
        <f>ROUND(SUM(X99-X119),1)</f>
        <v>0</v>
      </c>
      <c r="Y122" s="1429"/>
      <c r="Z122" s="1429">
        <f>ROUND(SUM(Z99-Z119),1)</f>
        <v>0</v>
      </c>
      <c r="AA122" s="1996"/>
      <c r="AB122" s="1992"/>
      <c r="AC122" s="1993">
        <f>ROUND(SUM(AC99-AC119),1)</f>
        <v>-3666.2</v>
      </c>
      <c r="AD122" s="1993"/>
      <c r="AE122" s="3048"/>
      <c r="AF122" s="1993">
        <f>ROUND(SUM(AF99-AF119),1)</f>
        <v>-3713.3</v>
      </c>
      <c r="AG122" s="1429"/>
      <c r="AH122" s="2396"/>
      <c r="AI122" s="1995">
        <f>ROUND(SUM(+AC122-AF122),1)</f>
        <v>47.1</v>
      </c>
      <c r="AJ122" s="1412"/>
      <c r="AK122" s="2422">
        <f>-ROUND(AI122/AF122,3)</f>
        <v>1.2999999999999999E-2</v>
      </c>
      <c r="AM122" s="2335"/>
      <c r="AO122" s="2335"/>
    </row>
    <row r="123" spans="1:41" ht="15" customHeight="1">
      <c r="A123" s="2367"/>
      <c r="B123" s="1987"/>
      <c r="C123" s="1965"/>
      <c r="D123" s="2408"/>
      <c r="E123" s="1411"/>
      <c r="F123" s="2408"/>
      <c r="G123" s="1411"/>
      <c r="H123" s="2408"/>
      <c r="I123" s="1411"/>
      <c r="J123" s="2409"/>
      <c r="K123" s="1949"/>
      <c r="L123" s="1948"/>
      <c r="M123" s="1949"/>
      <c r="N123" s="1948"/>
      <c r="O123" s="1949"/>
      <c r="P123" s="1994"/>
      <c r="Q123" s="1949"/>
      <c r="R123" s="1948"/>
      <c r="S123" s="1949"/>
      <c r="T123" s="1948"/>
      <c r="U123" s="1949"/>
      <c r="V123" s="1948"/>
      <c r="W123" s="1949"/>
      <c r="X123" s="1948"/>
      <c r="Y123" s="1949"/>
      <c r="Z123" s="1948"/>
      <c r="AA123" s="1956"/>
      <c r="AB123" s="1989"/>
      <c r="AC123" s="3049"/>
      <c r="AD123" s="1938"/>
      <c r="AE123" s="1940"/>
      <c r="AF123" s="1994"/>
      <c r="AG123" s="1948"/>
      <c r="AH123" s="2392"/>
      <c r="AI123" s="1411"/>
      <c r="AJ123" s="2393"/>
      <c r="AK123" s="1400"/>
      <c r="AM123" s="2335"/>
      <c r="AO123" s="2335"/>
    </row>
    <row r="124" spans="1:41" ht="15" customHeight="1">
      <c r="A124" s="2367"/>
      <c r="B124" s="2343" t="s">
        <v>45</v>
      </c>
      <c r="C124" s="1965"/>
      <c r="D124" s="1411"/>
      <c r="E124" s="1411"/>
      <c r="F124" s="1411"/>
      <c r="G124" s="1411"/>
      <c r="H124" s="1411"/>
      <c r="I124" s="1411"/>
      <c r="J124" s="1943"/>
      <c r="K124" s="1949"/>
      <c r="L124" s="1949"/>
      <c r="M124" s="1949"/>
      <c r="N124" s="1949"/>
      <c r="O124" s="1949"/>
      <c r="P124" s="1938"/>
      <c r="Q124" s="1949"/>
      <c r="R124" s="1949"/>
      <c r="S124" s="1949"/>
      <c r="T124" s="1949"/>
      <c r="U124" s="1949"/>
      <c r="V124" s="1949"/>
      <c r="W124" s="1949"/>
      <c r="X124" s="1949"/>
      <c r="Y124" s="1949"/>
      <c r="Z124" s="1949"/>
      <c r="AA124" s="1431"/>
      <c r="AB124" s="1989"/>
      <c r="AC124" s="1943"/>
      <c r="AD124" s="1938"/>
      <c r="AE124" s="1940"/>
      <c r="AF124" s="1938"/>
      <c r="AG124" s="1949"/>
      <c r="AH124" s="2392"/>
      <c r="AI124" s="1411"/>
      <c r="AJ124" s="2393"/>
      <c r="AK124" s="1400"/>
      <c r="AM124" s="2335"/>
      <c r="AO124" s="2335"/>
    </row>
    <row r="125" spans="1:41" ht="15" customHeight="1">
      <c r="A125" s="2367"/>
      <c r="B125" s="2343"/>
      <c r="C125" s="1965"/>
      <c r="D125" s="1411"/>
      <c r="E125" s="1411"/>
      <c r="F125" s="1411"/>
      <c r="G125" s="1411"/>
      <c r="H125" s="1411"/>
      <c r="I125" s="1411"/>
      <c r="J125" s="1943"/>
      <c r="K125" s="1949"/>
      <c r="L125" s="1949"/>
      <c r="M125" s="1949"/>
      <c r="N125" s="1949"/>
      <c r="O125" s="1949"/>
      <c r="P125" s="1938"/>
      <c r="Q125" s="1949"/>
      <c r="R125" s="1949"/>
      <c r="S125" s="1949"/>
      <c r="T125" s="1949"/>
      <c r="U125" s="1949"/>
      <c r="V125" s="1949"/>
      <c r="W125" s="1949"/>
      <c r="X125" s="1949"/>
      <c r="Y125" s="1949"/>
      <c r="Z125" s="1949"/>
      <c r="AA125" s="1431"/>
      <c r="AB125" s="1989"/>
      <c r="AC125" s="1943"/>
      <c r="AD125" s="1938"/>
      <c r="AE125" s="1940"/>
      <c r="AF125" s="1938"/>
      <c r="AG125" s="1949"/>
      <c r="AH125" s="2392"/>
      <c r="AI125" s="1411"/>
      <c r="AJ125" s="2393"/>
      <c r="AK125" s="1400"/>
      <c r="AM125" s="2335"/>
      <c r="AO125" s="2335"/>
    </row>
    <row r="126" spans="1:41" ht="15" customHeight="1">
      <c r="A126" s="2367"/>
      <c r="B126" s="2417" t="s">
        <v>891</v>
      </c>
      <c r="C126" s="2124"/>
      <c r="D126" s="3741">
        <v>7451.6</v>
      </c>
      <c r="E126" s="1943"/>
      <c r="F126" s="3741">
        <f t="shared" ref="F126:F133" si="26">$AC126-D126</f>
        <v>1303.6999999999989</v>
      </c>
      <c r="G126" s="1943"/>
      <c r="H126" s="1741"/>
      <c r="I126" s="1943"/>
      <c r="J126" s="1741"/>
      <c r="K126" s="1941"/>
      <c r="L126" s="1741"/>
      <c r="M126" s="1941"/>
      <c r="N126" s="1741"/>
      <c r="O126" s="1941"/>
      <c r="P126" s="1741"/>
      <c r="Q126" s="1941"/>
      <c r="R126" s="1741"/>
      <c r="S126" s="1941"/>
      <c r="T126" s="1741"/>
      <c r="U126" s="1941"/>
      <c r="V126" s="1741"/>
      <c r="W126" s="1941"/>
      <c r="X126" s="1741"/>
      <c r="Y126" s="1941"/>
      <c r="Z126" s="1741"/>
      <c r="AA126" s="1942"/>
      <c r="AB126" s="1945"/>
      <c r="AC126" s="1757">
        <v>8755.2999999999993</v>
      </c>
      <c r="AD126" s="1984"/>
      <c r="AE126" s="1945" t="s">
        <v>14</v>
      </c>
      <c r="AF126" s="1757">
        <v>8179.6</v>
      </c>
      <c r="AG126" s="1938"/>
      <c r="AH126" s="2392"/>
      <c r="AI126" s="1411">
        <f>ROUND(SUM(+AC126-AF126),1)</f>
        <v>575.70000000000005</v>
      </c>
      <c r="AJ126" s="2393"/>
      <c r="AK126" s="1406">
        <f t="shared" ref="AK126:AK130" si="27">ROUND(IF(AF126=0,0,AI126/ABS(AF126)),3)</f>
        <v>7.0000000000000007E-2</v>
      </c>
      <c r="AM126" s="2335"/>
      <c r="AO126" s="2335"/>
    </row>
    <row r="127" spans="1:41" s="2335" customFormat="1" ht="15" customHeight="1">
      <c r="A127" s="2380"/>
      <c r="B127" s="2417" t="s">
        <v>911</v>
      </c>
      <c r="C127" s="2124"/>
      <c r="D127" s="3741">
        <v>814.7</v>
      </c>
      <c r="E127" s="1943"/>
      <c r="F127" s="3741">
        <f t="shared" si="26"/>
        <v>856.59999999999991</v>
      </c>
      <c r="G127" s="1943"/>
      <c r="H127" s="1741"/>
      <c r="I127" s="1943"/>
      <c r="J127" s="1741"/>
      <c r="K127" s="1941"/>
      <c r="L127" s="1741"/>
      <c r="M127" s="1941"/>
      <c r="N127" s="1741"/>
      <c r="O127" s="1941"/>
      <c r="P127" s="1741"/>
      <c r="Q127" s="1941"/>
      <c r="R127" s="1741"/>
      <c r="S127" s="1941"/>
      <c r="T127" s="1741"/>
      <c r="U127" s="1941"/>
      <c r="V127" s="1741"/>
      <c r="W127" s="1941"/>
      <c r="X127" s="1741"/>
      <c r="Y127" s="1941"/>
      <c r="Z127" s="1741"/>
      <c r="AA127" s="1942"/>
      <c r="AB127" s="1945"/>
      <c r="AC127" s="1757">
        <v>1671.3</v>
      </c>
      <c r="AD127" s="1984"/>
      <c r="AE127" s="1945" t="s">
        <v>14</v>
      </c>
      <c r="AF127" s="1757">
        <v>1560.1</v>
      </c>
      <c r="AG127" s="1938"/>
      <c r="AH127" s="2418"/>
      <c r="AI127" s="1943">
        <f>ROUND(SUM(+AC127-AF127),1)</f>
        <v>111.2</v>
      </c>
      <c r="AJ127" s="1984"/>
      <c r="AK127" s="1677">
        <f t="shared" si="27"/>
        <v>7.0999999999999994E-2</v>
      </c>
      <c r="AL127" s="2333"/>
    </row>
    <row r="128" spans="1:41" s="2335" customFormat="1" ht="15" customHeight="1">
      <c r="A128" s="2380"/>
      <c r="B128" s="2417" t="s">
        <v>892</v>
      </c>
      <c r="C128" s="2124"/>
      <c r="D128" s="3741">
        <v>142.4</v>
      </c>
      <c r="E128" s="1943"/>
      <c r="F128" s="3741">
        <f t="shared" si="26"/>
        <v>129.99999999999997</v>
      </c>
      <c r="G128" s="1943"/>
      <c r="H128" s="1741"/>
      <c r="I128" s="1943"/>
      <c r="J128" s="1741"/>
      <c r="K128" s="1941"/>
      <c r="L128" s="1741"/>
      <c r="M128" s="1941"/>
      <c r="N128" s="1741"/>
      <c r="O128" s="1941"/>
      <c r="P128" s="1741"/>
      <c r="Q128" s="1941"/>
      <c r="R128" s="1741"/>
      <c r="S128" s="1941"/>
      <c r="T128" s="1741"/>
      <c r="U128" s="1941"/>
      <c r="V128" s="1741"/>
      <c r="W128" s="1941"/>
      <c r="X128" s="1741"/>
      <c r="Y128" s="1941"/>
      <c r="Z128" s="1741"/>
      <c r="AA128" s="1942"/>
      <c r="AB128" s="1945"/>
      <c r="AC128" s="1757">
        <v>272.39999999999998</v>
      </c>
      <c r="AD128" s="1984"/>
      <c r="AE128" s="1945" t="s">
        <v>14</v>
      </c>
      <c r="AF128" s="1757">
        <v>196.8</v>
      </c>
      <c r="AG128" s="1938"/>
      <c r="AH128" s="2418"/>
      <c r="AI128" s="1943">
        <f>ROUND(SUM(+AC128-AF128),1)</f>
        <v>75.599999999999994</v>
      </c>
      <c r="AJ128" s="1984"/>
      <c r="AK128" s="1677">
        <f t="shared" si="27"/>
        <v>0.38400000000000001</v>
      </c>
      <c r="AL128" s="2333"/>
    </row>
    <row r="129" spans="1:41" s="2335" customFormat="1" ht="15" customHeight="1">
      <c r="A129" s="2380"/>
      <c r="B129" s="2419" t="s">
        <v>156</v>
      </c>
      <c r="C129" s="2124"/>
      <c r="D129" s="3741">
        <v>250.00000000000031</v>
      </c>
      <c r="E129" s="1943"/>
      <c r="F129" s="3741">
        <f t="shared" si="26"/>
        <v>116.00000000000048</v>
      </c>
      <c r="G129" s="1943"/>
      <c r="H129" s="1741"/>
      <c r="I129" s="1943"/>
      <c r="J129" s="1741"/>
      <c r="K129" s="1941"/>
      <c r="L129" s="1741"/>
      <c r="M129" s="1941"/>
      <c r="N129" s="1741"/>
      <c r="O129" s="1941"/>
      <c r="P129" s="1741"/>
      <c r="Q129" s="1941"/>
      <c r="R129" s="1741"/>
      <c r="S129" s="1941"/>
      <c r="T129" s="1741"/>
      <c r="U129" s="1941"/>
      <c r="V129" s="1741"/>
      <c r="W129" s="1941"/>
      <c r="X129" s="1741"/>
      <c r="Y129" s="1941"/>
      <c r="Z129" s="1741"/>
      <c r="AA129" s="1942"/>
      <c r="AB129" s="1945"/>
      <c r="AC129" s="1757">
        <v>366.0000000000008</v>
      </c>
      <c r="AD129" s="1984"/>
      <c r="AE129" s="1945" t="s">
        <v>14</v>
      </c>
      <c r="AF129" s="1757">
        <v>202.79999999999899</v>
      </c>
      <c r="AG129" s="1938"/>
      <c r="AH129" s="2418"/>
      <c r="AI129" s="1943">
        <f>ROUND(SUM(+AC129-AF129),1)</f>
        <v>163.19999999999999</v>
      </c>
      <c r="AJ129" s="1984"/>
      <c r="AK129" s="1682">
        <f t="shared" si="27"/>
        <v>0.80500000000000005</v>
      </c>
      <c r="AL129" s="2333"/>
    </row>
    <row r="130" spans="1:41" ht="15" customHeight="1">
      <c r="A130" s="2367" t="s">
        <v>14</v>
      </c>
      <c r="B130" s="1987" t="s">
        <v>157</v>
      </c>
      <c r="C130" s="1965"/>
      <c r="D130" s="3741">
        <v>611.69999999999993</v>
      </c>
      <c r="E130" s="1411"/>
      <c r="F130" s="3741">
        <f t="shared" si="26"/>
        <v>224.20000000000005</v>
      </c>
      <c r="G130" s="1411"/>
      <c r="H130" s="1741"/>
      <c r="I130" s="1411"/>
      <c r="J130" s="1741"/>
      <c r="K130" s="1941"/>
      <c r="L130" s="1741"/>
      <c r="M130" s="1941"/>
      <c r="N130" s="1741"/>
      <c r="O130" s="1941"/>
      <c r="P130" s="1741"/>
      <c r="Q130" s="1941"/>
      <c r="R130" s="1741"/>
      <c r="S130" s="1941"/>
      <c r="T130" s="1741"/>
      <c r="U130" s="1941"/>
      <c r="V130" s="1741"/>
      <c r="W130" s="1941"/>
      <c r="X130" s="1741"/>
      <c r="Y130" s="1941"/>
      <c r="Z130" s="1741"/>
      <c r="AA130" s="1942"/>
      <c r="AB130" s="1945"/>
      <c r="AC130" s="1757">
        <v>835.9</v>
      </c>
      <c r="AD130" s="1984"/>
      <c r="AE130" s="1945" t="s">
        <v>14</v>
      </c>
      <c r="AF130" s="1757">
        <v>-827.1</v>
      </c>
      <c r="AG130" s="1949"/>
      <c r="AH130" s="2392"/>
      <c r="AI130" s="1411">
        <f>ROUND(SUM(+AC130-AF130)*-1,1)</f>
        <v>-1663</v>
      </c>
      <c r="AJ130" s="2393"/>
      <c r="AK130" s="1443">
        <f t="shared" si="27"/>
        <v>-2.0110000000000001</v>
      </c>
      <c r="AM130" s="2335"/>
      <c r="AO130" s="2335"/>
    </row>
    <row r="131" spans="1:41" s="2335" customFormat="1" ht="15" customHeight="1">
      <c r="A131" s="2380"/>
      <c r="B131" s="2420" t="s">
        <v>1121</v>
      </c>
      <c r="C131" s="2124"/>
      <c r="D131" s="3741">
        <v>0</v>
      </c>
      <c r="E131" s="1943"/>
      <c r="F131" s="3741">
        <f t="shared" si="26"/>
        <v>-48.1</v>
      </c>
      <c r="G131" s="1943"/>
      <c r="H131" s="1741"/>
      <c r="I131" s="1943"/>
      <c r="J131" s="1741"/>
      <c r="K131" s="1941"/>
      <c r="L131" s="1741"/>
      <c r="M131" s="1941"/>
      <c r="N131" s="1741"/>
      <c r="O131" s="1941"/>
      <c r="P131" s="1741"/>
      <c r="Q131" s="1941"/>
      <c r="R131" s="1741"/>
      <c r="S131" s="1941"/>
      <c r="T131" s="1741"/>
      <c r="U131" s="1941"/>
      <c r="V131" s="1741"/>
      <c r="W131" s="1941"/>
      <c r="X131" s="1741"/>
      <c r="Y131" s="1941"/>
      <c r="Z131" s="1741"/>
      <c r="AA131" s="1942"/>
      <c r="AB131" s="1945"/>
      <c r="AC131" s="1757">
        <v>-48.1</v>
      </c>
      <c r="AD131" s="1984"/>
      <c r="AE131" s="1945" t="s">
        <v>14</v>
      </c>
      <c r="AF131" s="1757">
        <v>0</v>
      </c>
      <c r="AG131" s="1938"/>
      <c r="AH131" s="2418"/>
      <c r="AI131" s="1943">
        <f>ROUND(SUM(+AC131-AF131)*-1,1)</f>
        <v>48.1</v>
      </c>
      <c r="AJ131" s="1984"/>
      <c r="AK131" s="1406">
        <f>ROUND(IF(AF131=0,1,AI131/ABS(AF131)),3)</f>
        <v>1</v>
      </c>
      <c r="AL131" s="2333"/>
    </row>
    <row r="132" spans="1:41" s="2335" customFormat="1" ht="15" customHeight="1">
      <c r="A132" s="2380"/>
      <c r="B132" s="2381" t="s">
        <v>158</v>
      </c>
      <c r="C132" s="2124"/>
      <c r="D132" s="3741">
        <v>-112.4</v>
      </c>
      <c r="E132" s="1411"/>
      <c r="F132" s="3741">
        <f t="shared" si="26"/>
        <v>0</v>
      </c>
      <c r="G132" s="1411"/>
      <c r="H132" s="1741"/>
      <c r="I132" s="1411"/>
      <c r="J132" s="1741"/>
      <c r="K132" s="1941"/>
      <c r="L132" s="1741"/>
      <c r="M132" s="1941"/>
      <c r="N132" s="1741"/>
      <c r="O132" s="1941"/>
      <c r="P132" s="1741"/>
      <c r="Q132" s="1941"/>
      <c r="R132" s="1741"/>
      <c r="S132" s="1941"/>
      <c r="T132" s="1741"/>
      <c r="U132" s="1941"/>
      <c r="V132" s="1741"/>
      <c r="W132" s="1941"/>
      <c r="X132" s="1741"/>
      <c r="Y132" s="1941"/>
      <c r="Z132" s="1741"/>
      <c r="AA132" s="1942"/>
      <c r="AB132" s="1945"/>
      <c r="AC132" s="1757">
        <v>-112.4</v>
      </c>
      <c r="AD132" s="1984"/>
      <c r="AE132" s="1945" t="s">
        <v>14</v>
      </c>
      <c r="AF132" s="1757">
        <v>-141.30000000000001</v>
      </c>
      <c r="AG132" s="1938"/>
      <c r="AH132" s="2418"/>
      <c r="AI132" s="1943">
        <f>ROUND(SUM(+AC132-AF132)*-1,1)</f>
        <v>-28.9</v>
      </c>
      <c r="AJ132" s="1984"/>
      <c r="AK132" s="1677">
        <f>ROUND(IF(AF132=0,0,AI132/ABS(AF132)),3)</f>
        <v>-0.20499999999999999</v>
      </c>
      <c r="AL132" s="2333"/>
    </row>
    <row r="133" spans="1:41" s="2335" customFormat="1" ht="15" customHeight="1">
      <c r="A133" s="2380"/>
      <c r="B133" s="2381" t="s">
        <v>159</v>
      </c>
      <c r="C133" s="2124"/>
      <c r="D133" s="3741">
        <v>-420.09999999999997</v>
      </c>
      <c r="E133" s="1943"/>
      <c r="F133" s="3741">
        <f t="shared" si="26"/>
        <v>-395.49999999999994</v>
      </c>
      <c r="G133" s="1943"/>
      <c r="H133" s="1741"/>
      <c r="I133" s="1943"/>
      <c r="J133" s="1741"/>
      <c r="K133" s="1941"/>
      <c r="L133" s="1741"/>
      <c r="M133" s="1941"/>
      <c r="N133" s="1741"/>
      <c r="O133" s="1941"/>
      <c r="P133" s="1741"/>
      <c r="Q133" s="1941"/>
      <c r="R133" s="1741"/>
      <c r="S133" s="1941"/>
      <c r="T133" s="1741"/>
      <c r="U133" s="1941"/>
      <c r="V133" s="1741"/>
      <c r="W133" s="1941"/>
      <c r="X133" s="1741"/>
      <c r="Y133" s="1941"/>
      <c r="Z133" s="1741"/>
      <c r="AA133" s="1942"/>
      <c r="AB133" s="1945"/>
      <c r="AC133" s="1757">
        <v>-815.59999999999991</v>
      </c>
      <c r="AD133" s="1984"/>
      <c r="AE133" s="1945" t="s">
        <v>14</v>
      </c>
      <c r="AF133" s="1757">
        <v>-261.89999999999992</v>
      </c>
      <c r="AG133" s="1920"/>
      <c r="AH133" s="2418"/>
      <c r="AI133" s="2421">
        <f>ROUND(SUM(+AC133-AF133)*-1,1)</f>
        <v>553.70000000000005</v>
      </c>
      <c r="AJ133" s="1984"/>
      <c r="AK133" s="1764">
        <f>ROUND(IF(AF133=0,0,AI133/ABS(AF133)),3)</f>
        <v>2.1139999999999999</v>
      </c>
      <c r="AL133" s="2333"/>
    </row>
    <row r="134" spans="1:41" ht="5.0999999999999996" customHeight="1">
      <c r="A134" s="2367"/>
      <c r="B134" s="2381"/>
      <c r="C134" s="2124"/>
      <c r="D134" s="1994"/>
      <c r="E134" s="1938"/>
      <c r="F134" s="1994"/>
      <c r="G134" s="1938"/>
      <c r="H134" s="1994" t="s">
        <v>14</v>
      </c>
      <c r="I134" s="1938"/>
      <c r="J134" s="1994"/>
      <c r="K134" s="1938"/>
      <c r="L134" s="1994"/>
      <c r="M134" s="1938"/>
      <c r="N134" s="1994"/>
      <c r="O134" s="1938"/>
      <c r="P134" s="1994"/>
      <c r="Q134" s="1938"/>
      <c r="R134" s="1994"/>
      <c r="S134" s="1938"/>
      <c r="T134" s="1994"/>
      <c r="U134" s="1938"/>
      <c r="V134" s="1994"/>
      <c r="W134" s="1938"/>
      <c r="X134" s="1994"/>
      <c r="Y134" s="1938"/>
      <c r="Z134" s="1994"/>
      <c r="AA134" s="1961"/>
      <c r="AB134" s="1990"/>
      <c r="AC134" s="3049"/>
      <c r="AD134" s="1938"/>
      <c r="AE134" s="1940"/>
      <c r="AF134" s="1994"/>
      <c r="AG134" s="1920"/>
      <c r="AH134" s="2392"/>
      <c r="AI134" s="1411"/>
      <c r="AJ134" s="2393"/>
      <c r="AK134" s="1400"/>
      <c r="AM134" s="2335"/>
      <c r="AO134" s="2335"/>
    </row>
    <row r="135" spans="1:41" ht="15" customHeight="1">
      <c r="A135" s="2367"/>
      <c r="B135" s="2343" t="s">
        <v>160</v>
      </c>
      <c r="C135" s="1965"/>
      <c r="D135" s="1949"/>
      <c r="E135" s="1949"/>
      <c r="F135" s="1949"/>
      <c r="G135" s="1949"/>
      <c r="H135" s="1949"/>
      <c r="I135" s="1949"/>
      <c r="J135" s="1938"/>
      <c r="K135" s="1949"/>
      <c r="L135" s="1949"/>
      <c r="M135" s="1949"/>
      <c r="N135" s="1949"/>
      <c r="O135" s="1949"/>
      <c r="P135" s="1938"/>
      <c r="Q135" s="1949"/>
      <c r="R135" s="1949"/>
      <c r="S135" s="1949"/>
      <c r="T135" s="1949"/>
      <c r="U135" s="1949"/>
      <c r="V135" s="1949"/>
      <c r="W135" s="1949"/>
      <c r="X135" s="1949"/>
      <c r="Y135" s="1431"/>
      <c r="Z135" s="1431"/>
      <c r="AA135" s="1431"/>
      <c r="AB135" s="1989"/>
      <c r="AC135" s="1943"/>
      <c r="AD135" s="1938"/>
      <c r="AE135" s="1940"/>
      <c r="AF135" s="1938"/>
      <c r="AG135" s="1949"/>
      <c r="AH135" s="2392"/>
      <c r="AI135" s="1411"/>
      <c r="AJ135" s="2393"/>
      <c r="AK135" s="1400"/>
      <c r="AM135" s="2335"/>
      <c r="AO135" s="2335"/>
    </row>
    <row r="136" spans="1:41" ht="15" customHeight="1">
      <c r="A136" s="2367"/>
      <c r="B136" s="2343" t="s">
        <v>161</v>
      </c>
      <c r="C136" s="1965"/>
      <c r="D136" s="1429">
        <f>ROUND(SUM(D126:D134),1)</f>
        <v>8737.9</v>
      </c>
      <c r="E136" s="1429"/>
      <c r="F136" s="1429">
        <f>ROUND(SUM(F126:F134),1)</f>
        <v>2186.9</v>
      </c>
      <c r="G136" s="1429"/>
      <c r="H136" s="1429">
        <f>ROUND(SUM(H126:H134),1)</f>
        <v>0</v>
      </c>
      <c r="I136" s="1429"/>
      <c r="J136" s="1993">
        <f>ROUND(SUM(J126:J133),1)</f>
        <v>0</v>
      </c>
      <c r="K136" s="1429"/>
      <c r="L136" s="1429">
        <f>ROUND(SUM(L126:L133),1)</f>
        <v>0</v>
      </c>
      <c r="M136" s="1429"/>
      <c r="N136" s="1429">
        <f>ROUND(SUM(N126:N133),1)</f>
        <v>0</v>
      </c>
      <c r="O136" s="1429"/>
      <c r="P136" s="1993">
        <f>ROUND(SUM(P126:P133),1)</f>
        <v>0</v>
      </c>
      <c r="Q136" s="1429"/>
      <c r="R136" s="1429">
        <f>ROUND(SUM(R126:R133),1)</f>
        <v>0</v>
      </c>
      <c r="S136" s="1429"/>
      <c r="T136" s="1429">
        <f>ROUND(SUM(T126:T133),1)</f>
        <v>0</v>
      </c>
      <c r="U136" s="1429"/>
      <c r="V136" s="1429">
        <f>ROUND(SUM(V126:V133),1)</f>
        <v>0</v>
      </c>
      <c r="W136" s="1429"/>
      <c r="X136" s="1429">
        <f>ROUND(SUM(X126:X133),1)</f>
        <v>0</v>
      </c>
      <c r="Y136" s="1953"/>
      <c r="Z136" s="1429">
        <f>ROUND(SUM(Z126:Z133),1)</f>
        <v>0</v>
      </c>
      <c r="AA136" s="1996"/>
      <c r="AB136" s="1992"/>
      <c r="AC136" s="1993">
        <f>ROUND(SUM(AC126:AC133),1)</f>
        <v>10924.8</v>
      </c>
      <c r="AD136" s="1993"/>
      <c r="AE136" s="3048"/>
      <c r="AF136" s="1993">
        <f>ROUND(SUM(AF126:AF133),1)</f>
        <v>8909</v>
      </c>
      <c r="AG136" s="1412"/>
      <c r="AH136" s="2396"/>
      <c r="AI136" s="1995">
        <f>ROUND(SUM(+AC136-AF136),1)</f>
        <v>2015.8</v>
      </c>
      <c r="AJ136" s="1412"/>
      <c r="AK136" s="2422">
        <f>ROUND(SUM(+AI136/AF136),3)</f>
        <v>0.22600000000000001</v>
      </c>
      <c r="AM136" s="2335"/>
      <c r="AO136" s="2335"/>
    </row>
    <row r="137" spans="1:41" ht="15" customHeight="1">
      <c r="A137" s="2367"/>
      <c r="B137" s="1987"/>
      <c r="C137" s="1965"/>
      <c r="D137" s="1948"/>
      <c r="E137" s="1949"/>
      <c r="F137" s="1948"/>
      <c r="G137" s="1949"/>
      <c r="H137" s="1948"/>
      <c r="I137" s="1949"/>
      <c r="J137" s="1994"/>
      <c r="K137" s="1949"/>
      <c r="L137" s="1948"/>
      <c r="M137" s="1949"/>
      <c r="N137" s="1948"/>
      <c r="O137" s="1949"/>
      <c r="P137" s="1994"/>
      <c r="Q137" s="1949"/>
      <c r="R137" s="1948"/>
      <c r="S137" s="1949"/>
      <c r="T137" s="1948"/>
      <c r="U137" s="1949"/>
      <c r="V137" s="1948"/>
      <c r="W137" s="1949"/>
      <c r="X137" s="1948"/>
      <c r="Y137" s="1431"/>
      <c r="Z137" s="1435"/>
      <c r="AA137" s="1956"/>
      <c r="AB137" s="1989"/>
      <c r="AC137" s="3049"/>
      <c r="AD137" s="1938"/>
      <c r="AE137" s="1940"/>
      <c r="AF137" s="1994"/>
      <c r="AG137" s="1950"/>
      <c r="AH137" s="2392"/>
      <c r="AI137" s="2423"/>
      <c r="AJ137" s="2424"/>
      <c r="AK137" s="1417"/>
      <c r="AM137" s="2335"/>
      <c r="AO137" s="2335"/>
    </row>
    <row r="138" spans="1:41" ht="15" customHeight="1">
      <c r="A138" s="2367"/>
      <c r="B138" s="2343" t="s">
        <v>162</v>
      </c>
      <c r="C138" s="1965"/>
      <c r="D138" s="1949"/>
      <c r="E138" s="1949"/>
      <c r="F138" s="1949"/>
      <c r="G138" s="1949"/>
      <c r="H138" s="1949"/>
      <c r="I138" s="1949"/>
      <c r="J138" s="1938"/>
      <c r="K138" s="1949"/>
      <c r="L138" s="1949"/>
      <c r="M138" s="1949"/>
      <c r="N138" s="1949"/>
      <c r="O138" s="1949"/>
      <c r="P138" s="1938"/>
      <c r="Q138" s="1949"/>
      <c r="R138" s="1949"/>
      <c r="S138" s="1949"/>
      <c r="T138" s="1949"/>
      <c r="U138" s="1949"/>
      <c r="V138" s="1949"/>
      <c r="W138" s="1949"/>
      <c r="X138" s="1949"/>
      <c r="Y138" s="1431"/>
      <c r="Z138" s="1431"/>
      <c r="AA138" s="1431"/>
      <c r="AB138" s="1989"/>
      <c r="AC138" s="1943"/>
      <c r="AD138" s="1938"/>
      <c r="AE138" s="1940"/>
      <c r="AF138" s="1938"/>
      <c r="AG138" s="1949"/>
      <c r="AH138" s="2392"/>
      <c r="AI138" s="2423"/>
      <c r="AJ138" s="2424"/>
      <c r="AK138" s="1417"/>
      <c r="AL138" s="2333" t="s">
        <v>14</v>
      </c>
      <c r="AM138" s="2335"/>
      <c r="AO138" s="2335"/>
    </row>
    <row r="139" spans="1:41" ht="15" customHeight="1">
      <c r="A139" s="2367"/>
      <c r="B139" s="2343" t="s">
        <v>163</v>
      </c>
      <c r="C139" s="1965"/>
      <c r="D139" s="1949"/>
      <c r="E139" s="1949"/>
      <c r="F139" s="1949"/>
      <c r="G139" s="1949"/>
      <c r="H139" s="1949"/>
      <c r="I139" s="1949"/>
      <c r="J139" s="1938"/>
      <c r="K139" s="1949"/>
      <c r="L139" s="1949"/>
      <c r="M139" s="1949"/>
      <c r="N139" s="1949"/>
      <c r="O139" s="1949"/>
      <c r="P139" s="1938"/>
      <c r="Q139" s="1949"/>
      <c r="R139" s="1949"/>
      <c r="S139" s="1949"/>
      <c r="T139" s="1949"/>
      <c r="U139" s="1949"/>
      <c r="V139" s="1949"/>
      <c r="W139" s="1949"/>
      <c r="X139" s="1949"/>
      <c r="Y139" s="1431"/>
      <c r="Z139" s="1431"/>
      <c r="AA139" s="1431"/>
      <c r="AB139" s="1989"/>
      <c r="AC139" s="1943"/>
      <c r="AD139" s="1938"/>
      <c r="AE139" s="1940"/>
      <c r="AF139" s="1938"/>
      <c r="AG139" s="1949"/>
      <c r="AH139" s="2392"/>
      <c r="AI139" s="2423"/>
      <c r="AJ139" s="2424"/>
      <c r="AK139" s="1417"/>
      <c r="AM139" s="2335"/>
      <c r="AO139" s="2335"/>
    </row>
    <row r="140" spans="1:41" ht="15" customHeight="1">
      <c r="A140" s="2367"/>
      <c r="B140" s="2343" t="s">
        <v>164</v>
      </c>
      <c r="C140" s="1965"/>
      <c r="D140" s="1429">
        <f>ROUND(SUM(D122+D136),1)</f>
        <v>12640.7</v>
      </c>
      <c r="E140" s="1429"/>
      <c r="F140" s="1429">
        <f>ROUND(SUM(F122+F136),1)</f>
        <v>-5382.1</v>
      </c>
      <c r="G140" s="1429"/>
      <c r="H140" s="1429">
        <f>ROUND(SUM(H122+H136),1)</f>
        <v>0</v>
      </c>
      <c r="I140" s="1429"/>
      <c r="J140" s="1993">
        <f>ROUND(SUM(J122+J136),1)</f>
        <v>0</v>
      </c>
      <c r="K140" s="1429"/>
      <c r="L140" s="1429">
        <f>ROUND(SUM(L122+L136),1)</f>
        <v>0</v>
      </c>
      <c r="M140" s="1429"/>
      <c r="N140" s="1429">
        <f>ROUND(SUM(N122+N136),1)</f>
        <v>0</v>
      </c>
      <c r="O140" s="1429"/>
      <c r="P140" s="1993">
        <f>ROUND(SUM(P122+P136),1)</f>
        <v>0</v>
      </c>
      <c r="Q140" s="1429"/>
      <c r="R140" s="1429">
        <f>ROUND(SUM(R122+R136),1)</f>
        <v>0</v>
      </c>
      <c r="S140" s="1949"/>
      <c r="T140" s="1429">
        <f>ROUND(SUM(T122+T136),1)</f>
        <v>0</v>
      </c>
      <c r="U140" s="1949"/>
      <c r="V140" s="1429">
        <f>ROUND(SUM(V122+V136),1)</f>
        <v>0</v>
      </c>
      <c r="W140" s="1949"/>
      <c r="X140" s="1429">
        <f>ROUND(SUM(X122+X136),1)</f>
        <v>0</v>
      </c>
      <c r="Y140" s="1431"/>
      <c r="Z140" s="1995">
        <f>ROUND(SUM(Z122+Z136),1)</f>
        <v>0</v>
      </c>
      <c r="AA140" s="1956"/>
      <c r="AB140" s="1989"/>
      <c r="AC140" s="1993">
        <f>ROUND(SUM(AC122+AC136),1)</f>
        <v>7258.6</v>
      </c>
      <c r="AD140" s="1993"/>
      <c r="AE140" s="3048"/>
      <c r="AF140" s="1993">
        <f>ROUND(SUM(AF122+AF136),1)</f>
        <v>5195.7</v>
      </c>
      <c r="AG140" s="1412"/>
      <c r="AH140" s="2396"/>
      <c r="AI140" s="1995">
        <f>ROUND(SUM(+AC140-AF140),1)</f>
        <v>2062.9</v>
      </c>
      <c r="AJ140" s="2425"/>
      <c r="AK140" s="2426">
        <f>ROUND(SUM(AI140/ABS(AF140)),3)</f>
        <v>0.39700000000000002</v>
      </c>
      <c r="AM140" s="2335"/>
      <c r="AO140" s="2335"/>
    </row>
    <row r="141" spans="1:41" ht="9" customHeight="1">
      <c r="A141" s="2367"/>
      <c r="B141" s="1987"/>
      <c r="C141" s="1965"/>
      <c r="D141" s="1435"/>
      <c r="E141" s="1987"/>
      <c r="F141" s="2365"/>
      <c r="G141" s="1987"/>
      <c r="H141" s="2364"/>
      <c r="I141" s="1987"/>
      <c r="J141" s="1994"/>
      <c r="K141" s="1987"/>
      <c r="L141" s="2364"/>
      <c r="M141" s="1987"/>
      <c r="N141" s="2364"/>
      <c r="O141" s="1987"/>
      <c r="P141" s="2946"/>
      <c r="Q141" s="1987"/>
      <c r="R141" s="2364"/>
      <c r="S141" s="1987"/>
      <c r="T141" s="2364"/>
      <c r="U141" s="1987"/>
      <c r="V141" s="2364"/>
      <c r="W141" s="1987"/>
      <c r="X141" s="2364"/>
      <c r="Y141" s="1987"/>
      <c r="Z141" s="1964"/>
      <c r="AA141" s="1964"/>
      <c r="AB141" s="1989"/>
      <c r="AC141" s="3049"/>
      <c r="AD141" s="1938"/>
      <c r="AE141" s="1940"/>
      <c r="AF141" s="1994"/>
      <c r="AG141" s="1950"/>
      <c r="AH141" s="2392"/>
      <c r="AI141" s="2408"/>
      <c r="AJ141" s="2424"/>
      <c r="AK141" s="2427"/>
      <c r="AM141" s="2335"/>
      <c r="AO141" s="2335"/>
    </row>
    <row r="142" spans="1:41" ht="15" customHeight="1" thickBot="1">
      <c r="A142" s="2367"/>
      <c r="B142" s="2378" t="s">
        <v>139</v>
      </c>
      <c r="C142" s="2124"/>
      <c r="D142" s="2428">
        <f>ROUND(SUM(D12+D140),1)</f>
        <v>45693.4</v>
      </c>
      <c r="E142" s="2429"/>
      <c r="F142" s="2428">
        <f>ROUND(SUM(F12+F140),1)</f>
        <v>40311.300000000003</v>
      </c>
      <c r="G142" s="2373"/>
      <c r="H142" s="2428">
        <f>ROUND(SUM(H12+H140),1)</f>
        <v>0</v>
      </c>
      <c r="I142" s="2373"/>
      <c r="J142" s="2428">
        <f>ROUND(SUM(J12+J140),1)</f>
        <v>0</v>
      </c>
      <c r="K142" s="2373"/>
      <c r="L142" s="2428">
        <f>ROUND(SUM(L12+L140),1)</f>
        <v>0</v>
      </c>
      <c r="M142" s="2373"/>
      <c r="N142" s="2428">
        <f>ROUND(SUM(N12+N140),1)</f>
        <v>0</v>
      </c>
      <c r="O142" s="2373"/>
      <c r="P142" s="2428">
        <f>ROUND(SUM(P12+P140),1)</f>
        <v>0</v>
      </c>
      <c r="Q142" s="2373"/>
      <c r="R142" s="2428">
        <f>ROUND(SUM(R12+R140),1)</f>
        <v>0</v>
      </c>
      <c r="S142" s="2373"/>
      <c r="T142" s="2428">
        <f>ROUND(SUM(T12+T140),1)</f>
        <v>0</v>
      </c>
      <c r="U142" s="2373"/>
      <c r="V142" s="2428">
        <f>ROUND(SUM(V12+V140),1)</f>
        <v>0</v>
      </c>
      <c r="W142" s="2373"/>
      <c r="X142" s="2428">
        <f>ROUND(SUM(X12+X140),1)</f>
        <v>0</v>
      </c>
      <c r="Y142" s="2373"/>
      <c r="Z142" s="2428">
        <f>ROUND(SUM(Z12+Z140),1)</f>
        <v>0</v>
      </c>
      <c r="AA142" s="2429"/>
      <c r="AB142" s="2430"/>
      <c r="AC142" s="2128">
        <f>ROUND(SUM(AC12+AC140),1)</f>
        <v>40311.300000000003</v>
      </c>
      <c r="AD142" s="1993"/>
      <c r="AE142" s="3048"/>
      <c r="AF142" s="2428">
        <f>ROUND(SUM(AF12+AF140),1)</f>
        <v>14356.5</v>
      </c>
      <c r="AG142" s="2431"/>
      <c r="AH142" s="2374"/>
      <c r="AI142" s="2432">
        <f>ROUND(SUM(+AC142-AF142),1)</f>
        <v>25954.799999999999</v>
      </c>
      <c r="AJ142" s="2425"/>
      <c r="AK142" s="2433">
        <f>ROUND(SUM(+AI142/AF142),3)</f>
        <v>1.8080000000000001</v>
      </c>
      <c r="AM142" s="2335"/>
      <c r="AO142" s="2335"/>
    </row>
    <row r="143" spans="1:41" ht="15" customHeight="1" thickTop="1">
      <c r="A143" s="2367"/>
      <c r="B143" s="1987"/>
      <c r="C143" s="1965"/>
      <c r="D143" s="1964"/>
      <c r="E143" s="2434"/>
      <c r="F143" s="2435"/>
      <c r="G143" s="2434"/>
      <c r="H143" s="1964"/>
      <c r="I143" s="2434"/>
      <c r="J143" s="1920"/>
      <c r="K143" s="2434"/>
      <c r="L143" s="1964"/>
      <c r="M143" s="2434"/>
      <c r="N143" s="1964"/>
      <c r="O143" s="2434"/>
      <c r="P143" s="2123"/>
      <c r="Q143" s="2434"/>
      <c r="R143" s="1964"/>
      <c r="S143" s="2434"/>
      <c r="T143" s="1964"/>
      <c r="U143" s="2434"/>
      <c r="V143" s="1964"/>
      <c r="W143" s="2434"/>
      <c r="X143" s="1964"/>
      <c r="Y143" s="2434"/>
      <c r="Z143" s="1964"/>
      <c r="AA143" s="1964"/>
      <c r="AB143" s="2434"/>
      <c r="AC143" s="1920"/>
      <c r="AD143" s="1920"/>
      <c r="AE143" s="1920"/>
      <c r="AF143" s="1920"/>
      <c r="AG143" s="1950"/>
      <c r="AH143" s="2436"/>
      <c r="AI143" s="2423"/>
      <c r="AJ143" s="2424"/>
      <c r="AK143" s="1417"/>
      <c r="AO143" s="2335"/>
    </row>
    <row r="144" spans="1:41" ht="15" customHeight="1">
      <c r="A144" s="2367"/>
      <c r="B144" s="1987" t="s">
        <v>14</v>
      </c>
      <c r="C144" s="1965"/>
      <c r="D144" s="1964"/>
      <c r="E144" s="1987"/>
      <c r="F144" s="2435"/>
      <c r="G144" s="1987"/>
      <c r="H144" s="1964"/>
      <c r="I144" s="1987"/>
      <c r="J144" s="1920"/>
      <c r="K144" s="1987"/>
      <c r="L144" s="1964"/>
      <c r="M144" s="1987"/>
      <c r="N144" s="1964"/>
      <c r="O144" s="1987"/>
      <c r="P144" s="2123"/>
      <c r="Q144" s="1987"/>
      <c r="R144" s="1964"/>
      <c r="S144" s="1987"/>
      <c r="T144" s="1964"/>
      <c r="U144" s="1987"/>
      <c r="V144" s="1964"/>
      <c r="W144" s="1987"/>
      <c r="X144" s="1964"/>
      <c r="Y144" s="1987"/>
      <c r="Z144" s="1964"/>
      <c r="AA144" s="1964"/>
      <c r="AB144" s="1987"/>
      <c r="AC144" s="1757" t="s">
        <v>14</v>
      </c>
      <c r="AD144" s="1938"/>
      <c r="AE144" s="1943" t="s">
        <v>1444</v>
      </c>
      <c r="AF144" s="1984" t="s">
        <v>14</v>
      </c>
      <c r="AG144" s="1950"/>
      <c r="AH144" s="2437"/>
      <c r="AI144" s="2423"/>
      <c r="AJ144" s="2424"/>
      <c r="AK144" s="1417"/>
    </row>
    <row r="145" spans="1:37" ht="15" customHeight="1">
      <c r="A145" s="2367"/>
      <c r="B145" s="1987"/>
      <c r="C145" s="1965"/>
      <c r="D145" s="1964"/>
      <c r="E145" s="1987"/>
      <c r="F145" s="2435"/>
      <c r="G145" s="1987"/>
      <c r="H145" s="1964"/>
      <c r="I145" s="1987"/>
      <c r="J145" s="1920"/>
      <c r="K145" s="1987"/>
      <c r="L145" s="1964"/>
      <c r="M145" s="1987"/>
      <c r="N145" s="1964"/>
      <c r="O145" s="1987"/>
      <c r="P145" s="2123"/>
      <c r="Q145" s="1987"/>
      <c r="R145" s="1964"/>
      <c r="S145" s="1987"/>
      <c r="T145" s="1964"/>
      <c r="U145" s="1987"/>
      <c r="V145" s="1964"/>
      <c r="W145" s="1987"/>
      <c r="X145" s="1964"/>
      <c r="Y145" s="1987"/>
      <c r="Z145" s="1964"/>
      <c r="AA145" s="1964"/>
      <c r="AB145" s="1987"/>
      <c r="AC145" s="1757" t="s">
        <v>14</v>
      </c>
      <c r="AD145" s="1938"/>
      <c r="AE145" s="1938"/>
      <c r="AF145" s="1984" t="s">
        <v>14</v>
      </c>
      <c r="AG145" s="1950"/>
      <c r="AH145" s="2437"/>
      <c r="AI145" s="2423"/>
      <c r="AJ145" s="2424"/>
      <c r="AK145" s="1417"/>
    </row>
    <row r="146" spans="1:37" ht="15" customHeight="1">
      <c r="A146" s="2338"/>
      <c r="B146" s="2438"/>
      <c r="C146" s="2439"/>
      <c r="D146" s="2439"/>
      <c r="E146" s="2440"/>
      <c r="F146" s="2440"/>
      <c r="G146" s="2440"/>
      <c r="H146" s="1965"/>
      <c r="I146" s="1965"/>
      <c r="J146" s="1938"/>
      <c r="K146" s="1965"/>
      <c r="L146" s="1965"/>
      <c r="M146" s="1965"/>
      <c r="N146" s="1965"/>
      <c r="O146" s="1965"/>
      <c r="P146" s="2124"/>
      <c r="Q146" s="1965"/>
      <c r="R146" s="1965"/>
      <c r="S146" s="1965"/>
      <c r="T146" s="1965"/>
      <c r="U146" s="1965"/>
      <c r="V146" s="1965"/>
      <c r="W146" s="1965"/>
      <c r="X146" s="1965"/>
      <c r="Y146" s="1965"/>
      <c r="Z146" s="1965"/>
      <c r="AA146" s="1965"/>
      <c r="AB146" s="1965"/>
      <c r="AC146" s="1757" t="s">
        <v>1151</v>
      </c>
      <c r="AD146" s="1938"/>
      <c r="AE146" s="1938"/>
      <c r="AF146" s="1943" t="s">
        <v>14</v>
      </c>
      <c r="AG146" s="1949"/>
      <c r="AH146" s="2441"/>
      <c r="AI146" s="1411"/>
      <c r="AJ146" s="2393"/>
      <c r="AK146" s="1400"/>
    </row>
    <row r="147" spans="1:37" ht="14.1" customHeight="1">
      <c r="A147" s="2338"/>
      <c r="B147" s="2438"/>
      <c r="C147" s="2439"/>
      <c r="D147" s="2439"/>
      <c r="E147" s="2440"/>
      <c r="F147" s="2440"/>
      <c r="G147" s="2440"/>
      <c r="H147" s="1965"/>
      <c r="I147" s="1965"/>
      <c r="J147" s="1938"/>
      <c r="K147" s="1965"/>
      <c r="L147" s="1965"/>
      <c r="M147" s="1965"/>
      <c r="N147" s="1965"/>
      <c r="O147" s="1965"/>
      <c r="P147" s="2124"/>
      <c r="Q147" s="1965"/>
      <c r="R147" s="1965"/>
      <c r="S147" s="1965"/>
      <c r="T147" s="1965"/>
      <c r="U147" s="1965"/>
      <c r="V147" s="1965"/>
      <c r="W147" s="1965"/>
      <c r="X147" s="1965"/>
      <c r="Y147" s="1965"/>
      <c r="Z147" s="1965"/>
      <c r="AA147" s="1965"/>
      <c r="AB147" s="1965"/>
      <c r="AC147" s="1757" t="s">
        <v>14</v>
      </c>
      <c r="AD147" s="1938"/>
      <c r="AE147" s="1938"/>
      <c r="AF147" s="1943" t="s">
        <v>14</v>
      </c>
      <c r="AG147" s="1949"/>
      <c r="AH147" s="2441"/>
      <c r="AI147" s="1411"/>
      <c r="AJ147" s="2393"/>
      <c r="AK147" s="1400"/>
    </row>
    <row r="148" spans="1:37" ht="15" customHeight="1">
      <c r="A148" s="2338"/>
      <c r="B148" s="2438"/>
      <c r="C148" s="2439"/>
      <c r="D148" s="2439"/>
      <c r="E148" s="2440"/>
      <c r="F148" s="2440"/>
      <c r="G148" s="2440"/>
      <c r="H148" s="1965"/>
      <c r="I148" s="1965"/>
      <c r="J148" s="1938"/>
      <c r="K148" s="1965"/>
      <c r="L148" s="1965"/>
      <c r="M148" s="1965"/>
      <c r="N148" s="1965"/>
      <c r="O148" s="1965"/>
      <c r="P148" s="2124"/>
      <c r="Q148" s="1965"/>
      <c r="R148" s="1965"/>
      <c r="S148" s="1965"/>
      <c r="T148" s="1965"/>
      <c r="U148" s="1965"/>
      <c r="V148" s="1965"/>
      <c r="W148" s="1965"/>
      <c r="X148" s="1965"/>
      <c r="Y148" s="1965"/>
      <c r="Z148" s="1965"/>
      <c r="AA148" s="1965"/>
      <c r="AB148" s="1965"/>
      <c r="AC148" s="1757" t="s">
        <v>14</v>
      </c>
      <c r="AD148" s="1938"/>
      <c r="AE148" s="1938"/>
      <c r="AF148" s="1943" t="s">
        <v>113</v>
      </c>
      <c r="AG148" s="1949"/>
      <c r="AH148" s="2441"/>
      <c r="AI148" s="1411"/>
      <c r="AJ148" s="2393"/>
      <c r="AK148" s="1400"/>
    </row>
    <row r="149" spans="1:37" ht="15.75" customHeight="1">
      <c r="A149" s="2338"/>
      <c r="B149" s="2438"/>
      <c r="C149" s="2439"/>
      <c r="D149" s="2439"/>
      <c r="E149" s="2440"/>
      <c r="F149" s="2440"/>
      <c r="G149" s="2440"/>
      <c r="H149" s="1965"/>
      <c r="I149" s="1965"/>
      <c r="J149" s="1938"/>
      <c r="K149" s="1965"/>
      <c r="L149" s="1965"/>
      <c r="M149" s="1965"/>
      <c r="N149" s="1965"/>
      <c r="O149" s="1965"/>
      <c r="P149" s="2124"/>
      <c r="Q149" s="1965"/>
      <c r="R149" s="1965"/>
      <c r="S149" s="1965"/>
      <c r="T149" s="1965"/>
      <c r="U149" s="1965"/>
      <c r="V149" s="1965"/>
      <c r="W149" s="1965"/>
      <c r="X149" s="1965"/>
      <c r="Y149" s="1965"/>
      <c r="Z149" s="1965"/>
      <c r="AA149" s="1965"/>
      <c r="AB149" s="1965"/>
      <c r="AC149" s="1757" t="s">
        <v>14</v>
      </c>
      <c r="AD149" s="1938"/>
      <c r="AE149" s="1938"/>
      <c r="AF149" s="1943" t="s">
        <v>14</v>
      </c>
      <c r="AG149" s="1949"/>
      <c r="AH149" s="2441"/>
      <c r="AI149" s="1411"/>
      <c r="AJ149" s="2393"/>
      <c r="AK149" s="1400"/>
    </row>
    <row r="150" spans="1:37" ht="14.25" customHeight="1">
      <c r="A150" s="2338"/>
      <c r="B150" s="2438"/>
      <c r="C150" s="2439"/>
      <c r="D150" s="2439"/>
      <c r="E150" s="2440"/>
      <c r="F150" s="2440"/>
      <c r="G150" s="2440"/>
      <c r="H150" s="1965"/>
      <c r="I150" s="1965"/>
      <c r="J150" s="1938"/>
      <c r="K150" s="1965"/>
      <c r="L150" s="1965"/>
      <c r="M150" s="1965"/>
      <c r="N150" s="1965"/>
      <c r="O150" s="1965"/>
      <c r="P150" s="2124"/>
      <c r="Q150" s="1965"/>
      <c r="R150" s="1965"/>
      <c r="S150" s="1965"/>
      <c r="T150" s="1965"/>
      <c r="U150" s="1965"/>
      <c r="V150" s="1965"/>
      <c r="W150" s="1965"/>
      <c r="X150" s="1965"/>
      <c r="Y150" s="1965"/>
      <c r="Z150" s="1965"/>
      <c r="AA150" s="1965"/>
      <c r="AB150" s="1965"/>
      <c r="AC150" s="1938"/>
      <c r="AD150" s="1938"/>
      <c r="AE150" s="1938"/>
      <c r="AF150" s="1938"/>
      <c r="AG150" s="1949"/>
      <c r="AH150" s="2441"/>
      <c r="AI150" s="1411"/>
      <c r="AJ150" s="2393"/>
      <c r="AK150" s="1400"/>
    </row>
    <row r="151" spans="1:37" ht="14.25" customHeight="1">
      <c r="A151" s="2338"/>
      <c r="B151" s="2438"/>
      <c r="C151" s="2439"/>
      <c r="D151" s="2439"/>
      <c r="E151" s="2440"/>
      <c r="F151" s="2440"/>
      <c r="G151" s="2440"/>
      <c r="H151" s="1965"/>
      <c r="I151" s="1965"/>
      <c r="J151" s="1938"/>
      <c r="K151" s="1965"/>
      <c r="L151" s="1965"/>
      <c r="M151" s="1965"/>
      <c r="N151" s="1965"/>
      <c r="O151" s="1965"/>
      <c r="P151" s="2124"/>
      <c r="Q151" s="1965"/>
      <c r="R151" s="1965"/>
      <c r="S151" s="1965"/>
      <c r="T151" s="1965"/>
      <c r="U151" s="1965"/>
      <c r="V151" s="1965"/>
      <c r="W151" s="1965"/>
      <c r="X151" s="1965"/>
      <c r="Y151" s="1965"/>
      <c r="Z151" s="1965"/>
      <c r="AA151" s="1965"/>
      <c r="AB151" s="1965"/>
      <c r="AC151" s="1938"/>
      <c r="AD151" s="1938"/>
      <c r="AE151" s="1938"/>
      <c r="AF151" s="1938"/>
      <c r="AG151" s="1949"/>
      <c r="AH151" s="2441"/>
      <c r="AI151" s="1411"/>
      <c r="AJ151" s="2393"/>
      <c r="AK151" s="1400"/>
    </row>
    <row r="152" spans="1:37" ht="14.25" customHeight="1">
      <c r="A152" s="2338"/>
      <c r="B152" s="2438"/>
      <c r="C152" s="2439"/>
      <c r="D152" s="2439"/>
      <c r="E152" s="2440"/>
      <c r="F152" s="2440"/>
      <c r="G152" s="2440"/>
      <c r="H152" s="1965"/>
      <c r="I152" s="1965"/>
      <c r="J152" s="1938"/>
      <c r="K152" s="1965"/>
      <c r="L152" s="1965"/>
      <c r="M152" s="1965"/>
      <c r="N152" s="1965"/>
      <c r="O152" s="1965"/>
      <c r="P152" s="2124"/>
      <c r="Q152" s="1965"/>
      <c r="R152" s="1965"/>
      <c r="S152" s="1965"/>
      <c r="T152" s="1965"/>
      <c r="U152" s="1965"/>
      <c r="V152" s="1965"/>
      <c r="W152" s="1965"/>
      <c r="X152" s="1965"/>
      <c r="Y152" s="1965"/>
      <c r="Z152" s="1965"/>
      <c r="AA152" s="1965"/>
      <c r="AB152" s="1965"/>
      <c r="AC152" s="1938"/>
      <c r="AD152" s="1938"/>
      <c r="AE152" s="1938"/>
      <c r="AF152" s="1938"/>
      <c r="AG152" s="1949"/>
      <c r="AH152" s="2441"/>
      <c r="AI152" s="1411"/>
      <c r="AJ152" s="2393"/>
      <c r="AK152" s="1400"/>
    </row>
    <row r="153" spans="1:37" ht="14.25" customHeight="1">
      <c r="A153" s="2338"/>
      <c r="B153" s="2438"/>
      <c r="C153" s="2439"/>
      <c r="D153" s="2439"/>
      <c r="E153" s="2440"/>
      <c r="F153" s="2440"/>
      <c r="G153" s="2440"/>
      <c r="H153" s="1965"/>
      <c r="I153" s="1965"/>
      <c r="J153" s="1938"/>
      <c r="K153" s="1965"/>
      <c r="L153" s="1965"/>
      <c r="M153" s="1965"/>
      <c r="N153" s="1965"/>
      <c r="O153" s="1965"/>
      <c r="P153" s="2124"/>
      <c r="Q153" s="1965"/>
      <c r="R153" s="1965"/>
      <c r="S153" s="1965"/>
      <c r="T153" s="1965"/>
      <c r="U153" s="1965"/>
      <c r="V153" s="1965"/>
      <c r="W153" s="1965"/>
      <c r="X153" s="1965"/>
      <c r="Y153" s="1965"/>
      <c r="Z153" s="1965"/>
      <c r="AA153" s="1965"/>
      <c r="AB153" s="1965"/>
      <c r="AC153" s="1938"/>
      <c r="AD153" s="1938"/>
      <c r="AE153" s="1938"/>
      <c r="AF153" s="1938"/>
      <c r="AG153" s="1949"/>
      <c r="AH153" s="2441"/>
      <c r="AI153" s="1411"/>
      <c r="AJ153" s="2393"/>
      <c r="AK153" s="1400"/>
    </row>
    <row r="154" spans="1:37" ht="14.25" customHeight="1">
      <c r="A154" s="2338"/>
      <c r="B154" s="2438"/>
      <c r="C154" s="2439"/>
      <c r="D154" s="2439"/>
      <c r="E154" s="2440"/>
      <c r="F154" s="2440"/>
      <c r="G154" s="2440"/>
      <c r="H154" s="1965"/>
      <c r="I154" s="1965"/>
      <c r="J154" s="1938"/>
      <c r="K154" s="1965"/>
      <c r="L154" s="1965"/>
      <c r="M154" s="1965"/>
      <c r="N154" s="1965"/>
      <c r="O154" s="1965"/>
      <c r="P154" s="2124"/>
      <c r="Q154" s="1965"/>
      <c r="R154" s="1965"/>
      <c r="S154" s="1965"/>
      <c r="T154" s="1965"/>
      <c r="U154" s="1965"/>
      <c r="V154" s="1965"/>
      <c r="W154" s="1965"/>
      <c r="X154" s="1965"/>
      <c r="Y154" s="1965"/>
      <c r="Z154" s="1965"/>
      <c r="AA154" s="1965"/>
      <c r="AB154" s="1965"/>
      <c r="AC154" s="1938"/>
      <c r="AD154" s="1938"/>
      <c r="AE154" s="1938"/>
      <c r="AF154" s="1938"/>
      <c r="AG154" s="1949"/>
      <c r="AH154" s="2441"/>
      <c r="AI154" s="1411"/>
      <c r="AJ154" s="2393"/>
      <c r="AK154" s="1400"/>
    </row>
    <row r="155" spans="1:37" ht="14.25" customHeight="1">
      <c r="A155" s="2338"/>
      <c r="B155" s="2438"/>
      <c r="C155" s="2439"/>
      <c r="D155" s="2439"/>
      <c r="E155" s="2440"/>
      <c r="F155" s="2440"/>
      <c r="G155" s="2440"/>
      <c r="H155" s="1965"/>
      <c r="I155" s="1965"/>
      <c r="J155" s="1938"/>
      <c r="K155" s="1965"/>
      <c r="L155" s="1965"/>
      <c r="M155" s="1965"/>
      <c r="N155" s="1965"/>
      <c r="O155" s="1965"/>
      <c r="P155" s="2124"/>
      <c r="Q155" s="1965"/>
      <c r="R155" s="1965"/>
      <c r="S155" s="1965"/>
      <c r="T155" s="1965"/>
      <c r="U155" s="1965"/>
      <c r="V155" s="1965"/>
      <c r="W155" s="1965"/>
      <c r="X155" s="1965"/>
      <c r="Y155" s="1965"/>
      <c r="Z155" s="1965"/>
      <c r="AA155" s="1965"/>
      <c r="AB155" s="1965"/>
      <c r="AC155" s="1938"/>
      <c r="AD155" s="1938"/>
      <c r="AE155" s="1938"/>
      <c r="AF155" s="1938"/>
      <c r="AG155" s="1949"/>
      <c r="AH155" s="2441"/>
      <c r="AI155" s="1411"/>
      <c r="AJ155" s="2393"/>
      <c r="AK155" s="1400"/>
    </row>
    <row r="156" spans="1:37" ht="14.25" customHeight="1">
      <c r="A156" s="2338"/>
      <c r="B156" s="2438"/>
      <c r="C156" s="2439"/>
      <c r="D156" s="2439"/>
      <c r="E156" s="2440"/>
      <c r="F156" s="2440"/>
      <c r="G156" s="2440"/>
      <c r="H156" s="1965"/>
      <c r="I156" s="1965"/>
      <c r="J156" s="1938"/>
      <c r="K156" s="1965"/>
      <c r="L156" s="1965"/>
      <c r="M156" s="1965"/>
      <c r="N156" s="1965"/>
      <c r="O156" s="1965"/>
      <c r="P156" s="2124"/>
      <c r="Q156" s="1965"/>
      <c r="R156" s="1965"/>
      <c r="S156" s="1965"/>
      <c r="T156" s="1965"/>
      <c r="U156" s="1965"/>
      <c r="V156" s="1965"/>
      <c r="W156" s="1965"/>
      <c r="X156" s="1965"/>
      <c r="Y156" s="1965"/>
      <c r="Z156" s="1965"/>
      <c r="AA156" s="1965"/>
      <c r="AB156" s="1965"/>
      <c r="AC156" s="1938"/>
      <c r="AD156" s="1938"/>
      <c r="AE156" s="1938"/>
      <c r="AF156" s="1938"/>
      <c r="AG156" s="1949"/>
      <c r="AH156" s="2441"/>
      <c r="AI156" s="1411"/>
      <c r="AJ156" s="2393"/>
      <c r="AK156" s="1400"/>
    </row>
    <row r="157" spans="1:37" ht="14.25" customHeight="1">
      <c r="A157" s="2338"/>
      <c r="B157" s="2438"/>
      <c r="C157" s="2439"/>
      <c r="D157" s="2439"/>
      <c r="E157" s="2440"/>
      <c r="F157" s="2440"/>
      <c r="G157" s="2440"/>
      <c r="H157" s="1965"/>
      <c r="I157" s="1965"/>
      <c r="J157" s="1938"/>
      <c r="K157" s="1965"/>
      <c r="L157" s="1965"/>
      <c r="M157" s="1965"/>
      <c r="N157" s="1965"/>
      <c r="O157" s="1965"/>
      <c r="P157" s="2124"/>
      <c r="Q157" s="1965"/>
      <c r="R157" s="1965"/>
      <c r="S157" s="1965"/>
      <c r="T157" s="1965"/>
      <c r="U157" s="1965"/>
      <c r="V157" s="1965"/>
      <c r="W157" s="1965"/>
      <c r="X157" s="1965"/>
      <c r="Y157" s="1965"/>
      <c r="Z157" s="1965"/>
      <c r="AA157" s="1965"/>
      <c r="AB157" s="1965"/>
      <c r="AC157" s="2124"/>
      <c r="AD157" s="2124"/>
      <c r="AE157" s="2124"/>
      <c r="AF157" s="2124"/>
      <c r="AG157" s="1965"/>
      <c r="AH157" s="2442"/>
      <c r="AI157" s="1401"/>
      <c r="AJ157" s="2443"/>
      <c r="AK157" s="1400"/>
    </row>
    <row r="158" spans="1:37" ht="14.25" customHeight="1">
      <c r="A158" s="2338"/>
      <c r="B158" s="2438"/>
      <c r="C158" s="2439"/>
      <c r="D158" s="2439"/>
      <c r="E158" s="2440"/>
      <c r="F158" s="2440"/>
      <c r="G158" s="2440"/>
      <c r="H158" s="1965"/>
      <c r="I158" s="1965"/>
      <c r="J158" s="1938"/>
      <c r="K158" s="1965"/>
      <c r="L158" s="1965"/>
      <c r="M158" s="1965"/>
      <c r="N158" s="1965"/>
      <c r="O158" s="1965"/>
      <c r="P158" s="2124"/>
      <c r="Q158" s="1965"/>
      <c r="R158" s="1965"/>
      <c r="S158" s="1965"/>
      <c r="T158" s="1965"/>
      <c r="U158" s="1965"/>
      <c r="V158" s="1965"/>
      <c r="W158" s="1965"/>
      <c r="X158" s="1965"/>
      <c r="Y158" s="1965"/>
      <c r="Z158" s="1965"/>
      <c r="AA158" s="1965"/>
      <c r="AB158" s="1965"/>
      <c r="AC158" s="2124"/>
      <c r="AD158" s="2124"/>
      <c r="AE158" s="2124"/>
      <c r="AF158" s="2124"/>
      <c r="AG158" s="1965"/>
      <c r="AH158" s="2442"/>
      <c r="AI158" s="1401"/>
      <c r="AJ158" s="2443"/>
      <c r="AK158" s="1400"/>
    </row>
    <row r="159" spans="1:37" ht="14.25" customHeight="1">
      <c r="A159" s="2338"/>
      <c r="B159" s="2438"/>
      <c r="C159" s="2439"/>
      <c r="D159" s="2439"/>
      <c r="E159" s="2440"/>
      <c r="F159" s="2440"/>
      <c r="G159" s="2440"/>
      <c r="H159" s="1965"/>
      <c r="I159" s="1965"/>
      <c r="J159" s="1938"/>
      <c r="K159" s="1965"/>
      <c r="L159" s="1965"/>
      <c r="M159" s="1965"/>
      <c r="N159" s="1965"/>
      <c r="O159" s="1965"/>
      <c r="P159" s="2124"/>
      <c r="Q159" s="1965"/>
      <c r="R159" s="1965"/>
      <c r="S159" s="1965"/>
      <c r="T159" s="1965"/>
      <c r="U159" s="1965"/>
      <c r="V159" s="1965"/>
      <c r="W159" s="1965"/>
      <c r="X159" s="1965"/>
      <c r="Y159" s="1965"/>
      <c r="Z159" s="1965"/>
      <c r="AA159" s="1965"/>
      <c r="AB159" s="1965"/>
      <c r="AC159" s="2124"/>
      <c r="AD159" s="2124"/>
      <c r="AE159" s="2124"/>
      <c r="AF159" s="2124"/>
      <c r="AG159" s="1965"/>
      <c r="AH159" s="2442"/>
      <c r="AI159" s="1401"/>
      <c r="AJ159" s="2443"/>
      <c r="AK159" s="1400"/>
    </row>
    <row r="160" spans="1:37" ht="14.25" customHeight="1">
      <c r="A160" s="2338"/>
      <c r="B160" s="2438"/>
      <c r="C160" s="2439"/>
      <c r="D160" s="2439"/>
      <c r="E160" s="2440"/>
      <c r="F160" s="2440"/>
      <c r="G160" s="2440"/>
      <c r="H160" s="1965"/>
      <c r="I160" s="1965"/>
      <c r="J160" s="1938"/>
      <c r="K160" s="1965"/>
      <c r="L160" s="1965"/>
      <c r="M160" s="1965"/>
      <c r="N160" s="1965"/>
      <c r="O160" s="1965"/>
      <c r="P160" s="2124"/>
      <c r="Q160" s="1965"/>
      <c r="R160" s="1965"/>
      <c r="S160" s="1965"/>
      <c r="T160" s="1965"/>
      <c r="U160" s="1965"/>
      <c r="V160" s="1965"/>
      <c r="W160" s="1965"/>
      <c r="X160" s="1965"/>
      <c r="Y160" s="1965"/>
      <c r="Z160" s="1965"/>
      <c r="AA160" s="1965"/>
      <c r="AB160" s="1965"/>
      <c r="AC160" s="2124"/>
      <c r="AD160" s="2124"/>
      <c r="AE160" s="2124"/>
      <c r="AF160" s="2124"/>
      <c r="AG160" s="1965"/>
      <c r="AH160" s="2442"/>
      <c r="AI160" s="1401"/>
      <c r="AJ160" s="2443"/>
      <c r="AK160" s="1400"/>
    </row>
    <row r="161" spans="1:38" ht="14.25" customHeight="1">
      <c r="A161" s="2338"/>
      <c r="B161" s="2438"/>
      <c r="C161" s="2439"/>
      <c r="D161" s="2439"/>
      <c r="E161" s="2440"/>
      <c r="F161" s="2440"/>
      <c r="G161" s="2440"/>
      <c r="H161" s="1965"/>
      <c r="I161" s="1965"/>
      <c r="J161" s="1938"/>
      <c r="K161" s="1965"/>
      <c r="L161" s="1965"/>
      <c r="M161" s="1965"/>
      <c r="N161" s="1965"/>
      <c r="O161" s="1965"/>
      <c r="P161" s="2124"/>
      <c r="Q161" s="1965"/>
      <c r="R161" s="1965"/>
      <c r="S161" s="1965"/>
      <c r="T161" s="1965"/>
      <c r="U161" s="1965"/>
      <c r="V161" s="1965"/>
      <c r="W161" s="1965"/>
      <c r="X161" s="1965"/>
      <c r="Y161" s="1965"/>
      <c r="Z161" s="1965"/>
      <c r="AA161" s="1965"/>
      <c r="AB161" s="1965"/>
      <c r="AC161" s="2124"/>
      <c r="AD161" s="2124"/>
      <c r="AE161" s="2124"/>
      <c r="AF161" s="2124"/>
      <c r="AG161" s="1965"/>
      <c r="AH161" s="2442"/>
      <c r="AI161" s="1401"/>
      <c r="AJ161" s="2443"/>
      <c r="AK161" s="1400"/>
    </row>
    <row r="162" spans="1:38" ht="14.25" customHeight="1">
      <c r="A162" s="2338"/>
      <c r="B162" s="2438"/>
      <c r="C162" s="2439"/>
      <c r="D162" s="2439"/>
      <c r="E162" s="2440"/>
      <c r="F162" s="2440"/>
      <c r="G162" s="2440"/>
      <c r="H162" s="1965"/>
      <c r="I162" s="1965"/>
      <c r="J162" s="1938"/>
      <c r="K162" s="1965"/>
      <c r="L162" s="1965"/>
      <c r="M162" s="1965"/>
      <c r="N162" s="1965"/>
      <c r="O162" s="1965"/>
      <c r="P162" s="2124"/>
      <c r="Q162" s="1965"/>
      <c r="R162" s="1965"/>
      <c r="S162" s="1965"/>
      <c r="T162" s="1965"/>
      <c r="U162" s="1965"/>
      <c r="V162" s="1965"/>
      <c r="W162" s="1965"/>
      <c r="X162" s="1965"/>
      <c r="Y162" s="1965"/>
      <c r="Z162" s="1965"/>
      <c r="AA162" s="1965"/>
      <c r="AB162" s="1965"/>
      <c r="AC162" s="2124"/>
      <c r="AD162" s="2124"/>
      <c r="AE162" s="2124"/>
      <c r="AF162" s="2124"/>
      <c r="AG162" s="1965"/>
      <c r="AH162" s="2442"/>
      <c r="AI162" s="1401"/>
      <c r="AJ162" s="2443"/>
      <c r="AK162" s="1400"/>
    </row>
    <row r="163" spans="1:38" ht="14.25" customHeight="1">
      <c r="A163" s="2338"/>
      <c r="B163" s="2438"/>
      <c r="C163" s="2439"/>
      <c r="D163" s="2439"/>
      <c r="E163" s="2440"/>
      <c r="F163" s="2440"/>
      <c r="G163" s="2440"/>
      <c r="H163" s="1965"/>
      <c r="I163" s="1965"/>
      <c r="J163" s="1938"/>
      <c r="K163" s="1965"/>
      <c r="L163" s="1965"/>
      <c r="M163" s="1965"/>
      <c r="N163" s="1965"/>
      <c r="O163" s="1965"/>
      <c r="P163" s="2124"/>
      <c r="Q163" s="1965"/>
      <c r="R163" s="1965"/>
      <c r="S163" s="1965"/>
      <c r="T163" s="1965"/>
      <c r="U163" s="1965"/>
      <c r="V163" s="1965"/>
      <c r="W163" s="1965"/>
      <c r="X163" s="1965"/>
      <c r="Y163" s="1965"/>
      <c r="Z163" s="1965"/>
      <c r="AA163" s="1965"/>
      <c r="AB163" s="1965"/>
      <c r="AC163" s="2124"/>
      <c r="AD163" s="2124"/>
      <c r="AE163" s="2124"/>
      <c r="AF163" s="2124"/>
      <c r="AG163" s="1965"/>
      <c r="AH163" s="2442"/>
      <c r="AI163" s="1401"/>
      <c r="AJ163" s="2443"/>
      <c r="AK163" s="1400"/>
    </row>
    <row r="164" spans="1:38" ht="14.25" customHeight="1">
      <c r="A164" s="2338"/>
      <c r="B164" s="2438"/>
      <c r="C164" s="2439"/>
      <c r="D164" s="2439"/>
      <c r="E164" s="2440"/>
      <c r="F164" s="2440"/>
      <c r="G164" s="2440"/>
      <c r="H164" s="1965"/>
      <c r="I164" s="1965"/>
      <c r="J164" s="1938"/>
      <c r="K164" s="1965"/>
      <c r="L164" s="1965"/>
      <c r="M164" s="1965"/>
      <c r="N164" s="1965"/>
      <c r="O164" s="1965"/>
      <c r="P164" s="2124"/>
      <c r="Q164" s="1965"/>
      <c r="R164" s="1965"/>
      <c r="S164" s="1965"/>
      <c r="T164" s="1965"/>
      <c r="U164" s="1965"/>
      <c r="V164" s="1965"/>
      <c r="W164" s="1965"/>
      <c r="X164" s="1965"/>
      <c r="Y164" s="1965"/>
      <c r="Z164" s="1965"/>
      <c r="AA164" s="1965"/>
      <c r="AB164" s="1965"/>
      <c r="AC164" s="2124"/>
      <c r="AD164" s="2124"/>
      <c r="AE164" s="2124"/>
      <c r="AF164" s="2124"/>
      <c r="AG164" s="1965"/>
      <c r="AH164" s="2442"/>
      <c r="AI164" s="1401"/>
      <c r="AJ164" s="2443"/>
      <c r="AK164" s="1400"/>
    </row>
    <row r="165" spans="1:38" ht="14.25" customHeight="1">
      <c r="A165" s="2338"/>
      <c r="B165" s="2438"/>
      <c r="C165" s="2439"/>
      <c r="D165" s="2439"/>
      <c r="E165" s="2440"/>
      <c r="F165" s="2440"/>
      <c r="G165" s="2440"/>
      <c r="H165" s="1965"/>
      <c r="I165" s="1965"/>
      <c r="J165" s="1938"/>
      <c r="K165" s="1965"/>
      <c r="L165" s="1965"/>
      <c r="M165" s="1965"/>
      <c r="N165" s="1965"/>
      <c r="O165" s="1965"/>
      <c r="P165" s="2124"/>
      <c r="Q165" s="1965"/>
      <c r="R165" s="1965"/>
      <c r="S165" s="1965"/>
      <c r="T165" s="1965"/>
      <c r="U165" s="1965"/>
      <c r="V165" s="1965"/>
      <c r="W165" s="1965"/>
      <c r="X165" s="1965"/>
      <c r="Y165" s="1965"/>
      <c r="Z165" s="1965"/>
      <c r="AA165" s="1965"/>
      <c r="AB165" s="1965"/>
      <c r="AC165" s="2124"/>
      <c r="AD165" s="2124"/>
      <c r="AE165" s="2124"/>
      <c r="AF165" s="2124"/>
      <c r="AG165" s="1965"/>
      <c r="AH165" s="2442"/>
      <c r="AI165" s="1401"/>
      <c r="AJ165" s="2443"/>
      <c r="AK165" s="1400"/>
    </row>
    <row r="166" spans="1:38" ht="20.100000000000001" customHeight="1">
      <c r="A166" s="2338"/>
      <c r="B166" s="2415"/>
      <c r="C166" s="1965"/>
      <c r="D166" s="1965"/>
      <c r="E166" s="1965"/>
      <c r="F166" s="1965"/>
      <c r="G166" s="1965"/>
      <c r="H166" s="1965"/>
      <c r="I166" s="1965"/>
      <c r="J166" s="1938"/>
      <c r="K166" s="1965"/>
      <c r="L166" s="1965"/>
      <c r="M166" s="1965"/>
      <c r="N166" s="1965"/>
      <c r="O166" s="1965"/>
      <c r="P166" s="2124"/>
      <c r="Q166" s="1965"/>
      <c r="R166" s="1965"/>
      <c r="S166" s="1965"/>
      <c r="T166" s="1965"/>
      <c r="U166" s="1965"/>
      <c r="V166" s="1965"/>
      <c r="W166" s="1965"/>
      <c r="X166" s="1965"/>
      <c r="Y166" s="1965"/>
      <c r="Z166" s="1965"/>
      <c r="AA166" s="1965"/>
      <c r="AB166" s="1965"/>
      <c r="AC166" s="2124"/>
      <c r="AD166" s="2124"/>
      <c r="AE166" s="2124"/>
      <c r="AF166" s="2124"/>
      <c r="AG166" s="1965"/>
      <c r="AH166" s="2442"/>
      <c r="AI166" s="1401"/>
      <c r="AJ166" s="2443"/>
      <c r="AK166" s="1400"/>
    </row>
    <row r="167" spans="1:38" ht="20.100000000000001" customHeight="1">
      <c r="A167" s="2338"/>
      <c r="B167" s="2415"/>
      <c r="C167" s="1965"/>
      <c r="D167" s="1965"/>
      <c r="E167" s="1965"/>
      <c r="F167" s="1965"/>
      <c r="G167" s="1965"/>
      <c r="H167" s="1965"/>
      <c r="I167" s="1965"/>
      <c r="J167" s="1938"/>
      <c r="K167" s="1965"/>
      <c r="L167" s="1965"/>
      <c r="M167" s="1965"/>
      <c r="N167" s="1965"/>
      <c r="O167" s="1965"/>
      <c r="P167" s="2124"/>
      <c r="Q167" s="1965"/>
      <c r="R167" s="1965"/>
      <c r="S167" s="1965"/>
      <c r="T167" s="1965"/>
      <c r="U167" s="1965"/>
      <c r="V167" s="1965"/>
      <c r="W167" s="1965"/>
      <c r="X167" s="1965"/>
      <c r="Y167" s="1965"/>
      <c r="Z167" s="1965"/>
      <c r="AA167" s="1965"/>
      <c r="AB167" s="1965"/>
      <c r="AC167" s="2124"/>
      <c r="AD167" s="2124"/>
      <c r="AE167" s="2124"/>
      <c r="AF167" s="2124"/>
      <c r="AG167" s="1965"/>
      <c r="AH167" s="2442"/>
      <c r="AI167" s="1401"/>
      <c r="AJ167" s="2443"/>
      <c r="AK167" s="1400"/>
      <c r="AL167" s="1965"/>
    </row>
    <row r="168" spans="1:38" ht="20.100000000000001" customHeight="1">
      <c r="A168" s="2338"/>
      <c r="B168" s="2415"/>
      <c r="C168" s="1965"/>
      <c r="D168" s="1965"/>
      <c r="E168" s="1965"/>
      <c r="F168" s="1965"/>
      <c r="G168" s="1965"/>
      <c r="H168" s="1965"/>
      <c r="I168" s="1965"/>
      <c r="J168" s="1938"/>
      <c r="K168" s="1965"/>
      <c r="L168" s="1965"/>
      <c r="M168" s="1965"/>
      <c r="N168" s="1965"/>
      <c r="O168" s="1965"/>
      <c r="P168" s="2124"/>
      <c r="Q168" s="1965"/>
      <c r="R168" s="1965"/>
      <c r="S168" s="1965"/>
      <c r="T168" s="1965"/>
      <c r="U168" s="1965"/>
      <c r="V168" s="1965"/>
      <c r="W168" s="1965"/>
      <c r="X168" s="1965"/>
      <c r="Y168" s="1965"/>
      <c r="Z168" s="1965"/>
      <c r="AA168" s="1965"/>
      <c r="AB168" s="1965"/>
      <c r="AC168" s="2124"/>
      <c r="AD168" s="2124"/>
      <c r="AE168" s="2124"/>
      <c r="AF168" s="2124"/>
      <c r="AG168" s="1965"/>
      <c r="AH168" s="2442"/>
      <c r="AI168" s="1401"/>
      <c r="AJ168" s="2443"/>
      <c r="AK168" s="1400"/>
      <c r="AL168" s="1965"/>
    </row>
    <row r="169" spans="1:38" ht="20.100000000000001" customHeight="1">
      <c r="B169" s="2415"/>
      <c r="C169" s="1965"/>
      <c r="D169" s="1965"/>
      <c r="E169" s="1965"/>
      <c r="F169" s="1965"/>
      <c r="G169" s="1965"/>
      <c r="H169" s="1965"/>
      <c r="I169" s="1965"/>
      <c r="J169" s="1938"/>
      <c r="K169" s="1965"/>
      <c r="L169" s="1965"/>
      <c r="M169" s="1965"/>
      <c r="N169" s="1965"/>
      <c r="O169" s="1965"/>
      <c r="P169" s="2124"/>
      <c r="Q169" s="1965"/>
      <c r="R169" s="1965"/>
      <c r="S169" s="1965"/>
      <c r="T169" s="1965"/>
      <c r="U169" s="1965"/>
      <c r="V169" s="1965"/>
      <c r="W169" s="1965"/>
      <c r="X169" s="1965"/>
      <c r="Y169" s="1965"/>
      <c r="Z169" s="1965"/>
      <c r="AA169" s="1965"/>
      <c r="AB169" s="1965"/>
      <c r="AC169" s="2124"/>
      <c r="AD169" s="2124"/>
      <c r="AE169" s="2124"/>
      <c r="AF169" s="2124"/>
      <c r="AG169" s="1965"/>
      <c r="AH169" s="1965"/>
      <c r="AI169" s="1401"/>
      <c r="AJ169" s="2443"/>
      <c r="AK169" s="1400"/>
      <c r="AL169" s="1965"/>
    </row>
    <row r="170" spans="1:38" ht="20.100000000000001" customHeight="1">
      <c r="B170" s="1965"/>
      <c r="C170" s="1965"/>
      <c r="D170" s="1965"/>
      <c r="E170" s="1965"/>
      <c r="F170" s="1965"/>
      <c r="G170" s="1965"/>
      <c r="H170" s="1965"/>
      <c r="I170" s="1965"/>
      <c r="J170" s="1938"/>
      <c r="K170" s="1965"/>
      <c r="L170" s="1965"/>
      <c r="M170" s="1965"/>
      <c r="N170" s="1965"/>
      <c r="O170" s="1965"/>
      <c r="P170" s="2124"/>
      <c r="Q170" s="1965"/>
      <c r="R170" s="1965"/>
      <c r="S170" s="1965"/>
      <c r="T170" s="1965"/>
      <c r="U170" s="1965"/>
      <c r="V170" s="1965"/>
      <c r="W170" s="1965"/>
      <c r="X170" s="1965"/>
      <c r="Y170" s="1965"/>
      <c r="Z170" s="1965"/>
      <c r="AA170" s="1965"/>
      <c r="AB170" s="1965"/>
      <c r="AC170" s="2124"/>
      <c r="AD170" s="2124"/>
      <c r="AE170" s="2124"/>
      <c r="AF170" s="2124"/>
      <c r="AG170" s="1965"/>
      <c r="AH170" s="1965"/>
      <c r="AI170" s="1401"/>
      <c r="AJ170" s="2443"/>
      <c r="AK170" s="1400"/>
      <c r="AL170" s="1965"/>
    </row>
    <row r="171" spans="1:38" ht="20.100000000000001" customHeight="1">
      <c r="B171" s="2444"/>
      <c r="C171" s="1965"/>
      <c r="D171" s="1965"/>
      <c r="E171" s="1965"/>
      <c r="F171" s="1965"/>
      <c r="G171" s="1965"/>
      <c r="H171" s="1965"/>
      <c r="I171" s="1965"/>
      <c r="J171" s="1938"/>
      <c r="K171" s="1965"/>
      <c r="L171" s="1965"/>
      <c r="M171" s="1965"/>
      <c r="N171" s="1965"/>
      <c r="O171" s="1965"/>
      <c r="P171" s="2124"/>
      <c r="Q171" s="1965"/>
      <c r="R171" s="1965"/>
      <c r="S171" s="1965"/>
      <c r="T171" s="1965"/>
      <c r="U171" s="1965"/>
      <c r="V171" s="1965"/>
      <c r="W171" s="1965"/>
      <c r="X171" s="1965"/>
      <c r="Y171" s="1965"/>
      <c r="Z171" s="1965"/>
      <c r="AA171" s="1965"/>
      <c r="AB171" s="1965"/>
      <c r="AC171" s="2124"/>
      <c r="AD171" s="2124"/>
      <c r="AE171" s="2124"/>
      <c r="AF171" s="2124"/>
      <c r="AG171" s="1965"/>
      <c r="AI171" s="1968"/>
      <c r="AJ171" s="2377"/>
      <c r="AK171" s="1417"/>
      <c r="AL171" s="1965"/>
    </row>
    <row r="172" spans="1:38" ht="20.100000000000001" customHeight="1">
      <c r="B172" s="1965"/>
      <c r="C172" s="1965"/>
      <c r="D172" s="1965"/>
      <c r="E172" s="1965"/>
      <c r="F172" s="1965"/>
      <c r="G172" s="1965"/>
      <c r="H172" s="1965"/>
      <c r="I172" s="1965"/>
      <c r="J172" s="1938"/>
      <c r="K172" s="1965"/>
      <c r="L172" s="1965"/>
      <c r="M172" s="1965"/>
      <c r="N172" s="1965"/>
      <c r="O172" s="1965"/>
      <c r="P172" s="2124"/>
      <c r="Q172" s="1965"/>
      <c r="R172" s="1965"/>
      <c r="S172" s="1965"/>
      <c r="T172" s="1965"/>
      <c r="U172" s="1965"/>
      <c r="V172" s="1965"/>
      <c r="W172" s="1965"/>
      <c r="X172" s="1965"/>
      <c r="Y172" s="1965"/>
      <c r="Z172" s="1965"/>
      <c r="AA172" s="1965"/>
      <c r="AB172" s="1965"/>
      <c r="AC172" s="2124"/>
      <c r="AD172" s="2124"/>
      <c r="AE172" s="2124"/>
      <c r="AF172" s="2124"/>
      <c r="AG172" s="1965"/>
      <c r="AI172" s="1968"/>
      <c r="AJ172" s="2377"/>
      <c r="AK172" s="1417"/>
      <c r="AL172" s="1965"/>
    </row>
    <row r="173" spans="1:38" ht="20.100000000000001" customHeight="1">
      <c r="B173" s="1965"/>
      <c r="C173" s="1965"/>
      <c r="D173" s="1965"/>
      <c r="E173" s="1965"/>
      <c r="F173" s="1965"/>
      <c r="G173" s="1965"/>
      <c r="H173" s="1965"/>
      <c r="I173" s="1965"/>
      <c r="J173" s="1938"/>
      <c r="K173" s="1965"/>
      <c r="L173" s="1965"/>
      <c r="M173" s="1965"/>
      <c r="N173" s="1965"/>
      <c r="O173" s="1965"/>
      <c r="P173" s="2124"/>
      <c r="Q173" s="1965"/>
      <c r="R173" s="1965"/>
      <c r="S173" s="1965"/>
      <c r="T173" s="1965"/>
      <c r="U173" s="1965"/>
      <c r="V173" s="1965"/>
      <c r="W173" s="1965"/>
      <c r="X173" s="1965"/>
      <c r="Y173" s="1965"/>
      <c r="Z173" s="1965"/>
      <c r="AA173" s="1965"/>
      <c r="AB173" s="1965"/>
      <c r="AC173" s="2124"/>
      <c r="AD173" s="2124"/>
      <c r="AE173" s="2124"/>
      <c r="AF173" s="2124"/>
      <c r="AG173" s="1965"/>
      <c r="AI173" s="1968"/>
      <c r="AJ173" s="2377"/>
      <c r="AK173" s="1417"/>
      <c r="AL173" s="1965"/>
    </row>
    <row r="174" spans="1:38" ht="20.100000000000001" customHeight="1">
      <c r="B174" s="1968"/>
      <c r="C174" s="1968"/>
      <c r="D174" s="1968"/>
      <c r="E174" s="1968"/>
      <c r="F174" s="1968"/>
      <c r="G174" s="1968"/>
      <c r="H174" s="1968"/>
      <c r="I174" s="1968"/>
      <c r="J174" s="2339"/>
      <c r="K174" s="1968"/>
      <c r="L174" s="1968"/>
      <c r="M174" s="1968"/>
      <c r="N174" s="1968"/>
      <c r="O174" s="1968"/>
      <c r="P174" s="2131"/>
      <c r="Q174" s="1968"/>
      <c r="R174" s="1968"/>
      <c r="S174" s="1968"/>
      <c r="T174" s="1968"/>
      <c r="U174" s="1968"/>
      <c r="V174" s="1968"/>
      <c r="W174" s="1968"/>
      <c r="X174" s="1968"/>
      <c r="Y174" s="1968"/>
      <c r="Z174" s="1968"/>
      <c r="AA174" s="1968"/>
      <c r="AB174" s="1968"/>
      <c r="AC174" s="2131"/>
      <c r="AD174" s="2131"/>
      <c r="AE174" s="2131"/>
      <c r="AF174" s="2131"/>
      <c r="AG174" s="1968"/>
      <c r="AI174" s="1968"/>
      <c r="AJ174" s="2377"/>
      <c r="AK174" s="1417"/>
      <c r="AL174" s="1965"/>
    </row>
    <row r="175" spans="1:38" ht="20.100000000000001" customHeight="1">
      <c r="B175" s="1968"/>
      <c r="C175" s="1968"/>
      <c r="D175" s="1968"/>
      <c r="E175" s="1968"/>
      <c r="F175" s="1968"/>
      <c r="G175" s="1968"/>
      <c r="H175" s="1968"/>
      <c r="I175" s="1968"/>
      <c r="J175" s="2339"/>
      <c r="K175" s="1968"/>
      <c r="L175" s="1968"/>
      <c r="M175" s="1968"/>
      <c r="N175" s="1968"/>
      <c r="O175" s="1968"/>
      <c r="P175" s="2131"/>
      <c r="Q175" s="1968"/>
      <c r="R175" s="1968"/>
      <c r="S175" s="1968"/>
      <c r="T175" s="1968"/>
      <c r="U175" s="1968"/>
      <c r="V175" s="1968"/>
      <c r="W175" s="1968"/>
      <c r="X175" s="1968"/>
      <c r="Y175" s="1968"/>
      <c r="Z175" s="1968"/>
      <c r="AA175" s="1968"/>
      <c r="AB175" s="1968"/>
      <c r="AC175" s="2131"/>
      <c r="AD175" s="2131"/>
      <c r="AE175" s="2131"/>
      <c r="AF175" s="2131"/>
      <c r="AG175" s="1968"/>
    </row>
    <row r="176" spans="1:38" ht="20.100000000000001" customHeight="1">
      <c r="B176" s="1968"/>
      <c r="C176" s="1968"/>
      <c r="D176" s="1968"/>
      <c r="E176" s="1968"/>
      <c r="F176" s="1968"/>
      <c r="G176" s="1968"/>
      <c r="H176" s="1968"/>
      <c r="I176" s="1968"/>
      <c r="J176" s="2339"/>
      <c r="K176" s="1968"/>
      <c r="L176" s="1968"/>
      <c r="M176" s="1968"/>
      <c r="N176" s="1968"/>
      <c r="O176" s="1968"/>
      <c r="P176" s="2131"/>
      <c r="Q176" s="1968"/>
      <c r="R176" s="1968"/>
      <c r="S176" s="1968"/>
      <c r="T176" s="1968"/>
      <c r="U176" s="1968"/>
      <c r="V176" s="1968"/>
      <c r="W176" s="1968"/>
      <c r="X176" s="1968"/>
      <c r="Y176" s="1968"/>
      <c r="Z176" s="1968"/>
      <c r="AA176" s="1968"/>
      <c r="AB176" s="1968"/>
      <c r="AC176" s="2131"/>
      <c r="AD176" s="2131"/>
      <c r="AE176" s="2131"/>
      <c r="AF176" s="2131"/>
      <c r="AG176" s="1968"/>
    </row>
    <row r="177" spans="2:33" ht="20.100000000000001" customHeight="1">
      <c r="B177" s="1968"/>
      <c r="C177" s="1968"/>
      <c r="D177" s="1968"/>
      <c r="E177" s="1968"/>
      <c r="F177" s="1968"/>
      <c r="G177" s="1968"/>
      <c r="H177" s="1968"/>
      <c r="I177" s="1968"/>
      <c r="J177" s="2339"/>
      <c r="K177" s="1968"/>
      <c r="L177" s="1968"/>
      <c r="M177" s="1968"/>
      <c r="N177" s="1968"/>
      <c r="O177" s="1968"/>
      <c r="P177" s="2131"/>
      <c r="Q177" s="1968"/>
      <c r="R177" s="1968"/>
      <c r="S177" s="1968"/>
      <c r="T177" s="1968"/>
      <c r="U177" s="1968"/>
      <c r="V177" s="1968"/>
      <c r="W177" s="1968"/>
      <c r="X177" s="1968"/>
      <c r="Y177" s="1968"/>
      <c r="Z177" s="1968"/>
      <c r="AA177" s="1968"/>
      <c r="AB177" s="1968"/>
      <c r="AC177" s="2131"/>
      <c r="AD177" s="2131"/>
      <c r="AE177" s="2131"/>
      <c r="AF177" s="2131"/>
      <c r="AG177" s="1968"/>
    </row>
    <row r="178" spans="2:33" ht="20.100000000000001" customHeight="1">
      <c r="B178" s="1968"/>
      <c r="C178" s="1968"/>
      <c r="D178" s="1968"/>
      <c r="E178" s="1968"/>
      <c r="F178" s="1968"/>
      <c r="G178" s="1968"/>
      <c r="H178" s="1968"/>
      <c r="I178" s="1968"/>
      <c r="J178" s="2339"/>
      <c r="K178" s="1968"/>
      <c r="L178" s="1968"/>
      <c r="M178" s="1968"/>
      <c r="N178" s="1968"/>
      <c r="O178" s="1968"/>
      <c r="P178" s="2131"/>
      <c r="Q178" s="1968"/>
      <c r="R178" s="1968"/>
      <c r="S178" s="1968"/>
      <c r="T178" s="1968"/>
      <c r="U178" s="1968"/>
      <c r="V178" s="1968"/>
      <c r="W178" s="1968"/>
      <c r="X178" s="1968"/>
      <c r="Y178" s="1968"/>
      <c r="Z178" s="1968"/>
      <c r="AA178" s="1968"/>
      <c r="AB178" s="1968"/>
      <c r="AC178" s="2131"/>
      <c r="AD178" s="2131"/>
      <c r="AE178" s="2131"/>
      <c r="AF178" s="2131"/>
      <c r="AG178" s="1968"/>
    </row>
    <row r="179" spans="2:33">
      <c r="B179" s="1968"/>
      <c r="C179" s="1968"/>
      <c r="D179" s="1968"/>
      <c r="E179" s="1968"/>
      <c r="F179" s="1968"/>
      <c r="G179" s="1968"/>
      <c r="H179" s="1968"/>
      <c r="I179" s="1968"/>
      <c r="J179" s="2339"/>
      <c r="K179" s="1968"/>
      <c r="L179" s="1968"/>
      <c r="M179" s="1968"/>
      <c r="N179" s="1968"/>
      <c r="O179" s="1968"/>
      <c r="P179" s="2131"/>
      <c r="Q179" s="1968"/>
      <c r="R179" s="1968"/>
      <c r="S179" s="1968"/>
      <c r="T179" s="1968"/>
      <c r="U179" s="1968"/>
      <c r="V179" s="1968"/>
      <c r="W179" s="1968"/>
      <c r="X179" s="1968"/>
      <c r="Y179" s="1968"/>
      <c r="Z179" s="1968"/>
      <c r="AA179" s="1968"/>
      <c r="AB179" s="1968"/>
      <c r="AC179" s="2131"/>
      <c r="AD179" s="2131"/>
      <c r="AE179" s="2131"/>
      <c r="AF179" s="2131"/>
      <c r="AG179" s="1968"/>
    </row>
    <row r="180" spans="2:33">
      <c r="B180" s="1968"/>
      <c r="C180" s="1968"/>
      <c r="D180" s="1968"/>
      <c r="E180" s="1968"/>
      <c r="F180" s="1968"/>
      <c r="G180" s="1968"/>
      <c r="H180" s="1968"/>
      <c r="I180" s="1968"/>
      <c r="J180" s="2339"/>
      <c r="K180" s="1968"/>
      <c r="L180" s="1968"/>
      <c r="M180" s="1968"/>
      <c r="N180" s="1968"/>
      <c r="O180" s="1968"/>
      <c r="P180" s="2131"/>
      <c r="Q180" s="1968"/>
      <c r="R180" s="1968"/>
      <c r="S180" s="1968"/>
      <c r="T180" s="1968"/>
      <c r="U180" s="1968"/>
      <c r="V180" s="1968"/>
      <c r="W180" s="1968"/>
      <c r="X180" s="1968"/>
      <c r="Y180" s="1968"/>
      <c r="Z180" s="1968"/>
      <c r="AA180" s="1968"/>
      <c r="AB180" s="1968"/>
      <c r="AC180" s="2131"/>
      <c r="AD180" s="2131"/>
      <c r="AE180" s="2131"/>
      <c r="AF180" s="2131"/>
      <c r="AG180" s="1968"/>
    </row>
    <row r="181" spans="2:33">
      <c r="B181" s="1968"/>
      <c r="C181" s="1968"/>
      <c r="D181" s="1968"/>
      <c r="E181" s="1968"/>
      <c r="F181" s="1968"/>
      <c r="G181" s="1968"/>
      <c r="H181" s="1968"/>
      <c r="I181" s="1968"/>
      <c r="J181" s="2339"/>
      <c r="K181" s="1968"/>
      <c r="L181" s="1968"/>
      <c r="M181" s="1968"/>
      <c r="N181" s="1968"/>
      <c r="O181" s="1968"/>
      <c r="P181" s="2131"/>
      <c r="Q181" s="1968"/>
      <c r="R181" s="1968"/>
      <c r="S181" s="1968"/>
      <c r="T181" s="1968"/>
      <c r="U181" s="1968"/>
      <c r="V181" s="1968"/>
      <c r="W181" s="1968"/>
      <c r="X181" s="1968"/>
      <c r="Y181" s="1968"/>
      <c r="Z181" s="1968"/>
      <c r="AA181" s="1968"/>
      <c r="AB181" s="1968"/>
      <c r="AC181" s="2131"/>
      <c r="AD181" s="2131"/>
      <c r="AE181" s="2131"/>
      <c r="AF181" s="2131"/>
      <c r="AG181" s="1968"/>
    </row>
    <row r="182" spans="2:33">
      <c r="B182" s="1968"/>
      <c r="C182" s="1968"/>
      <c r="D182" s="1968"/>
      <c r="E182" s="1968"/>
      <c r="F182" s="1968"/>
      <c r="G182" s="1968"/>
      <c r="H182" s="1968"/>
      <c r="I182" s="1968"/>
      <c r="J182" s="2339"/>
      <c r="K182" s="1968"/>
      <c r="L182" s="1968"/>
      <c r="M182" s="1968"/>
      <c r="N182" s="1968"/>
      <c r="O182" s="1968"/>
      <c r="P182" s="2131"/>
      <c r="Q182" s="1968"/>
      <c r="R182" s="1968"/>
      <c r="S182" s="1968"/>
      <c r="T182" s="1968"/>
      <c r="U182" s="1968"/>
      <c r="V182" s="1968"/>
      <c r="W182" s="1968"/>
      <c r="X182" s="1968"/>
      <c r="Y182" s="1968"/>
      <c r="Z182" s="1968"/>
      <c r="AA182" s="1968"/>
      <c r="AB182" s="1968"/>
      <c r="AC182" s="2131"/>
      <c r="AD182" s="2131"/>
      <c r="AE182" s="2131"/>
      <c r="AF182" s="2131"/>
      <c r="AG182" s="1968"/>
    </row>
    <row r="183" spans="2:33">
      <c r="B183" s="1968"/>
      <c r="C183" s="1968"/>
      <c r="D183" s="1968"/>
      <c r="E183" s="1968"/>
      <c r="F183" s="1968"/>
      <c r="G183" s="1968"/>
      <c r="H183" s="1968"/>
      <c r="I183" s="1968"/>
      <c r="J183" s="2339"/>
      <c r="K183" s="1968"/>
      <c r="L183" s="1968"/>
      <c r="M183" s="1968"/>
      <c r="N183" s="1968"/>
      <c r="O183" s="1968"/>
      <c r="P183" s="2131"/>
      <c r="Q183" s="1968"/>
      <c r="R183" s="1968"/>
      <c r="S183" s="1968"/>
      <c r="T183" s="1968"/>
      <c r="U183" s="1968"/>
      <c r="V183" s="1968"/>
      <c r="W183" s="1968"/>
      <c r="X183" s="1968"/>
      <c r="Y183" s="1968"/>
      <c r="Z183" s="1968"/>
      <c r="AA183" s="1968"/>
      <c r="AB183" s="1968"/>
      <c r="AC183" s="2131"/>
      <c r="AD183" s="2131"/>
      <c r="AE183" s="2131"/>
      <c r="AF183" s="2131"/>
      <c r="AG183" s="1968"/>
    </row>
    <row r="184" spans="2:33">
      <c r="B184" s="1968"/>
      <c r="C184" s="1968"/>
      <c r="D184" s="1968"/>
      <c r="E184" s="1968"/>
      <c r="F184" s="1968"/>
      <c r="G184" s="1968"/>
      <c r="H184" s="1968"/>
      <c r="I184" s="1968"/>
      <c r="J184" s="2339"/>
      <c r="K184" s="1968"/>
      <c r="L184" s="1968"/>
      <c r="M184" s="1968"/>
      <c r="N184" s="1968"/>
      <c r="O184" s="1968"/>
      <c r="P184" s="2131"/>
      <c r="Q184" s="1968"/>
      <c r="R184" s="1968"/>
      <c r="S184" s="1968"/>
      <c r="T184" s="1968"/>
      <c r="U184" s="1968"/>
      <c r="V184" s="1968"/>
      <c r="W184" s="1968"/>
      <c r="X184" s="1968"/>
      <c r="Y184" s="1968"/>
      <c r="Z184" s="1968"/>
      <c r="AA184" s="1968"/>
      <c r="AB184" s="1968"/>
      <c r="AC184" s="2131"/>
      <c r="AD184" s="2131"/>
      <c r="AE184" s="2131"/>
      <c r="AF184" s="2131"/>
      <c r="AG184" s="1968"/>
    </row>
    <row r="185" spans="2:33">
      <c r="B185" s="1968"/>
      <c r="C185" s="1968"/>
      <c r="D185" s="1968"/>
      <c r="E185" s="1968"/>
      <c r="F185" s="1968"/>
      <c r="G185" s="1968"/>
      <c r="H185" s="1968"/>
      <c r="I185" s="1968"/>
      <c r="J185" s="2339"/>
      <c r="K185" s="1968"/>
      <c r="L185" s="1968"/>
      <c r="M185" s="1968"/>
      <c r="N185" s="1968"/>
      <c r="O185" s="1968"/>
      <c r="P185" s="2131"/>
      <c r="Q185" s="1968"/>
      <c r="R185" s="1968"/>
      <c r="S185" s="1968"/>
      <c r="T185" s="1968"/>
      <c r="U185" s="1968"/>
      <c r="V185" s="1968"/>
      <c r="W185" s="1968"/>
      <c r="X185" s="1968"/>
      <c r="Y185" s="1968"/>
      <c r="Z185" s="1968"/>
      <c r="AA185" s="1968"/>
      <c r="AB185" s="1968"/>
      <c r="AC185" s="2131"/>
      <c r="AD185" s="2131"/>
      <c r="AE185" s="2131"/>
      <c r="AF185" s="2131"/>
      <c r="AG185" s="1968"/>
    </row>
    <row r="186" spans="2:33">
      <c r="B186" s="1968"/>
      <c r="C186" s="1968"/>
      <c r="D186" s="1968"/>
      <c r="E186" s="1968"/>
      <c r="F186" s="1968"/>
      <c r="G186" s="1968"/>
      <c r="H186" s="1968"/>
      <c r="I186" s="1968"/>
      <c r="J186" s="2339"/>
      <c r="K186" s="1968"/>
      <c r="L186" s="1968"/>
      <c r="M186" s="1968"/>
      <c r="N186" s="1968"/>
      <c r="O186" s="1968"/>
      <c r="P186" s="2131"/>
      <c r="Q186" s="1968"/>
      <c r="R186" s="1968"/>
      <c r="S186" s="1968"/>
      <c r="T186" s="1968"/>
      <c r="U186" s="1968"/>
      <c r="V186" s="1968"/>
      <c r="W186" s="1968"/>
      <c r="X186" s="1968"/>
      <c r="Y186" s="1968"/>
      <c r="Z186" s="1968"/>
      <c r="AA186" s="1968"/>
      <c r="AB186" s="1968"/>
      <c r="AC186" s="2131"/>
      <c r="AD186" s="2131"/>
      <c r="AE186" s="2131"/>
      <c r="AF186" s="2131"/>
      <c r="AG186" s="1968"/>
    </row>
    <row r="187" spans="2:33">
      <c r="B187" s="1968"/>
      <c r="C187" s="1968"/>
      <c r="D187" s="1968"/>
      <c r="E187" s="1968"/>
      <c r="F187" s="1968"/>
      <c r="G187" s="1968"/>
      <c r="H187" s="1968"/>
      <c r="I187" s="1968"/>
      <c r="J187" s="2339"/>
      <c r="K187" s="1968"/>
      <c r="L187" s="1968"/>
      <c r="M187" s="1968"/>
      <c r="N187" s="1968"/>
      <c r="O187" s="1968"/>
      <c r="P187" s="2131"/>
      <c r="Q187" s="1968"/>
      <c r="R187" s="1968"/>
      <c r="S187" s="1968"/>
      <c r="T187" s="1968"/>
      <c r="U187" s="1968"/>
      <c r="V187" s="1968"/>
      <c r="W187" s="1968"/>
      <c r="X187" s="1968"/>
      <c r="Y187" s="1968"/>
      <c r="Z187" s="1968"/>
      <c r="AA187" s="1968"/>
      <c r="AB187" s="1968"/>
      <c r="AC187" s="2131"/>
      <c r="AD187" s="2131"/>
      <c r="AE187" s="2131"/>
      <c r="AF187" s="2131"/>
      <c r="AG187" s="1968"/>
    </row>
    <row r="188" spans="2:33">
      <c r="B188" s="1968"/>
      <c r="C188" s="1968"/>
      <c r="D188" s="1968"/>
      <c r="E188" s="1968"/>
      <c r="F188" s="1968"/>
      <c r="G188" s="1968"/>
      <c r="H188" s="1968"/>
      <c r="I188" s="1968"/>
      <c r="J188" s="2339"/>
      <c r="K188" s="1968"/>
      <c r="L188" s="1968"/>
      <c r="M188" s="1968"/>
      <c r="N188" s="1968"/>
      <c r="O188" s="1968"/>
      <c r="P188" s="2131"/>
      <c r="Q188" s="1968"/>
      <c r="R188" s="1968"/>
      <c r="S188" s="1968"/>
      <c r="T188" s="1968"/>
      <c r="U188" s="1968"/>
      <c r="V188" s="1968"/>
      <c r="W188" s="1968"/>
      <c r="X188" s="1968"/>
      <c r="Y188" s="1968"/>
      <c r="Z188" s="1968"/>
      <c r="AA188" s="1968"/>
      <c r="AB188" s="1968"/>
      <c r="AC188" s="2131"/>
      <c r="AD188" s="2131"/>
      <c r="AE188" s="2131"/>
      <c r="AF188" s="2131"/>
      <c r="AG188" s="1968"/>
    </row>
    <row r="189" spans="2:33">
      <c r="B189" s="1968"/>
      <c r="C189" s="1968"/>
      <c r="D189" s="1968"/>
      <c r="E189" s="1968"/>
      <c r="F189" s="1968"/>
      <c r="G189" s="1968"/>
      <c r="H189" s="1968"/>
      <c r="I189" s="1968"/>
      <c r="J189" s="2339"/>
      <c r="K189" s="1968"/>
      <c r="L189" s="1968"/>
      <c r="M189" s="1968"/>
      <c r="N189" s="1968"/>
      <c r="O189" s="1968"/>
      <c r="P189" s="2131"/>
      <c r="Q189" s="1968"/>
      <c r="R189" s="1968"/>
      <c r="S189" s="1968"/>
      <c r="T189" s="1968"/>
      <c r="U189" s="1968"/>
      <c r="V189" s="1968"/>
      <c r="W189" s="1968"/>
      <c r="X189" s="1968"/>
      <c r="Y189" s="1968"/>
      <c r="Z189" s="1968"/>
      <c r="AA189" s="1968"/>
      <c r="AB189" s="1968"/>
      <c r="AC189" s="2131"/>
      <c r="AD189" s="2131"/>
      <c r="AE189" s="2131"/>
      <c r="AF189" s="2131"/>
      <c r="AG189" s="1968"/>
    </row>
    <row r="190" spans="2:33">
      <c r="B190" s="1968"/>
      <c r="C190" s="1968"/>
      <c r="D190" s="1968"/>
      <c r="E190" s="1968"/>
      <c r="F190" s="1968"/>
      <c r="G190" s="1968"/>
      <c r="H190" s="1968"/>
      <c r="I190" s="1968"/>
      <c r="J190" s="2339"/>
      <c r="K190" s="1968"/>
      <c r="L190" s="1968"/>
      <c r="M190" s="1968"/>
      <c r="N190" s="1968"/>
      <c r="O190" s="1968"/>
      <c r="P190" s="2131"/>
      <c r="Q190" s="1968"/>
      <c r="R190" s="1968"/>
      <c r="S190" s="1968"/>
      <c r="T190" s="1968"/>
      <c r="U190" s="1968"/>
      <c r="V190" s="1968"/>
      <c r="W190" s="1968"/>
      <c r="X190" s="1968"/>
      <c r="Y190" s="1968"/>
      <c r="Z190" s="1968"/>
      <c r="AA190" s="1968"/>
      <c r="AB190" s="1968"/>
      <c r="AC190" s="2131"/>
      <c r="AD190" s="2131"/>
      <c r="AE190" s="2131"/>
      <c r="AF190" s="2131"/>
      <c r="AG190" s="1968"/>
    </row>
    <row r="191" spans="2:33">
      <c r="B191" s="1968"/>
      <c r="C191" s="1968"/>
      <c r="D191" s="1968"/>
      <c r="E191" s="1968"/>
      <c r="F191" s="1968"/>
      <c r="G191" s="1968"/>
      <c r="H191" s="1968"/>
      <c r="I191" s="1968"/>
      <c r="J191" s="2339"/>
      <c r="K191" s="1968"/>
      <c r="L191" s="1968"/>
      <c r="M191" s="1968"/>
      <c r="N191" s="1968"/>
      <c r="O191" s="1968"/>
      <c r="P191" s="2131"/>
      <c r="Q191" s="1968"/>
      <c r="R191" s="1968"/>
      <c r="S191" s="1968"/>
      <c r="T191" s="1968"/>
      <c r="U191" s="1968"/>
      <c r="V191" s="1968"/>
      <c r="W191" s="1968"/>
      <c r="X191" s="1968"/>
      <c r="Y191" s="1968"/>
      <c r="Z191" s="1968"/>
      <c r="AA191" s="1968"/>
      <c r="AB191" s="1968"/>
      <c r="AC191" s="2131"/>
      <c r="AD191" s="2131"/>
      <c r="AE191" s="2131"/>
      <c r="AF191" s="2131"/>
      <c r="AG191" s="1968"/>
    </row>
    <row r="192" spans="2:33">
      <c r="B192" s="1968"/>
      <c r="C192" s="1968"/>
      <c r="D192" s="1968"/>
      <c r="E192" s="1968"/>
      <c r="F192" s="1968"/>
      <c r="G192" s="1968"/>
      <c r="H192" s="1968"/>
      <c r="I192" s="1968"/>
      <c r="J192" s="2339"/>
      <c r="K192" s="1968"/>
      <c r="L192" s="1968"/>
      <c r="M192" s="1968"/>
      <c r="N192" s="1968"/>
      <c r="O192" s="1968"/>
      <c r="P192" s="2131"/>
      <c r="Q192" s="1968"/>
      <c r="R192" s="1968"/>
      <c r="S192" s="1968"/>
      <c r="T192" s="1968"/>
      <c r="U192" s="1968"/>
      <c r="V192" s="1968"/>
      <c r="W192" s="1968"/>
      <c r="X192" s="1968"/>
      <c r="Y192" s="1968"/>
      <c r="Z192" s="1968"/>
      <c r="AA192" s="1968"/>
      <c r="AB192" s="1968"/>
      <c r="AC192" s="2131"/>
      <c r="AD192" s="2131"/>
      <c r="AE192" s="2131"/>
      <c r="AF192" s="2131"/>
      <c r="AG192" s="1968"/>
    </row>
    <row r="193" spans="2:33">
      <c r="B193" s="1968"/>
      <c r="C193" s="1968"/>
      <c r="D193" s="1968"/>
      <c r="E193" s="1968"/>
      <c r="F193" s="1968"/>
      <c r="G193" s="1968"/>
      <c r="H193" s="1968"/>
      <c r="I193" s="1968"/>
      <c r="J193" s="2339"/>
      <c r="K193" s="1968"/>
      <c r="L193" s="1968"/>
      <c r="M193" s="1968"/>
      <c r="N193" s="1968"/>
      <c r="O193" s="1968"/>
      <c r="P193" s="2131"/>
      <c r="Q193" s="1968"/>
      <c r="R193" s="1968"/>
      <c r="S193" s="1968"/>
      <c r="T193" s="1968"/>
      <c r="U193" s="1968"/>
      <c r="V193" s="1968"/>
      <c r="W193" s="1968"/>
      <c r="X193" s="1968"/>
      <c r="Y193" s="1968"/>
      <c r="Z193" s="1968"/>
      <c r="AA193" s="1968"/>
      <c r="AB193" s="1968"/>
      <c r="AC193" s="2131"/>
      <c r="AD193" s="2131"/>
      <c r="AE193" s="2131"/>
      <c r="AF193" s="2131"/>
      <c r="AG193" s="1968"/>
    </row>
    <row r="194" spans="2:33">
      <c r="B194" s="1968"/>
      <c r="C194" s="1968"/>
      <c r="D194" s="1968"/>
      <c r="E194" s="1968"/>
      <c r="F194" s="1968"/>
      <c r="G194" s="1968"/>
      <c r="H194" s="1968"/>
      <c r="I194" s="1968"/>
      <c r="J194" s="2339"/>
      <c r="K194" s="1968"/>
      <c r="L194" s="1968"/>
      <c r="M194" s="1968"/>
      <c r="N194" s="1968"/>
      <c r="O194" s="1968"/>
      <c r="P194" s="2131"/>
      <c r="Q194" s="1968"/>
      <c r="R194" s="1968"/>
      <c r="S194" s="1968"/>
      <c r="T194" s="1968"/>
      <c r="U194" s="1968"/>
      <c r="V194" s="1968"/>
      <c r="W194" s="1968"/>
      <c r="X194" s="1968"/>
      <c r="Y194" s="1968"/>
      <c r="Z194" s="1968"/>
      <c r="AA194" s="1968"/>
      <c r="AB194" s="1968"/>
      <c r="AC194" s="2131"/>
      <c r="AD194" s="2131"/>
      <c r="AE194" s="2131"/>
      <c r="AF194" s="2131"/>
      <c r="AG194" s="1968"/>
    </row>
    <row r="195" spans="2:33">
      <c r="B195" s="1968"/>
      <c r="C195" s="1968"/>
      <c r="D195" s="1968"/>
      <c r="E195" s="1968"/>
      <c r="F195" s="1968"/>
      <c r="G195" s="1968"/>
      <c r="H195" s="1968"/>
      <c r="I195" s="1968"/>
      <c r="J195" s="2339"/>
      <c r="K195" s="1968"/>
      <c r="L195" s="1968"/>
      <c r="M195" s="1968"/>
      <c r="N195" s="1968"/>
      <c r="O195" s="1968"/>
      <c r="P195" s="2131"/>
      <c r="Q195" s="1968"/>
      <c r="R195" s="1968"/>
      <c r="S195" s="1968"/>
      <c r="T195" s="1968"/>
      <c r="U195" s="1968"/>
      <c r="V195" s="1968"/>
      <c r="W195" s="1968"/>
      <c r="X195" s="1968"/>
      <c r="Y195" s="1968"/>
      <c r="Z195" s="1968"/>
      <c r="AA195" s="1968"/>
      <c r="AB195" s="1968"/>
      <c r="AC195" s="2131"/>
      <c r="AD195" s="2131"/>
      <c r="AE195" s="2131"/>
      <c r="AF195" s="2131"/>
      <c r="AG195" s="1968"/>
    </row>
    <row r="196" spans="2:33">
      <c r="B196" s="1968"/>
      <c r="C196" s="1968"/>
      <c r="D196" s="1968"/>
      <c r="E196" s="1968"/>
      <c r="F196" s="1968"/>
      <c r="G196" s="1968"/>
      <c r="H196" s="1968"/>
      <c r="I196" s="1968"/>
      <c r="J196" s="2339"/>
      <c r="K196" s="1968"/>
      <c r="L196" s="1968"/>
      <c r="M196" s="1968"/>
      <c r="N196" s="1968"/>
      <c r="O196" s="1968"/>
      <c r="P196" s="2131"/>
      <c r="Q196" s="1968"/>
      <c r="R196" s="1968"/>
      <c r="S196" s="1968"/>
      <c r="T196" s="1968"/>
      <c r="U196" s="1968"/>
      <c r="V196" s="1968"/>
      <c r="W196" s="1968"/>
      <c r="X196" s="1968"/>
      <c r="Y196" s="1968"/>
      <c r="Z196" s="1968"/>
      <c r="AA196" s="1968"/>
      <c r="AB196" s="1968"/>
      <c r="AC196" s="2131"/>
      <c r="AD196" s="2131"/>
      <c r="AE196" s="2131"/>
      <c r="AF196" s="2131"/>
      <c r="AG196" s="1968"/>
    </row>
    <row r="197" spans="2:33">
      <c r="B197" s="1968"/>
      <c r="C197" s="1968"/>
      <c r="D197" s="1968"/>
      <c r="E197" s="1968"/>
      <c r="F197" s="1968"/>
      <c r="G197" s="1968"/>
      <c r="H197" s="1968"/>
      <c r="I197" s="1968"/>
      <c r="J197" s="2339"/>
      <c r="K197" s="1968"/>
      <c r="L197" s="1968"/>
      <c r="M197" s="1968"/>
      <c r="N197" s="1968"/>
      <c r="O197" s="1968"/>
      <c r="P197" s="2131"/>
      <c r="Q197" s="1968"/>
      <c r="R197" s="1968"/>
      <c r="S197" s="1968"/>
      <c r="T197" s="1968"/>
      <c r="U197" s="1968"/>
      <c r="V197" s="1968"/>
      <c r="W197" s="1968"/>
      <c r="X197" s="1968"/>
      <c r="Y197" s="1968"/>
      <c r="Z197" s="1968"/>
      <c r="AA197" s="1968"/>
      <c r="AB197" s="1968"/>
      <c r="AC197" s="2131"/>
      <c r="AD197" s="2131"/>
      <c r="AE197" s="2131"/>
      <c r="AF197" s="2131"/>
      <c r="AG197" s="1968"/>
    </row>
    <row r="198" spans="2:33">
      <c r="B198" s="1968"/>
      <c r="C198" s="1968"/>
      <c r="D198" s="1968"/>
      <c r="E198" s="1968"/>
      <c r="F198" s="1968"/>
      <c r="G198" s="1968"/>
      <c r="H198" s="1968"/>
      <c r="I198" s="1968"/>
      <c r="J198" s="2339"/>
      <c r="K198" s="1968"/>
      <c r="L198" s="1968"/>
      <c r="M198" s="1968"/>
      <c r="N198" s="1968"/>
      <c r="O198" s="1968"/>
      <c r="P198" s="2131"/>
      <c r="Q198" s="1968"/>
      <c r="R198" s="1968"/>
      <c r="S198" s="1968"/>
      <c r="T198" s="1968"/>
      <c r="U198" s="1968"/>
      <c r="V198" s="1968"/>
      <c r="W198" s="1968"/>
      <c r="X198" s="1968"/>
      <c r="Y198" s="1968"/>
      <c r="Z198" s="1968"/>
      <c r="AA198" s="1968"/>
      <c r="AB198" s="1968"/>
      <c r="AC198" s="2131"/>
      <c r="AD198" s="2131"/>
      <c r="AE198" s="2131"/>
      <c r="AF198" s="2131"/>
      <c r="AG198" s="1968"/>
    </row>
    <row r="199" spans="2:33">
      <c r="B199" s="1968"/>
      <c r="C199" s="1968"/>
      <c r="D199" s="1968"/>
      <c r="E199" s="1968"/>
      <c r="F199" s="1968"/>
      <c r="G199" s="1968"/>
      <c r="H199" s="1968"/>
      <c r="I199" s="1968"/>
      <c r="J199" s="2339"/>
      <c r="K199" s="1968"/>
      <c r="L199" s="1968"/>
      <c r="M199" s="1968"/>
      <c r="N199" s="1968"/>
      <c r="O199" s="1968"/>
      <c r="P199" s="2131"/>
      <c r="Q199" s="1968"/>
      <c r="R199" s="1968"/>
      <c r="S199" s="1968"/>
      <c r="T199" s="1968"/>
      <c r="U199" s="1968"/>
      <c r="V199" s="1968"/>
      <c r="W199" s="1968"/>
      <c r="X199" s="1968"/>
      <c r="Y199" s="1968"/>
      <c r="Z199" s="1968"/>
      <c r="AA199" s="1968"/>
      <c r="AB199" s="1968"/>
      <c r="AC199" s="2131"/>
      <c r="AD199" s="2131"/>
      <c r="AE199" s="2131"/>
      <c r="AF199" s="2131"/>
      <c r="AG199" s="1968"/>
    </row>
    <row r="200" spans="2:33">
      <c r="B200" s="1968"/>
      <c r="C200" s="1968"/>
      <c r="D200" s="1968"/>
      <c r="E200" s="1968"/>
      <c r="F200" s="1968"/>
      <c r="G200" s="1968"/>
      <c r="H200" s="1968"/>
      <c r="I200" s="1968"/>
      <c r="J200" s="2339"/>
      <c r="K200" s="1968"/>
      <c r="L200" s="1968"/>
      <c r="M200" s="1968"/>
      <c r="N200" s="1968"/>
      <c r="O200" s="1968"/>
      <c r="P200" s="2131"/>
      <c r="Q200" s="1968"/>
      <c r="R200" s="1968"/>
      <c r="S200" s="1968"/>
      <c r="T200" s="1968"/>
      <c r="U200" s="1968"/>
      <c r="V200" s="1968"/>
      <c r="W200" s="1968"/>
      <c r="X200" s="1968"/>
      <c r="Y200" s="1968"/>
      <c r="Z200" s="1968"/>
      <c r="AA200" s="1968"/>
      <c r="AB200" s="1968"/>
      <c r="AC200" s="2131"/>
      <c r="AD200" s="2131"/>
      <c r="AE200" s="2131"/>
      <c r="AF200" s="2131"/>
      <c r="AG200" s="1968"/>
    </row>
    <row r="201" spans="2:33">
      <c r="B201" s="1968"/>
      <c r="C201" s="1968"/>
      <c r="D201" s="1968"/>
      <c r="E201" s="1968"/>
      <c r="F201" s="1968"/>
      <c r="G201" s="1968"/>
      <c r="H201" s="1968"/>
      <c r="I201" s="1968"/>
      <c r="J201" s="2339"/>
      <c r="K201" s="1968"/>
      <c r="L201" s="1968"/>
      <c r="M201" s="1968"/>
      <c r="N201" s="1968"/>
      <c r="O201" s="1968"/>
      <c r="P201" s="2131"/>
      <c r="Q201" s="1968"/>
      <c r="R201" s="1968"/>
      <c r="S201" s="1968"/>
      <c r="T201" s="1968"/>
      <c r="U201" s="1968"/>
      <c r="V201" s="1968"/>
      <c r="W201" s="1968"/>
      <c r="X201" s="1968"/>
      <c r="Y201" s="1968"/>
      <c r="Z201" s="1968"/>
      <c r="AA201" s="1968"/>
      <c r="AB201" s="1968"/>
      <c r="AC201" s="2131"/>
      <c r="AD201" s="2131"/>
      <c r="AE201" s="2131"/>
      <c r="AF201" s="2131"/>
      <c r="AG201" s="1968"/>
    </row>
    <row r="202" spans="2:33">
      <c r="B202" s="1968"/>
      <c r="C202" s="1968"/>
      <c r="D202" s="1968"/>
      <c r="E202" s="1968"/>
      <c r="F202" s="1968"/>
      <c r="G202" s="1968"/>
      <c r="H202" s="1968"/>
      <c r="I202" s="1968"/>
      <c r="J202" s="2339"/>
      <c r="K202" s="1968"/>
      <c r="L202" s="1968"/>
      <c r="M202" s="1968"/>
      <c r="N202" s="1968"/>
      <c r="O202" s="1968"/>
      <c r="P202" s="2131"/>
      <c r="Q202" s="1968"/>
      <c r="R202" s="1968"/>
      <c r="S202" s="1968"/>
      <c r="T202" s="1968"/>
      <c r="U202" s="1968"/>
      <c r="V202" s="1968"/>
      <c r="W202" s="1968"/>
      <c r="X202" s="1968"/>
      <c r="Y202" s="1968"/>
      <c r="Z202" s="1968"/>
      <c r="AA202" s="1968"/>
      <c r="AB202" s="1968"/>
      <c r="AC202" s="2131"/>
      <c r="AD202" s="2131"/>
      <c r="AE202" s="2131"/>
      <c r="AF202" s="2131"/>
      <c r="AG202" s="1968"/>
    </row>
    <row r="203" spans="2:33">
      <c r="B203" s="1968"/>
      <c r="C203" s="1968"/>
      <c r="D203" s="1968"/>
      <c r="E203" s="1968"/>
      <c r="F203" s="1968"/>
      <c r="G203" s="1968"/>
      <c r="H203" s="1968"/>
      <c r="I203" s="1968"/>
      <c r="J203" s="2339"/>
      <c r="K203" s="1968"/>
      <c r="L203" s="1968"/>
      <c r="M203" s="1968"/>
      <c r="N203" s="1968"/>
      <c r="O203" s="1968"/>
      <c r="P203" s="2131"/>
      <c r="Q203" s="1968"/>
      <c r="R203" s="1968"/>
      <c r="S203" s="1968"/>
      <c r="T203" s="1968"/>
      <c r="U203" s="1968"/>
      <c r="V203" s="1968"/>
      <c r="W203" s="1968"/>
      <c r="X203" s="1968"/>
      <c r="Y203" s="1968"/>
      <c r="Z203" s="1968"/>
      <c r="AA203" s="1968"/>
      <c r="AB203" s="1968"/>
      <c r="AC203" s="2131"/>
      <c r="AD203" s="2131"/>
      <c r="AE203" s="2131"/>
      <c r="AF203" s="2131"/>
      <c r="AG203" s="1968"/>
    </row>
    <row r="204" spans="2:33">
      <c r="B204" s="1968"/>
      <c r="C204" s="1968"/>
      <c r="D204" s="1968"/>
      <c r="E204" s="1968"/>
      <c r="F204" s="1968"/>
      <c r="G204" s="1968"/>
      <c r="H204" s="1968"/>
      <c r="I204" s="1968"/>
      <c r="J204" s="2339"/>
      <c r="K204" s="1968"/>
      <c r="L204" s="1968"/>
      <c r="M204" s="1968"/>
      <c r="N204" s="1968"/>
      <c r="O204" s="1968"/>
      <c r="P204" s="2131"/>
      <c r="Q204" s="1968"/>
      <c r="R204" s="1968"/>
      <c r="S204" s="1968"/>
      <c r="T204" s="1968"/>
      <c r="U204" s="1968"/>
      <c r="V204" s="1968"/>
      <c r="W204" s="1968"/>
      <c r="X204" s="1968"/>
      <c r="Y204" s="1968"/>
      <c r="Z204" s="1968"/>
      <c r="AA204" s="1968"/>
      <c r="AB204" s="1968"/>
      <c r="AC204" s="2131"/>
      <c r="AD204" s="2131"/>
      <c r="AE204" s="2131"/>
      <c r="AF204" s="2131"/>
      <c r="AG204" s="1968"/>
    </row>
    <row r="205" spans="2:33">
      <c r="B205" s="1968"/>
      <c r="C205" s="1968"/>
      <c r="D205" s="1968"/>
      <c r="E205" s="1968"/>
      <c r="F205" s="1968"/>
      <c r="G205" s="1968"/>
      <c r="H205" s="1968"/>
      <c r="I205" s="1968"/>
      <c r="J205" s="2339"/>
      <c r="K205" s="1968"/>
      <c r="L205" s="1968"/>
      <c r="M205" s="1968"/>
      <c r="N205" s="1968"/>
      <c r="O205" s="1968"/>
      <c r="P205" s="2131"/>
      <c r="Q205" s="1968"/>
      <c r="R205" s="1968"/>
      <c r="S205" s="1968"/>
      <c r="T205" s="1968"/>
      <c r="U205" s="1968"/>
      <c r="V205" s="1968"/>
      <c r="W205" s="1968"/>
      <c r="X205" s="1968"/>
      <c r="Y205" s="1968"/>
      <c r="Z205" s="1968"/>
      <c r="AA205" s="1968"/>
      <c r="AB205" s="1968"/>
      <c r="AC205" s="2131"/>
      <c r="AD205" s="2131"/>
      <c r="AE205" s="2131"/>
      <c r="AF205" s="2131"/>
      <c r="AG205" s="1968"/>
    </row>
    <row r="206" spans="2:33">
      <c r="B206" s="1968"/>
      <c r="C206" s="1968"/>
      <c r="D206" s="1968"/>
      <c r="E206" s="1968"/>
      <c r="F206" s="1968"/>
      <c r="G206" s="1968"/>
      <c r="H206" s="1968"/>
      <c r="I206" s="1968"/>
      <c r="J206" s="2339"/>
      <c r="K206" s="1968"/>
      <c r="L206" s="1968"/>
      <c r="M206" s="1968"/>
      <c r="N206" s="1968"/>
      <c r="O206" s="1968"/>
      <c r="P206" s="2131"/>
      <c r="Q206" s="1968"/>
      <c r="R206" s="1968"/>
      <c r="S206" s="1968"/>
      <c r="T206" s="1968"/>
      <c r="U206" s="1968"/>
      <c r="V206" s="1968"/>
      <c r="W206" s="1968"/>
      <c r="X206" s="1968"/>
      <c r="Y206" s="1968"/>
      <c r="Z206" s="1968"/>
      <c r="AA206" s="1968"/>
      <c r="AB206" s="1968"/>
      <c r="AC206" s="2131"/>
      <c r="AD206" s="2131"/>
      <c r="AE206" s="2131"/>
      <c r="AF206" s="2131"/>
      <c r="AG206" s="1968"/>
    </row>
    <row r="207" spans="2:33">
      <c r="B207" s="1968"/>
      <c r="C207" s="1968"/>
      <c r="D207" s="1968"/>
      <c r="E207" s="1968"/>
      <c r="F207" s="1968"/>
      <c r="G207" s="1968"/>
      <c r="H207" s="1968"/>
      <c r="I207" s="1968"/>
      <c r="J207" s="2339"/>
      <c r="K207" s="1968"/>
      <c r="L207" s="1968"/>
      <c r="M207" s="1968"/>
      <c r="N207" s="1968"/>
      <c r="O207" s="1968"/>
      <c r="P207" s="2131"/>
      <c r="Q207" s="1968"/>
      <c r="R207" s="1968"/>
      <c r="S207" s="1968"/>
      <c r="T207" s="1968"/>
      <c r="U207" s="1968"/>
      <c r="V207" s="1968"/>
      <c r="W207" s="1968"/>
      <c r="X207" s="1968"/>
      <c r="Y207" s="1968"/>
      <c r="Z207" s="1968"/>
      <c r="AA207" s="1968"/>
      <c r="AB207" s="1968"/>
      <c r="AC207" s="2131"/>
      <c r="AD207" s="2131"/>
      <c r="AE207" s="2131"/>
      <c r="AF207" s="2131"/>
      <c r="AG207" s="1968"/>
    </row>
    <row r="208" spans="2:33">
      <c r="B208" s="1968"/>
      <c r="C208" s="1968"/>
      <c r="D208" s="1968"/>
      <c r="E208" s="1968"/>
      <c r="F208" s="1968"/>
      <c r="G208" s="1968"/>
      <c r="H208" s="1968"/>
      <c r="I208" s="1968"/>
      <c r="J208" s="2339"/>
      <c r="K208" s="1968"/>
      <c r="L208" s="1968"/>
      <c r="M208" s="1968"/>
      <c r="N208" s="1968"/>
      <c r="O208" s="1968"/>
      <c r="P208" s="2131"/>
      <c r="Q208" s="1968"/>
      <c r="R208" s="1968"/>
      <c r="S208" s="1968"/>
      <c r="T208" s="1968"/>
      <c r="U208" s="1968"/>
      <c r="V208" s="1968"/>
      <c r="W208" s="1968"/>
      <c r="X208" s="1968"/>
      <c r="Y208" s="1968"/>
      <c r="Z208" s="1968"/>
      <c r="AA208" s="1968"/>
      <c r="AB208" s="1968"/>
      <c r="AC208" s="2131"/>
      <c r="AD208" s="2131"/>
      <c r="AE208" s="2131"/>
      <c r="AF208" s="2131"/>
      <c r="AG208" s="1968"/>
    </row>
    <row r="209" spans="2:33">
      <c r="B209" s="1968"/>
      <c r="C209" s="1968"/>
      <c r="D209" s="1968"/>
      <c r="E209" s="1968"/>
      <c r="F209" s="1968"/>
      <c r="G209" s="1968"/>
      <c r="H209" s="1968"/>
      <c r="I209" s="1968"/>
      <c r="J209" s="2339"/>
      <c r="K209" s="1968"/>
      <c r="L209" s="1968"/>
      <c r="M209" s="1968"/>
      <c r="N209" s="1968"/>
      <c r="O209" s="1968"/>
      <c r="P209" s="2131"/>
      <c r="Q209" s="1968"/>
      <c r="R209" s="1968"/>
      <c r="S209" s="1968"/>
      <c r="T209" s="1968"/>
      <c r="U209" s="1968"/>
      <c r="V209" s="1968"/>
      <c r="W209" s="1968"/>
      <c r="X209" s="1968"/>
      <c r="Y209" s="1968"/>
      <c r="Z209" s="1968"/>
      <c r="AA209" s="1968"/>
      <c r="AB209" s="1968"/>
      <c r="AC209" s="2131"/>
      <c r="AD209" s="2131"/>
      <c r="AE209" s="2131"/>
      <c r="AF209" s="2131"/>
      <c r="AG209" s="1968"/>
    </row>
    <row r="210" spans="2:33">
      <c r="B210" s="1968"/>
      <c r="C210" s="1968"/>
      <c r="D210" s="1968"/>
      <c r="E210" s="1968"/>
      <c r="F210" s="1968"/>
      <c r="G210" s="1968"/>
      <c r="H210" s="1968"/>
      <c r="I210" s="1968"/>
      <c r="J210" s="2339"/>
      <c r="K210" s="1968"/>
      <c r="L210" s="1968"/>
      <c r="M210" s="1968"/>
      <c r="N210" s="1968"/>
      <c r="O210" s="1968"/>
      <c r="P210" s="2131"/>
      <c r="Q210" s="1968"/>
      <c r="R210" s="1968"/>
      <c r="S210" s="1968"/>
      <c r="T210" s="1968"/>
      <c r="U210" s="1968"/>
      <c r="V210" s="1968"/>
      <c r="W210" s="1968"/>
      <c r="X210" s="1968"/>
      <c r="Y210" s="1968"/>
      <c r="Z210" s="1968"/>
      <c r="AA210" s="1968"/>
      <c r="AB210" s="1968"/>
      <c r="AC210" s="2131"/>
      <c r="AD210" s="2131"/>
      <c r="AE210" s="2131"/>
      <c r="AF210" s="2131"/>
      <c r="AG210" s="1968"/>
    </row>
    <row r="211" spans="2:33">
      <c r="B211" s="1968"/>
      <c r="C211" s="1968"/>
      <c r="D211" s="1968"/>
      <c r="E211" s="1968"/>
      <c r="F211" s="1968"/>
      <c r="G211" s="1968"/>
      <c r="H211" s="1968"/>
      <c r="I211" s="1968"/>
      <c r="J211" s="2339"/>
      <c r="K211" s="1968"/>
      <c r="L211" s="1968"/>
      <c r="M211" s="1968"/>
      <c r="N211" s="1968"/>
      <c r="O211" s="1968"/>
      <c r="P211" s="2131"/>
      <c r="Q211" s="1968"/>
      <c r="R211" s="1968"/>
      <c r="S211" s="1968"/>
      <c r="T211" s="1968"/>
      <c r="U211" s="1968"/>
      <c r="V211" s="1968"/>
      <c r="W211" s="1968"/>
      <c r="X211" s="1968"/>
      <c r="Y211" s="1968"/>
      <c r="Z211" s="1968"/>
      <c r="AA211" s="1968"/>
      <c r="AB211" s="1968"/>
      <c r="AC211" s="2131"/>
      <c r="AD211" s="2131"/>
      <c r="AE211" s="2131"/>
      <c r="AF211" s="2131"/>
      <c r="AG211" s="1968"/>
    </row>
    <row r="212" spans="2:33">
      <c r="B212" s="1968"/>
      <c r="C212" s="1968"/>
      <c r="D212" s="1968"/>
      <c r="E212" s="1968"/>
      <c r="F212" s="1968"/>
      <c r="G212" s="1968"/>
      <c r="H212" s="1968"/>
      <c r="I212" s="1968"/>
      <c r="J212" s="2339"/>
      <c r="K212" s="1968"/>
      <c r="L212" s="1968"/>
      <c r="M212" s="1968"/>
      <c r="N212" s="1968"/>
      <c r="O212" s="1968"/>
      <c r="P212" s="2131"/>
      <c r="Q212" s="1968"/>
      <c r="R212" s="1968"/>
      <c r="S212" s="1968"/>
      <c r="T212" s="1968"/>
      <c r="U212" s="1968"/>
      <c r="V212" s="1968"/>
      <c r="W212" s="1968"/>
      <c r="X212" s="1968"/>
      <c r="Y212" s="1968"/>
      <c r="Z212" s="1968"/>
      <c r="AA212" s="1968"/>
      <c r="AB212" s="1968"/>
      <c r="AC212" s="2131"/>
      <c r="AD212" s="2131"/>
      <c r="AE212" s="2131"/>
      <c r="AF212" s="2131"/>
      <c r="AG212" s="1968"/>
    </row>
    <row r="213" spans="2:33">
      <c r="B213" s="1968"/>
      <c r="C213" s="1968"/>
      <c r="D213" s="1968"/>
      <c r="E213" s="1968"/>
      <c r="F213" s="1968"/>
      <c r="G213" s="1968"/>
      <c r="H213" s="1968"/>
      <c r="I213" s="1968"/>
      <c r="J213" s="2339"/>
      <c r="K213" s="1968"/>
      <c r="L213" s="1968"/>
      <c r="M213" s="1968"/>
      <c r="N213" s="1968"/>
      <c r="O213" s="1968"/>
      <c r="P213" s="2131"/>
      <c r="Q213" s="1968"/>
      <c r="R213" s="1968"/>
      <c r="S213" s="1968"/>
      <c r="T213" s="1968"/>
      <c r="U213" s="1968"/>
      <c r="V213" s="1968"/>
      <c r="W213" s="1968"/>
      <c r="X213" s="1968"/>
      <c r="Y213" s="1968"/>
      <c r="Z213" s="1968"/>
      <c r="AA213" s="1968"/>
      <c r="AB213" s="1968"/>
      <c r="AC213" s="2131"/>
      <c r="AD213" s="2131"/>
      <c r="AE213" s="2131"/>
      <c r="AF213" s="2131"/>
      <c r="AG213" s="1968"/>
    </row>
    <row r="214" spans="2:33">
      <c r="B214" s="1968"/>
      <c r="C214" s="1968"/>
      <c r="D214" s="1968"/>
      <c r="E214" s="1968"/>
      <c r="F214" s="1968"/>
      <c r="G214" s="1968"/>
      <c r="H214" s="1968"/>
      <c r="I214" s="1968"/>
      <c r="J214" s="2339"/>
      <c r="K214" s="1968"/>
      <c r="L214" s="1968"/>
      <c r="M214" s="1968"/>
      <c r="N214" s="1968"/>
      <c r="O214" s="1968"/>
      <c r="P214" s="2131"/>
      <c r="Q214" s="1968"/>
      <c r="R214" s="1968"/>
      <c r="S214" s="1968"/>
      <c r="T214" s="1968"/>
      <c r="U214" s="1968"/>
      <c r="V214" s="1968"/>
      <c r="W214" s="1968"/>
      <c r="X214" s="1968"/>
      <c r="Y214" s="1968"/>
      <c r="Z214" s="1968"/>
      <c r="AA214" s="1968"/>
      <c r="AB214" s="1968"/>
      <c r="AC214" s="2131"/>
      <c r="AD214" s="2131"/>
      <c r="AE214" s="2131"/>
      <c r="AF214" s="2131"/>
      <c r="AG214" s="1968"/>
    </row>
    <row r="215" spans="2:33">
      <c r="B215" s="1968"/>
      <c r="C215" s="1968"/>
      <c r="D215" s="1968"/>
      <c r="E215" s="1968"/>
      <c r="F215" s="1968"/>
      <c r="G215" s="1968"/>
      <c r="H215" s="1968"/>
      <c r="I215" s="1968"/>
      <c r="J215" s="2339"/>
      <c r="K215" s="1968"/>
      <c r="L215" s="1968"/>
      <c r="M215" s="1968"/>
      <c r="N215" s="1968"/>
      <c r="O215" s="1968"/>
      <c r="P215" s="2131"/>
      <c r="Q215" s="1968"/>
      <c r="R215" s="1968"/>
      <c r="S215" s="1968"/>
      <c r="T215" s="1968"/>
      <c r="U215" s="1968"/>
      <c r="V215" s="1968"/>
      <c r="W215" s="1968"/>
      <c r="X215" s="1968"/>
      <c r="Y215" s="1968"/>
      <c r="Z215" s="1968"/>
      <c r="AA215" s="1968"/>
      <c r="AB215" s="1968"/>
      <c r="AC215" s="2131"/>
      <c r="AD215" s="2131"/>
      <c r="AE215" s="2131"/>
      <c r="AF215" s="2131"/>
      <c r="AG215" s="1968"/>
    </row>
    <row r="216" spans="2:33">
      <c r="B216" s="1968"/>
      <c r="C216" s="1968"/>
      <c r="D216" s="1968"/>
      <c r="E216" s="1968"/>
      <c r="F216" s="1968"/>
      <c r="G216" s="1968"/>
      <c r="H216" s="1968"/>
      <c r="I216" s="1968"/>
      <c r="J216" s="2339"/>
      <c r="K216" s="1968"/>
      <c r="L216" s="1968"/>
      <c r="M216" s="1968"/>
      <c r="N216" s="1968"/>
      <c r="O216" s="1968"/>
      <c r="P216" s="2131"/>
      <c r="Q216" s="1968"/>
      <c r="R216" s="1968"/>
      <c r="S216" s="1968"/>
      <c r="T216" s="1968"/>
      <c r="U216" s="1968"/>
      <c r="V216" s="1968"/>
      <c r="W216" s="1968"/>
      <c r="X216" s="1968"/>
      <c r="Y216" s="1968"/>
      <c r="Z216" s="1968"/>
      <c r="AA216" s="1968"/>
      <c r="AB216" s="1968"/>
      <c r="AC216" s="2131"/>
      <c r="AD216" s="2131"/>
      <c r="AE216" s="2131"/>
      <c r="AF216" s="2131"/>
      <c r="AG216" s="1968"/>
    </row>
  </sheetData>
  <mergeCells count="1">
    <mergeCell ref="AB8:AK8"/>
  </mergeCells>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8" min="1" max="36" man="1"/>
  </rowBreaks>
  <ignoredErrors>
    <ignoredError sqref="AK132:AK133 AK120:AK121 AK123:AK130 AK17:AK21 AK92:AK93 AK105:AK110 AK68:AK70 AK84 AK95:AK96 AK53:AK57 AK59:AK61 AK32:AK33 AK36:AK41 AK65:AK66 AK113:AK118 AK24:AK30 AK98:AK103 AK44:AK49 AK63" unlockedFormula="1"/>
    <ignoredError sqref="AI20 D22 AK89:AK90 AK131 AK104 AK87 AK62 AK42 AK22 F22" formula="1"/>
    <ignoredError sqref="AK78 AK71 AK88 AK76 AK73"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5"/>
  <sheetViews>
    <sheetView showGridLines="0" zoomScale="80" zoomScaleNormal="55" workbookViewId="0"/>
  </sheetViews>
  <sheetFormatPr defaultColWidth="8.6640625" defaultRowHeight="15"/>
  <cols>
    <col min="1" max="1" width="1.6640625" style="1965" customWidth="1"/>
    <col min="2" max="2" width="45.44140625" style="1965" customWidth="1"/>
    <col min="3" max="3" width="1.6640625" style="1965" customWidth="1"/>
    <col min="4" max="4" width="12.44140625" style="1965" bestFit="1" customWidth="1"/>
    <col min="5" max="5" width="1.6640625" style="2445" customWidth="1"/>
    <col min="6" max="6" width="12.109375" style="1965" bestFit="1" customWidth="1"/>
    <col min="7" max="7" width="1.6640625" style="2445" customWidth="1"/>
    <col min="8" max="8" width="15" style="1965" customWidth="1"/>
    <col min="9" max="9" width="1.6640625" style="2445" customWidth="1"/>
    <col min="10" max="10" width="16.109375" style="1965" customWidth="1"/>
    <col min="11" max="11" width="1.6640625" style="2445" customWidth="1"/>
    <col min="12" max="12" width="13.44140625" style="1965" customWidth="1"/>
    <col min="13" max="13" width="1.6640625" style="2445" customWidth="1"/>
    <col min="14" max="14" width="14.109375" style="1965" customWidth="1"/>
    <col min="15" max="15" width="1.6640625" style="2445" customWidth="1"/>
    <col min="16" max="16" width="14.109375" style="1965" customWidth="1"/>
    <col min="17" max="17" width="1.6640625" style="2445" customWidth="1"/>
    <col min="18" max="18" width="14.109375" style="1965" customWidth="1"/>
    <col min="19" max="19" width="1.6640625" style="2445" customWidth="1"/>
    <col min="20" max="20" width="14.109375" style="2124" customWidth="1"/>
    <col min="21" max="21" width="1.6640625" style="2445" customWidth="1"/>
    <col min="22" max="22" width="14.109375" style="1965" customWidth="1"/>
    <col min="23" max="23" width="1.6640625" style="2445" customWidth="1"/>
    <col min="24" max="24" width="14.109375" style="1965" customWidth="1"/>
    <col min="25" max="25" width="1.6640625" style="2445" customWidth="1"/>
    <col min="26" max="26" width="14.109375" style="1965" customWidth="1"/>
    <col min="27" max="27" width="1.6640625" style="1965" customWidth="1"/>
    <col min="28" max="28" width="14.109375" style="1965" bestFit="1" customWidth="1"/>
    <col min="29" max="29" width="1.6640625" style="1965" customWidth="1"/>
    <col min="30" max="30" width="12.5546875" style="2124" bestFit="1" customWidth="1"/>
    <col min="31" max="31" width="1.44140625" style="2124" customWidth="1"/>
    <col min="32" max="32" width="1.109375" style="2124" customWidth="1"/>
    <col min="33" max="33" width="12.5546875" style="2124" bestFit="1" customWidth="1"/>
    <col min="34" max="34" width="0.6640625" style="2124" customWidth="1"/>
    <col min="35" max="35" width="0.6640625" style="1965" customWidth="1"/>
    <col min="36" max="36" width="12.6640625" style="1965" customWidth="1"/>
    <col min="37" max="37" width="0.6640625" style="1965" customWidth="1"/>
    <col min="38" max="38" width="11.6640625" style="1401" bestFit="1" customWidth="1"/>
    <col min="39" max="16384" width="8.6640625" style="1965"/>
  </cols>
  <sheetData>
    <row r="1" spans="1:43">
      <c r="B1" s="2171" t="s">
        <v>870</v>
      </c>
    </row>
    <row r="2" spans="1:43" ht="15.75">
      <c r="A2" s="2442"/>
      <c r="N2" s="2343"/>
    </row>
    <row r="3" spans="1:43" s="2124" customFormat="1" ht="18">
      <c r="A3" s="2998"/>
      <c r="B3" s="2999" t="s">
        <v>0</v>
      </c>
      <c r="E3" s="2457"/>
      <c r="G3" s="2457"/>
      <c r="I3" s="2457"/>
      <c r="K3" s="2457"/>
      <c r="M3" s="2457"/>
      <c r="N3" s="2468"/>
      <c r="O3" s="2457"/>
      <c r="Q3" s="2457"/>
      <c r="S3" s="2457"/>
      <c r="U3" s="2457"/>
      <c r="W3" s="2457"/>
      <c r="Y3" s="2457"/>
      <c r="AE3" s="3000"/>
      <c r="AF3" s="3000"/>
      <c r="AG3" s="3000"/>
      <c r="AH3" s="3000"/>
      <c r="AI3" s="3000"/>
      <c r="AJ3" s="3000"/>
      <c r="AK3" s="3000"/>
      <c r="AL3" s="3001" t="s">
        <v>165</v>
      </c>
    </row>
    <row r="4" spans="1:43" s="2124" customFormat="1" ht="18">
      <c r="A4" s="2998"/>
      <c r="B4" s="2999" t="s">
        <v>1065</v>
      </c>
      <c r="E4" s="2457"/>
      <c r="G4" s="2457"/>
      <c r="I4" s="2457"/>
      <c r="K4" s="2457"/>
      <c r="L4" s="2468"/>
      <c r="M4" s="2457"/>
      <c r="O4" s="2457"/>
      <c r="Q4" s="2457"/>
      <c r="S4" s="2457"/>
      <c r="U4" s="2457"/>
      <c r="W4" s="2457"/>
      <c r="Y4" s="2457"/>
      <c r="AL4" s="3002"/>
    </row>
    <row r="5" spans="1:43" s="2124" customFormat="1" ht="18">
      <c r="A5" s="2998"/>
      <c r="B5" s="1438" t="s">
        <v>145</v>
      </c>
      <c r="E5" s="2457"/>
      <c r="G5" s="2457"/>
      <c r="I5" s="2457"/>
      <c r="K5" s="2457"/>
      <c r="L5" s="2381"/>
      <c r="M5" s="2457"/>
      <c r="O5" s="2457"/>
      <c r="Q5" s="2457"/>
      <c r="S5" s="2457"/>
      <c r="U5" s="2457"/>
      <c r="W5" s="2457"/>
      <c r="X5" s="2130"/>
      <c r="Y5" s="2457"/>
      <c r="AL5" s="3002"/>
    </row>
    <row r="6" spans="1:43" s="2124" customFormat="1" ht="20.25">
      <c r="A6" s="2998"/>
      <c r="B6" s="1438" t="str">
        <f>'Cashflow Governmental'!A6</f>
        <v xml:space="preserve">FISCAL YEAR 2022-2023   </v>
      </c>
      <c r="E6" s="2457"/>
      <c r="G6" s="2457"/>
      <c r="I6" s="2457"/>
      <c r="K6" s="2457"/>
      <c r="L6" s="2381"/>
      <c r="M6" s="2457"/>
      <c r="O6" s="2457"/>
      <c r="Q6" s="2457"/>
      <c r="S6" s="2457"/>
      <c r="T6" s="3002" t="s">
        <v>14</v>
      </c>
      <c r="U6" s="2457"/>
      <c r="W6" s="2457"/>
      <c r="Y6" s="2457"/>
      <c r="AL6" s="3003"/>
    </row>
    <row r="7" spans="1:43" s="2124" customFormat="1" ht="18">
      <c r="A7" s="2998"/>
      <c r="B7" s="2999" t="s">
        <v>1252</v>
      </c>
      <c r="E7" s="2457"/>
      <c r="G7" s="2457"/>
      <c r="I7" s="2457"/>
      <c r="K7" s="2457"/>
      <c r="M7" s="2457"/>
      <c r="O7" s="2457"/>
      <c r="Q7" s="2457"/>
      <c r="S7" s="2457"/>
      <c r="U7" s="2457"/>
      <c r="W7" s="2457"/>
      <c r="Y7" s="2457"/>
      <c r="AI7" s="2381"/>
      <c r="AJ7" s="2381"/>
      <c r="AK7" s="2381"/>
      <c r="AL7" s="2420"/>
    </row>
    <row r="8" spans="1:43">
      <c r="A8" s="2442"/>
      <c r="L8" s="1987"/>
      <c r="N8" s="1987"/>
      <c r="AC8" s="1987"/>
      <c r="AD8" s="2381"/>
      <c r="AE8" s="2381"/>
      <c r="AF8" s="2381"/>
      <c r="AG8" s="2381"/>
      <c r="AH8" s="2381"/>
      <c r="AI8" s="1987"/>
      <c r="AJ8" s="1987"/>
      <c r="AK8" s="1987"/>
      <c r="AL8" s="2385"/>
    </row>
    <row r="9" spans="1:43" s="1968" customFormat="1" ht="19.5" customHeight="1">
      <c r="A9" s="2338"/>
      <c r="D9" s="1968" t="s">
        <v>14</v>
      </c>
      <c r="E9" s="787" t="s">
        <v>14</v>
      </c>
      <c r="G9" s="2445"/>
      <c r="I9" s="2445"/>
      <c r="K9" s="2445"/>
      <c r="L9" s="2446"/>
      <c r="M9" s="2445"/>
      <c r="N9" s="2446"/>
      <c r="O9" s="2445"/>
      <c r="Q9" s="2445"/>
      <c r="S9" s="2445"/>
      <c r="T9" s="2131"/>
      <c r="U9" s="2445"/>
      <c r="W9" s="2445"/>
      <c r="Y9" s="2445"/>
      <c r="AB9" s="2357" t="s">
        <v>1154</v>
      </c>
      <c r="AC9" s="3953" t="s">
        <v>1518</v>
      </c>
      <c r="AD9" s="3953"/>
      <c r="AE9" s="3953"/>
      <c r="AF9" s="3953"/>
      <c r="AG9" s="3953"/>
      <c r="AH9" s="3953"/>
      <c r="AI9" s="3953"/>
      <c r="AJ9" s="3953"/>
      <c r="AK9" s="3953"/>
      <c r="AL9" s="3953"/>
    </row>
    <row r="10" spans="1:43" ht="15.75">
      <c r="A10" s="2442"/>
      <c r="D10" s="2447" t="str">
        <f>'Cashflow Governmental'!C13</f>
        <v>2022</v>
      </c>
      <c r="F10" s="2343"/>
      <c r="H10" s="2343"/>
      <c r="J10" s="2343"/>
      <c r="L10" s="2343"/>
      <c r="N10" s="2343"/>
      <c r="P10" s="2343"/>
      <c r="R10" s="2343"/>
      <c r="T10" s="2468"/>
      <c r="V10" s="2447">
        <f>'Cashflow Governmental'!U13</f>
        <v>2023</v>
      </c>
      <c r="X10" s="2343"/>
      <c r="Z10" s="2343"/>
      <c r="AA10" s="2343"/>
      <c r="AB10" s="2357" t="s">
        <v>1155</v>
      </c>
      <c r="AC10" s="2343"/>
      <c r="AD10" s="2353"/>
      <c r="AE10" s="2353"/>
      <c r="AF10" s="2353"/>
      <c r="AG10" s="2353"/>
      <c r="AH10" s="2353"/>
      <c r="AI10" s="2344"/>
      <c r="AJ10" s="2355" t="s">
        <v>7</v>
      </c>
      <c r="AK10" s="2351"/>
      <c r="AL10" s="2356" t="s">
        <v>8</v>
      </c>
      <c r="AM10" s="2344"/>
      <c r="AN10" s="2344"/>
      <c r="AO10" s="2344"/>
      <c r="AP10" s="2344"/>
      <c r="AQ10" s="2344"/>
    </row>
    <row r="11" spans="1:43" ht="15.75">
      <c r="A11" s="2442"/>
      <c r="D11" s="2357" t="s">
        <v>122</v>
      </c>
      <c r="F11" s="2357" t="s">
        <v>123</v>
      </c>
      <c r="H11" s="2357" t="s">
        <v>124</v>
      </c>
      <c r="J11" s="2357" t="s">
        <v>125</v>
      </c>
      <c r="L11" s="2448" t="s">
        <v>126</v>
      </c>
      <c r="N11" s="2357" t="s">
        <v>141</v>
      </c>
      <c r="P11" s="2357" t="s">
        <v>142</v>
      </c>
      <c r="R11" s="2357" t="s">
        <v>129</v>
      </c>
      <c r="T11" s="3274" t="s">
        <v>130</v>
      </c>
      <c r="V11" s="2357" t="s">
        <v>131</v>
      </c>
      <c r="X11" s="2357" t="s">
        <v>132</v>
      </c>
      <c r="Z11" s="2357" t="s">
        <v>182</v>
      </c>
      <c r="AA11" s="2357"/>
      <c r="AB11" s="2448" t="s">
        <v>1156</v>
      </c>
      <c r="AC11" s="2343"/>
      <c r="AD11" s="2501">
        <f>'Cashflow Governmental'!AB14</f>
        <v>2022</v>
      </c>
      <c r="AE11" s="2468" t="s">
        <v>14</v>
      </c>
      <c r="AF11" s="2471"/>
      <c r="AG11" s="2501">
        <f>'Cashflow Governmental'!AE14</f>
        <v>2021</v>
      </c>
      <c r="AH11" s="3360"/>
      <c r="AI11" s="2344"/>
      <c r="AJ11" s="2362" t="s">
        <v>11</v>
      </c>
      <c r="AK11" s="2344"/>
      <c r="AL11" s="2362" t="s">
        <v>12</v>
      </c>
      <c r="AM11" s="2344"/>
      <c r="AN11" s="2344"/>
      <c r="AO11" s="2344"/>
      <c r="AP11" s="2344"/>
      <c r="AQ11" s="2344"/>
    </row>
    <row r="12" spans="1:43" ht="5.25" customHeight="1">
      <c r="A12" s="2442"/>
      <c r="D12" s="2364"/>
      <c r="F12" s="2364"/>
      <c r="H12" s="2364"/>
      <c r="J12" s="2364"/>
      <c r="L12" s="2364"/>
      <c r="N12" s="2449"/>
      <c r="P12" s="2364"/>
      <c r="R12" s="2364"/>
      <c r="T12" s="2946"/>
      <c r="V12" s="2364"/>
      <c r="X12" s="2364"/>
      <c r="Z12" s="2364"/>
      <c r="AA12" s="1964"/>
      <c r="AD12" s="2946"/>
      <c r="AG12" s="2946"/>
      <c r="AH12" s="2123"/>
      <c r="AI12" s="2450"/>
    </row>
    <row r="13" spans="1:43" ht="15" customHeight="1">
      <c r="A13" s="1987"/>
      <c r="B13" s="2451" t="s">
        <v>1117</v>
      </c>
      <c r="C13" s="1987"/>
      <c r="D13" s="1972">
        <f>'Exhibit G State'!D13+'Exhibit G Federal'!D13</f>
        <v>21938.2</v>
      </c>
      <c r="F13" s="2371">
        <f>D123</f>
        <v>22805.7</v>
      </c>
      <c r="H13" s="2371"/>
      <c r="J13" s="2371"/>
      <c r="L13" s="2371"/>
      <c r="N13" s="2371"/>
      <c r="P13" s="2371"/>
      <c r="R13" s="2371"/>
      <c r="T13" s="2371"/>
      <c r="V13" s="2371"/>
      <c r="X13" s="2371"/>
      <c r="Z13" s="2371"/>
      <c r="AA13" s="2371"/>
      <c r="AB13" s="2371">
        <v>0</v>
      </c>
      <c r="AC13" s="2452"/>
      <c r="AD13" s="1972">
        <f>D13</f>
        <v>21938.2</v>
      </c>
      <c r="AE13" s="1972"/>
      <c r="AF13" s="3338"/>
      <c r="AG13" s="2369">
        <f>'Exhibit G State'!AG13+'Exhibit G Federal'!AG13</f>
        <v>10669.3</v>
      </c>
      <c r="AH13" s="3361"/>
      <c r="AI13" s="1962"/>
      <c r="AJ13" s="2453">
        <f>AD13-AG13</f>
        <v>11268.900000000001</v>
      </c>
      <c r="AK13" s="2454"/>
      <c r="AL13" s="2406">
        <f>(AD13-AG13)/AG13</f>
        <v>1.0561986259642153</v>
      </c>
      <c r="AM13" s="1967"/>
      <c r="AN13" s="1967"/>
      <c r="AO13" s="1967"/>
      <c r="AP13" s="1967"/>
      <c r="AQ13" s="1967"/>
    </row>
    <row r="14" spans="1:43" ht="15" customHeight="1">
      <c r="A14" s="1987"/>
      <c r="B14" s="1987"/>
      <c r="C14" s="1987"/>
      <c r="AC14" s="2455"/>
      <c r="AF14" s="3339"/>
      <c r="AH14" s="3362"/>
      <c r="AI14" s="1964"/>
      <c r="AL14" s="1400"/>
    </row>
    <row r="15" spans="1:43" ht="15" customHeight="1">
      <c r="A15" s="1987"/>
      <c r="B15" s="2343" t="s">
        <v>13</v>
      </c>
      <c r="C15" s="1987"/>
      <c r="D15" s="1949"/>
      <c r="F15" s="1949"/>
      <c r="H15" s="1949"/>
      <c r="J15" s="1949"/>
      <c r="L15" s="1949"/>
      <c r="N15" s="1949"/>
      <c r="P15" s="1949"/>
      <c r="R15" s="1949"/>
      <c r="T15" s="1938"/>
      <c r="V15" s="1949"/>
      <c r="X15" s="1949"/>
      <c r="Z15" s="1949"/>
      <c r="AA15" s="1949"/>
      <c r="AB15" s="1949"/>
      <c r="AC15" s="1980"/>
      <c r="AD15" s="1938"/>
      <c r="AE15" s="1938"/>
      <c r="AF15" s="1982"/>
      <c r="AG15" s="1938"/>
      <c r="AH15" s="3363"/>
      <c r="AI15" s="1950"/>
      <c r="AJ15" s="1949"/>
      <c r="AL15" s="1400"/>
    </row>
    <row r="16" spans="1:43" ht="15" customHeight="1">
      <c r="A16" s="1987"/>
      <c r="B16" s="2378" t="s">
        <v>980</v>
      </c>
      <c r="C16" s="1987"/>
      <c r="D16" s="1949"/>
      <c r="F16" s="1949"/>
      <c r="H16" s="1949"/>
      <c r="J16" s="1949"/>
      <c r="L16" s="1949"/>
      <c r="N16" s="1949"/>
      <c r="P16" s="1949"/>
      <c r="R16" s="1949"/>
      <c r="T16" s="1938"/>
      <c r="V16" s="1949"/>
      <c r="X16" s="1949"/>
      <c r="Z16" s="1949"/>
      <c r="AA16" s="1949"/>
      <c r="AB16" s="1949"/>
      <c r="AC16" s="1980"/>
      <c r="AD16" s="1938"/>
      <c r="AE16" s="1938"/>
      <c r="AF16" s="1982"/>
      <c r="AG16" s="1938"/>
      <c r="AH16" s="3363"/>
      <c r="AI16" s="1950"/>
      <c r="AJ16" s="1949"/>
      <c r="AL16" s="1400"/>
    </row>
    <row r="17" spans="1:38" s="2344" customFormat="1" ht="15" customHeight="1">
      <c r="A17" s="2343"/>
      <c r="B17" s="2456" t="s">
        <v>983</v>
      </c>
      <c r="C17" s="2343"/>
      <c r="D17" s="1943">
        <f>'Exhibit G State'!D17</f>
        <v>0</v>
      </c>
      <c r="E17" s="1411"/>
      <c r="F17" s="1943">
        <f>'Exhibit G State'!F17</f>
        <v>0</v>
      </c>
      <c r="G17" s="1411"/>
      <c r="H17" s="1943"/>
      <c r="I17" s="2445"/>
      <c r="J17" s="1943"/>
      <c r="K17" s="2457"/>
      <c r="L17" s="1943"/>
      <c r="M17" s="2457"/>
      <c r="N17" s="1943"/>
      <c r="O17" s="2457"/>
      <c r="P17" s="1943"/>
      <c r="Q17" s="2457"/>
      <c r="R17" s="1943"/>
      <c r="S17" s="2457"/>
      <c r="T17" s="1943"/>
      <c r="U17" s="2457"/>
      <c r="V17" s="1943"/>
      <c r="W17" s="2457"/>
      <c r="X17" s="1943"/>
      <c r="Y17" s="2457"/>
      <c r="Z17" s="1943"/>
      <c r="AA17" s="1943"/>
      <c r="AB17" s="1411">
        <v>0</v>
      </c>
      <c r="AC17" s="2452"/>
      <c r="AD17" s="1943">
        <f>ROUND(SUM(D17:Z17),1)</f>
        <v>0</v>
      </c>
      <c r="AE17" s="1943"/>
      <c r="AF17" s="1944"/>
      <c r="AG17" s="1975">
        <f>'Exhibit G State'!AG17</f>
        <v>0</v>
      </c>
      <c r="AH17" s="3364"/>
      <c r="AI17" s="2393"/>
      <c r="AJ17" s="1411">
        <f>ROUND(SUM(+AD17-AG17),1)</f>
        <v>0</v>
      </c>
      <c r="AK17" s="2458"/>
      <c r="AL17" s="1406">
        <f>ROUND(IF(AG17=0,0,AJ17/ABS(AG17)),3)</f>
        <v>0</v>
      </c>
    </row>
    <row r="18" spans="1:38" s="2344" customFormat="1" ht="6" customHeight="1">
      <c r="A18" s="2343"/>
      <c r="B18" s="2456"/>
      <c r="C18" s="2343"/>
      <c r="D18" s="2459"/>
      <c r="E18" s="2445"/>
      <c r="F18" s="2459"/>
      <c r="G18" s="2445"/>
      <c r="H18" s="2459"/>
      <c r="I18" s="2445"/>
      <c r="J18" s="2459"/>
      <c r="K18" s="2457"/>
      <c r="L18" s="2459"/>
      <c r="M18" s="2457"/>
      <c r="N18" s="2459"/>
      <c r="O18" s="2457"/>
      <c r="P18" s="2459"/>
      <c r="Q18" s="2457"/>
      <c r="R18" s="2459"/>
      <c r="S18" s="2457"/>
      <c r="T18" s="2459"/>
      <c r="U18" s="2457"/>
      <c r="V18" s="2459"/>
      <c r="W18" s="2457"/>
      <c r="X18" s="2459"/>
      <c r="Y18" s="2457"/>
      <c r="Z18" s="2459"/>
      <c r="AA18" s="2459"/>
      <c r="AB18" s="2371"/>
      <c r="AC18" s="2452"/>
      <c r="AD18" s="1969"/>
      <c r="AE18" s="1969"/>
      <c r="AF18" s="3340"/>
      <c r="AG18" s="1971"/>
      <c r="AH18" s="3365"/>
      <c r="AI18" s="2461"/>
      <c r="AJ18" s="2460"/>
      <c r="AK18" s="2458"/>
      <c r="AL18" s="1406"/>
    </row>
    <row r="19" spans="1:38" ht="15" customHeight="1">
      <c r="A19" s="1987"/>
      <c r="B19" s="2456" t="s">
        <v>1039</v>
      </c>
      <c r="C19" s="1987"/>
      <c r="D19" s="1938"/>
      <c r="F19" s="1938"/>
      <c r="H19" s="1938"/>
      <c r="J19" s="1938"/>
      <c r="K19" s="2457"/>
      <c r="L19" s="1938"/>
      <c r="M19" s="2457"/>
      <c r="N19" s="1938"/>
      <c r="O19" s="2457"/>
      <c r="P19" s="1938"/>
      <c r="Q19" s="2457"/>
      <c r="R19" s="1938"/>
      <c r="S19" s="2457"/>
      <c r="T19" s="1938"/>
      <c r="U19" s="2457"/>
      <c r="V19" s="1938"/>
      <c r="W19" s="2457"/>
      <c r="X19" s="1938"/>
      <c r="Y19" s="2457"/>
      <c r="Z19" s="1938"/>
      <c r="AA19" s="1938"/>
      <c r="AB19" s="1949"/>
      <c r="AC19" s="1980"/>
      <c r="AD19" s="1993"/>
      <c r="AE19" s="1993"/>
      <c r="AF19" s="2469"/>
      <c r="AG19" s="1993"/>
      <c r="AH19" s="3366"/>
      <c r="AI19" s="1412"/>
      <c r="AJ19" s="1429"/>
      <c r="AK19" s="2344"/>
      <c r="AL19" s="2406"/>
    </row>
    <row r="20" spans="1:38" ht="15" customHeight="1">
      <c r="A20" s="1987"/>
      <c r="B20" s="2462" t="s">
        <v>995</v>
      </c>
      <c r="C20" s="1987"/>
      <c r="D20" s="1943">
        <f>'Exhibit G State'!D20</f>
        <v>135.1</v>
      </c>
      <c r="E20" s="1411"/>
      <c r="F20" s="1943">
        <f>'Exhibit G State'!F20</f>
        <v>87</v>
      </c>
      <c r="G20" s="1411"/>
      <c r="H20" s="1943"/>
      <c r="J20" s="1943"/>
      <c r="K20" s="2457"/>
      <c r="L20" s="1943"/>
      <c r="M20" s="2457"/>
      <c r="N20" s="1943"/>
      <c r="O20" s="2457"/>
      <c r="P20" s="1943"/>
      <c r="Q20" s="2457"/>
      <c r="R20" s="1943"/>
      <c r="S20" s="2457"/>
      <c r="T20" s="1943"/>
      <c r="U20" s="2457"/>
      <c r="V20" s="1943"/>
      <c r="W20" s="2457"/>
      <c r="X20" s="1943"/>
      <c r="Y20" s="2457"/>
      <c r="Z20" s="1943"/>
      <c r="AA20" s="1943"/>
      <c r="AB20" s="1949">
        <v>0</v>
      </c>
      <c r="AC20" s="1980"/>
      <c r="AD20" s="1938">
        <f>ROUND(SUM(D20:Z20),1)</f>
        <v>222.1</v>
      </c>
      <c r="AE20" s="1938"/>
      <c r="AF20" s="1982"/>
      <c r="AG20" s="1975">
        <f>'Exhibit G State'!AG20</f>
        <v>189.7</v>
      </c>
      <c r="AH20" s="3363"/>
      <c r="AI20" s="1950"/>
      <c r="AJ20" s="1411">
        <f t="shared" ref="AJ20:AJ26" si="0">ROUND(SUM(+AD20-AG20),1)</f>
        <v>32.4</v>
      </c>
      <c r="AK20" s="2458"/>
      <c r="AL20" s="1406">
        <f t="shared" ref="AL20:AL25" si="1">ROUND(IF(AG20=0,0,AJ20/ABS(AG20)),3)</f>
        <v>0.17100000000000001</v>
      </c>
    </row>
    <row r="21" spans="1:38" ht="15" customHeight="1">
      <c r="A21" s="1987"/>
      <c r="B21" s="2462" t="s">
        <v>996</v>
      </c>
      <c r="C21" s="1987"/>
      <c r="D21" s="1943">
        <f>'Exhibit G State'!D21</f>
        <v>1.8</v>
      </c>
      <c r="E21" s="1411"/>
      <c r="F21" s="1943">
        <f>'Exhibit G State'!F21</f>
        <v>0</v>
      </c>
      <c r="G21" s="1411"/>
      <c r="H21" s="1943"/>
      <c r="J21" s="1943"/>
      <c r="K21" s="2457"/>
      <c r="L21" s="1943"/>
      <c r="M21" s="2457"/>
      <c r="N21" s="1943"/>
      <c r="O21" s="2457"/>
      <c r="P21" s="1943"/>
      <c r="Q21" s="2457"/>
      <c r="R21" s="1943"/>
      <c r="S21" s="2457"/>
      <c r="T21" s="1943"/>
      <c r="U21" s="2457"/>
      <c r="V21" s="1943"/>
      <c r="W21" s="2457"/>
      <c r="X21" s="1943"/>
      <c r="Y21" s="2457"/>
      <c r="Z21" s="1943"/>
      <c r="AA21" s="1943"/>
      <c r="AB21" s="1949">
        <v>0</v>
      </c>
      <c r="AC21" s="1980"/>
      <c r="AD21" s="1938">
        <f>ROUND(SUM(D21:Z21),1)</f>
        <v>1.8</v>
      </c>
      <c r="AE21" s="1938"/>
      <c r="AF21" s="1982"/>
      <c r="AG21" s="1975">
        <f>'Exhibit G State'!AG21</f>
        <v>-0.2</v>
      </c>
      <c r="AH21" s="3363"/>
      <c r="AI21" s="1950"/>
      <c r="AJ21" s="1411">
        <f t="shared" si="0"/>
        <v>2</v>
      </c>
      <c r="AK21" s="2458"/>
      <c r="AL21" s="1443">
        <f>ROUND(IF(AG21=0,1,AJ21/ABS(AG21)),3)</f>
        <v>10</v>
      </c>
    </row>
    <row r="22" spans="1:38" ht="15" customHeight="1">
      <c r="A22" s="1987"/>
      <c r="B22" s="2462" t="s">
        <v>997</v>
      </c>
      <c r="C22" s="1987"/>
      <c r="D22" s="1943">
        <f>'Exhibit G State'!D22</f>
        <v>57.699999999999996</v>
      </c>
      <c r="E22" s="1411"/>
      <c r="F22" s="1943">
        <f>'Exhibit G State'!F22</f>
        <v>51.70000000000001</v>
      </c>
      <c r="G22" s="1411"/>
      <c r="H22" s="1943"/>
      <c r="J22" s="1943"/>
      <c r="K22" s="2457"/>
      <c r="L22" s="1943"/>
      <c r="M22" s="2457"/>
      <c r="N22" s="1943"/>
      <c r="O22" s="2457"/>
      <c r="P22" s="1943"/>
      <c r="Q22" s="2457"/>
      <c r="R22" s="1943"/>
      <c r="S22" s="2457"/>
      <c r="T22" s="1943"/>
      <c r="U22" s="2457"/>
      <c r="V22" s="1943"/>
      <c r="W22" s="2457"/>
      <c r="X22" s="1943"/>
      <c r="Y22" s="2457"/>
      <c r="Z22" s="1943"/>
      <c r="AA22" s="1943"/>
      <c r="AB22" s="1949">
        <v>0</v>
      </c>
      <c r="AC22" s="1980"/>
      <c r="AD22" s="1938">
        <f t="shared" ref="AD22:AD26" si="2">ROUND(SUM(D22:Z22),1)</f>
        <v>109.4</v>
      </c>
      <c r="AE22" s="1938"/>
      <c r="AF22" s="1982"/>
      <c r="AG22" s="1975">
        <f>'Exhibit G State'!AG22</f>
        <v>121.5</v>
      </c>
      <c r="AH22" s="3363"/>
      <c r="AI22" s="1950"/>
      <c r="AJ22" s="1411">
        <f t="shared" si="0"/>
        <v>-12.1</v>
      </c>
      <c r="AK22" s="2458"/>
      <c r="AL22" s="1406">
        <f t="shared" si="1"/>
        <v>-0.1</v>
      </c>
    </row>
    <row r="23" spans="1:38" ht="15" customHeight="1">
      <c r="A23" s="1987"/>
      <c r="B23" s="2171" t="s">
        <v>1447</v>
      </c>
      <c r="C23" s="1987"/>
      <c r="D23" s="1943">
        <f>'Exhibit G State'!D23</f>
        <v>1</v>
      </c>
      <c r="E23" s="1411"/>
      <c r="F23" s="1943">
        <f>'Exhibit G State'!F23</f>
        <v>1.2000000000000002</v>
      </c>
      <c r="G23" s="1411"/>
      <c r="H23" s="1943"/>
      <c r="J23" s="1943"/>
      <c r="K23" s="2457"/>
      <c r="L23" s="1943"/>
      <c r="M23" s="2457"/>
      <c r="N23" s="1943"/>
      <c r="O23" s="2457"/>
      <c r="P23" s="1943"/>
      <c r="Q23" s="2457"/>
      <c r="R23" s="1943"/>
      <c r="S23" s="2457"/>
      <c r="T23" s="1943"/>
      <c r="U23" s="2457"/>
      <c r="V23" s="1943"/>
      <c r="W23" s="2457"/>
      <c r="X23" s="1943"/>
      <c r="Y23" s="2457"/>
      <c r="Z23" s="1943"/>
      <c r="AA23" s="1943"/>
      <c r="AB23" s="1949">
        <v>0</v>
      </c>
      <c r="AC23" s="1980"/>
      <c r="AD23" s="1938">
        <f t="shared" si="2"/>
        <v>2.2000000000000002</v>
      </c>
      <c r="AE23" s="1938"/>
      <c r="AF23" s="1982"/>
      <c r="AG23" s="1975">
        <f>'Exhibit G State'!AG23</f>
        <v>2.6</v>
      </c>
      <c r="AH23" s="3363"/>
      <c r="AI23" s="1950"/>
      <c r="AJ23" s="1411">
        <f>ROUND(SUM(+AD23-AG23),1)</f>
        <v>-0.4</v>
      </c>
      <c r="AK23" s="2458"/>
      <c r="AL23" s="1406">
        <f>ROUND(IF(AG23=0,1,AJ23/ABS(AG23)),3)</f>
        <v>-0.154</v>
      </c>
    </row>
    <row r="24" spans="1:38" ht="15" customHeight="1">
      <c r="A24" s="1987"/>
      <c r="B24" s="2462" t="s">
        <v>998</v>
      </c>
      <c r="C24" s="1987"/>
      <c r="D24" s="1943">
        <f>'Exhibit G State'!D24</f>
        <v>6</v>
      </c>
      <c r="E24" s="1411"/>
      <c r="F24" s="1943">
        <f>'Exhibit G State'!F24</f>
        <v>8</v>
      </c>
      <c r="G24" s="1411"/>
      <c r="H24" s="1943"/>
      <c r="J24" s="1943"/>
      <c r="K24" s="2457"/>
      <c r="L24" s="1943"/>
      <c r="M24" s="2457"/>
      <c r="N24" s="1943"/>
      <c r="O24" s="2457"/>
      <c r="P24" s="1943"/>
      <c r="Q24" s="2457"/>
      <c r="R24" s="1943"/>
      <c r="S24" s="2457"/>
      <c r="T24" s="1943"/>
      <c r="U24" s="2457"/>
      <c r="V24" s="1943"/>
      <c r="W24" s="2457"/>
      <c r="X24" s="1943"/>
      <c r="Y24" s="2457"/>
      <c r="Z24" s="1943"/>
      <c r="AA24" s="1943"/>
      <c r="AB24" s="1949">
        <v>0</v>
      </c>
      <c r="AC24" s="1980"/>
      <c r="AD24" s="1938">
        <f t="shared" si="2"/>
        <v>14</v>
      </c>
      <c r="AE24" s="1938"/>
      <c r="AF24" s="1982"/>
      <c r="AG24" s="1975">
        <f>'Exhibit G State'!AG24</f>
        <v>15.8</v>
      </c>
      <c r="AH24" s="3363"/>
      <c r="AI24" s="1950"/>
      <c r="AJ24" s="1411">
        <f t="shared" si="0"/>
        <v>-1.8</v>
      </c>
      <c r="AK24" s="2458"/>
      <c r="AL24" s="1406">
        <f t="shared" si="1"/>
        <v>-0.114</v>
      </c>
    </row>
    <row r="25" spans="1:38" ht="15" customHeight="1">
      <c r="A25" s="1987"/>
      <c r="B25" s="2462" t="s">
        <v>999</v>
      </c>
      <c r="C25" s="1987"/>
      <c r="D25" s="1943">
        <f>'Exhibit G State'!D25</f>
        <v>0</v>
      </c>
      <c r="E25" s="1411"/>
      <c r="F25" s="1943">
        <f>'Exhibit G State'!F25</f>
        <v>0</v>
      </c>
      <c r="G25" s="1411"/>
      <c r="H25" s="1943"/>
      <c r="J25" s="1943"/>
      <c r="K25" s="2457"/>
      <c r="L25" s="1943"/>
      <c r="M25" s="2457"/>
      <c r="N25" s="1943"/>
      <c r="O25" s="2457"/>
      <c r="P25" s="1943"/>
      <c r="Q25" s="2457"/>
      <c r="R25" s="1943"/>
      <c r="S25" s="2457"/>
      <c r="T25" s="1943"/>
      <c r="U25" s="2457"/>
      <c r="V25" s="1943"/>
      <c r="W25" s="2457"/>
      <c r="X25" s="1943"/>
      <c r="Y25" s="2457"/>
      <c r="Z25" s="1943"/>
      <c r="AA25" s="1943"/>
      <c r="AB25" s="1949">
        <v>0</v>
      </c>
      <c r="AC25" s="1980"/>
      <c r="AD25" s="1938">
        <f t="shared" si="2"/>
        <v>0</v>
      </c>
      <c r="AE25" s="1938"/>
      <c r="AF25" s="1982"/>
      <c r="AG25" s="1975">
        <f>'Exhibit G State'!AG25</f>
        <v>0</v>
      </c>
      <c r="AH25" s="3363"/>
      <c r="AI25" s="1950"/>
      <c r="AJ25" s="1411">
        <f t="shared" si="0"/>
        <v>0</v>
      </c>
      <c r="AK25" s="2458"/>
      <c r="AL25" s="1406">
        <f t="shared" si="1"/>
        <v>0</v>
      </c>
    </row>
    <row r="26" spans="1:38" ht="15" customHeight="1">
      <c r="A26" s="1987"/>
      <c r="B26" s="2462" t="s">
        <v>1000</v>
      </c>
      <c r="C26" s="1987"/>
      <c r="D26" s="1943">
        <f>'Exhibit G State'!D26</f>
        <v>0.1</v>
      </c>
      <c r="E26" s="1411"/>
      <c r="F26" s="1943">
        <f>'Exhibit G State'!F26</f>
        <v>0</v>
      </c>
      <c r="G26" s="1411"/>
      <c r="H26" s="1943"/>
      <c r="J26" s="1943"/>
      <c r="K26" s="2457"/>
      <c r="L26" s="1943"/>
      <c r="M26" s="2457"/>
      <c r="N26" s="1943"/>
      <c r="O26" s="2457"/>
      <c r="P26" s="1943"/>
      <c r="Q26" s="2457"/>
      <c r="R26" s="1943"/>
      <c r="S26" s="2457"/>
      <c r="T26" s="1943"/>
      <c r="U26" s="2457"/>
      <c r="V26" s="1943"/>
      <c r="W26" s="2457"/>
      <c r="X26" s="1943"/>
      <c r="Y26" s="2457"/>
      <c r="Z26" s="1943"/>
      <c r="AA26" s="1943"/>
      <c r="AB26" s="1949">
        <v>0</v>
      </c>
      <c r="AC26" s="1980"/>
      <c r="AD26" s="1938">
        <f t="shared" si="2"/>
        <v>0.1</v>
      </c>
      <c r="AE26" s="1938"/>
      <c r="AF26" s="1982"/>
      <c r="AG26" s="1975">
        <f>'Exhibit G State'!AG26</f>
        <v>0.1</v>
      </c>
      <c r="AH26" s="3363"/>
      <c r="AI26" s="1950"/>
      <c r="AJ26" s="1411">
        <f t="shared" si="0"/>
        <v>0</v>
      </c>
      <c r="AK26" s="2458"/>
      <c r="AL26" s="1443">
        <f>ROUND(IF(AG26=0,1,AJ26/ABS(AG26)),3)</f>
        <v>0</v>
      </c>
    </row>
    <row r="27" spans="1:38" ht="15" customHeight="1">
      <c r="A27" s="1987"/>
      <c r="B27" s="2171" t="s">
        <v>1311</v>
      </c>
      <c r="C27" s="1987"/>
      <c r="D27" s="1943">
        <f>'Exhibit G State'!D27</f>
        <v>-0.1</v>
      </c>
      <c r="E27" s="1411"/>
      <c r="F27" s="1943">
        <f>'Exhibit G State'!F27</f>
        <v>0.1</v>
      </c>
      <c r="G27" s="1411"/>
      <c r="H27" s="1943"/>
      <c r="J27" s="1943"/>
      <c r="K27" s="2457"/>
      <c r="L27" s="1943"/>
      <c r="M27" s="2457"/>
      <c r="N27" s="1943"/>
      <c r="O27" s="2457"/>
      <c r="P27" s="1943"/>
      <c r="Q27" s="2457"/>
      <c r="R27" s="1943"/>
      <c r="S27" s="2457"/>
      <c r="T27" s="1943"/>
      <c r="U27" s="2457"/>
      <c r="V27" s="1943"/>
      <c r="W27" s="2457"/>
      <c r="X27" s="1943"/>
      <c r="Y27" s="2457"/>
      <c r="Z27" s="1943"/>
      <c r="AA27" s="1943"/>
      <c r="AB27" s="1949">
        <v>0</v>
      </c>
      <c r="AC27" s="1980"/>
      <c r="AD27" s="1938">
        <f t="shared" ref="AD27" si="3">ROUND(SUM(D27:Z27),1)</f>
        <v>0</v>
      </c>
      <c r="AE27" s="1938"/>
      <c r="AF27" s="1982"/>
      <c r="AG27" s="1975">
        <f>'Exhibit G State'!AG27</f>
        <v>0.2</v>
      </c>
      <c r="AH27" s="3363"/>
      <c r="AI27" s="1950"/>
      <c r="AJ27" s="1411">
        <f t="shared" ref="AJ27" si="4">ROUND(SUM(+AD27-AG27),1)</f>
        <v>-0.2</v>
      </c>
      <c r="AK27" s="2458"/>
      <c r="AL27" s="1443">
        <f>ROUND(IF(AG27=0,1,AJ27/ABS(AG27)),3)</f>
        <v>-1</v>
      </c>
    </row>
    <row r="28" spans="1:38" s="2344" customFormat="1" ht="15" customHeight="1">
      <c r="A28" s="2343"/>
      <c r="B28" s="2463" t="s">
        <v>1105</v>
      </c>
      <c r="C28" s="2343"/>
      <c r="D28" s="1976">
        <f>ROUND(SUM(D20:D27),1)</f>
        <v>201.6</v>
      </c>
      <c r="E28" s="2445"/>
      <c r="F28" s="1976">
        <f>ROUND(SUM(F20:F27),1)</f>
        <v>148</v>
      </c>
      <c r="G28" s="2445"/>
      <c r="H28" s="2390">
        <f>ROUND(SUM(H20:H27),1)</f>
        <v>0</v>
      </c>
      <c r="I28" s="2445"/>
      <c r="J28" s="2390">
        <f>ROUND(SUM(J20:J27),1)</f>
        <v>0</v>
      </c>
      <c r="K28" s="2445"/>
      <c r="L28" s="1976">
        <f>ROUND(SUM(L20:L27),1)</f>
        <v>0</v>
      </c>
      <c r="M28" s="2445"/>
      <c r="N28" s="1976">
        <f>ROUND(SUM(N20:N27),1)</f>
        <v>0</v>
      </c>
      <c r="O28" s="2445"/>
      <c r="P28" s="1976">
        <f>ROUND(SUM(P20:P27),1)</f>
        <v>0</v>
      </c>
      <c r="Q28" s="2445"/>
      <c r="R28" s="1976">
        <f>ROUND(SUM(R20:R27),1)</f>
        <v>0</v>
      </c>
      <c r="S28" s="2445"/>
      <c r="T28" s="1976">
        <f>ROUND(SUM(T20:T27),1)</f>
        <v>0</v>
      </c>
      <c r="U28" s="2445"/>
      <c r="V28" s="1976">
        <f>ROUND(SUM(V20:V27),1)</f>
        <v>0</v>
      </c>
      <c r="W28" s="2445"/>
      <c r="X28" s="1976">
        <f>ROUND(SUM(X20:X27),1)</f>
        <v>0</v>
      </c>
      <c r="Y28" s="2445"/>
      <c r="Z28" s="1976">
        <f>ROUND(SUM(Z20:Z27),1)</f>
        <v>0</v>
      </c>
      <c r="AA28" s="1412"/>
      <c r="AB28" s="1976">
        <f>ROUND(SUM(AB20:AB27),1)</f>
        <v>0</v>
      </c>
      <c r="AC28" s="1983"/>
      <c r="AD28" s="1960">
        <f>ROUND(SUM(AD20:AD27),1)</f>
        <v>349.6</v>
      </c>
      <c r="AE28" s="1993"/>
      <c r="AF28" s="2469"/>
      <c r="AG28" s="1960">
        <f>ROUND(SUM(AG20:AG27),1)</f>
        <v>329.7</v>
      </c>
      <c r="AH28" s="3366"/>
      <c r="AI28" s="1412"/>
      <c r="AJ28" s="1976">
        <f>ROUND(SUM(AJ20:AJ27),1)</f>
        <v>19.899999999999999</v>
      </c>
      <c r="AL28" s="2464">
        <f>ROUND(SUM(+AJ28/AG28),3)</f>
        <v>0.06</v>
      </c>
    </row>
    <row r="29" spans="1:38" ht="15" customHeight="1">
      <c r="A29" s="1987"/>
      <c r="B29" s="2456" t="s">
        <v>1040</v>
      </c>
      <c r="C29" s="1987"/>
      <c r="D29" s="1949"/>
      <c r="F29" s="1949"/>
      <c r="H29" s="1411"/>
      <c r="J29" s="1411"/>
      <c r="L29" s="1949"/>
      <c r="N29" s="1949"/>
      <c r="P29" s="1949"/>
      <c r="R29" s="1949"/>
      <c r="T29" s="1949"/>
      <c r="V29" s="1949"/>
      <c r="X29" s="1949"/>
      <c r="Z29" s="1949"/>
      <c r="AA29" s="1949"/>
      <c r="AB29" s="1949"/>
      <c r="AC29" s="1980"/>
      <c r="AD29" s="1938"/>
      <c r="AE29" s="1938"/>
      <c r="AF29" s="1982"/>
      <c r="AG29" s="1938"/>
      <c r="AH29" s="3363"/>
      <c r="AI29" s="1950"/>
      <c r="AJ29" s="1411"/>
      <c r="AL29" s="1400"/>
    </row>
    <row r="30" spans="1:38" s="2124" customFormat="1" ht="15" customHeight="1">
      <c r="A30" s="2381"/>
      <c r="B30" s="2462" t="s">
        <v>1002</v>
      </c>
      <c r="C30" s="2381"/>
      <c r="D30" s="1938">
        <f>'Exhibit G State'!D30</f>
        <v>228.9</v>
      </c>
      <c r="E30" s="1411"/>
      <c r="F30" s="1938">
        <f>'Exhibit G State'!F30</f>
        <v>43.999999999999972</v>
      </c>
      <c r="G30" s="1411"/>
      <c r="H30" s="1938"/>
      <c r="I30" s="2445"/>
      <c r="J30" s="1943"/>
      <c r="K30" s="2457"/>
      <c r="L30" s="1943"/>
      <c r="M30" s="2457"/>
      <c r="N30" s="1943"/>
      <c r="O30" s="2457"/>
      <c r="P30" s="1943"/>
      <c r="Q30" s="2457"/>
      <c r="R30" s="1943"/>
      <c r="S30" s="2457"/>
      <c r="T30" s="1943"/>
      <c r="U30" s="2457"/>
      <c r="V30" s="1943"/>
      <c r="W30" s="2457"/>
      <c r="X30" s="1943"/>
      <c r="Y30" s="2457"/>
      <c r="Z30" s="1938"/>
      <c r="AA30" s="1938"/>
      <c r="AB30" s="1938">
        <v>0</v>
      </c>
      <c r="AC30" s="1982"/>
      <c r="AD30" s="1938">
        <f>ROUND(SUM(D30:Z30),1)</f>
        <v>272.89999999999998</v>
      </c>
      <c r="AE30" s="1938"/>
      <c r="AF30" s="1982"/>
      <c r="AG30" s="1938">
        <f>'Exhibit G State'!AG30</f>
        <v>194.4</v>
      </c>
      <c r="AH30" s="3363"/>
      <c r="AI30" s="1920"/>
      <c r="AJ30" s="1943">
        <f>ROUND(SUM(+AD30-AG30),1)</f>
        <v>78.5</v>
      </c>
      <c r="AK30" s="2465"/>
      <c r="AL30" s="1677">
        <f>ROUND(IF(AG30=0,0,AJ30/ABS(AG30)),3)</f>
        <v>0.40400000000000003</v>
      </c>
    </row>
    <row r="31" spans="1:38" s="2124" customFormat="1" ht="15" customHeight="1">
      <c r="A31" s="2381"/>
      <c r="B31" s="2462" t="s">
        <v>1003</v>
      </c>
      <c r="C31" s="2381"/>
      <c r="D31" s="1938">
        <f>'Exhibit G State'!D31</f>
        <v>6.6</v>
      </c>
      <c r="E31" s="1411"/>
      <c r="F31" s="1938">
        <f>'Exhibit G State'!F31</f>
        <v>0.5</v>
      </c>
      <c r="G31" s="1411"/>
      <c r="H31" s="1938"/>
      <c r="I31" s="2445"/>
      <c r="J31" s="1943"/>
      <c r="K31" s="2457"/>
      <c r="L31" s="1943"/>
      <c r="M31" s="2457"/>
      <c r="N31" s="1943"/>
      <c r="O31" s="2457"/>
      <c r="P31" s="1943"/>
      <c r="Q31" s="2457"/>
      <c r="R31" s="1943"/>
      <c r="S31" s="2457"/>
      <c r="T31" s="1943"/>
      <c r="U31" s="2457"/>
      <c r="V31" s="1943"/>
      <c r="W31" s="2457"/>
      <c r="X31" s="1943"/>
      <c r="Y31" s="2457"/>
      <c r="Z31" s="1938"/>
      <c r="AA31" s="1938"/>
      <c r="AB31" s="1938">
        <v>0</v>
      </c>
      <c r="AC31" s="1982"/>
      <c r="AD31" s="1938">
        <f>ROUND(SUM(D31:Z31),1)</f>
        <v>7.1</v>
      </c>
      <c r="AE31" s="1938"/>
      <c r="AF31" s="1982"/>
      <c r="AG31" s="1938">
        <f>'Exhibit G State'!AG31</f>
        <v>19.8</v>
      </c>
      <c r="AH31" s="3363"/>
      <c r="AI31" s="1920"/>
      <c r="AJ31" s="1943">
        <f>ROUND(SUM(+AD31-AG31),1)</f>
        <v>-12.7</v>
      </c>
      <c r="AK31" s="2465"/>
      <c r="AL31" s="1677">
        <f>ROUND(IF(AG31=0,0,AJ31/ABS(AG31)),3)</f>
        <v>-0.64100000000000001</v>
      </c>
    </row>
    <row r="32" spans="1:38" s="2124" customFormat="1" ht="15" customHeight="1">
      <c r="A32" s="2381"/>
      <c r="B32" s="2462" t="s">
        <v>1004</v>
      </c>
      <c r="C32" s="2381"/>
      <c r="D32" s="1938">
        <f>'Exhibit G State'!D32</f>
        <v>18.2</v>
      </c>
      <c r="E32" s="1411"/>
      <c r="F32" s="1938">
        <f>'Exhibit G State'!F32</f>
        <v>3.3000000000000007</v>
      </c>
      <c r="G32" s="1411"/>
      <c r="H32" s="1938"/>
      <c r="I32" s="2445"/>
      <c r="J32" s="1943"/>
      <c r="K32" s="2457"/>
      <c r="L32" s="1943"/>
      <c r="M32" s="2457"/>
      <c r="N32" s="1943"/>
      <c r="O32" s="2457"/>
      <c r="P32" s="1943"/>
      <c r="Q32" s="2457"/>
      <c r="R32" s="1943"/>
      <c r="S32" s="2457"/>
      <c r="T32" s="1943"/>
      <c r="U32" s="2457"/>
      <c r="V32" s="1943"/>
      <c r="W32" s="2457"/>
      <c r="X32" s="1943"/>
      <c r="Y32" s="2457"/>
      <c r="Z32" s="1938"/>
      <c r="AA32" s="1938"/>
      <c r="AB32" s="1938">
        <v>0</v>
      </c>
      <c r="AC32" s="1982"/>
      <c r="AD32" s="1938">
        <f>ROUND(SUM(D32:Z32),1)</f>
        <v>21.5</v>
      </c>
      <c r="AE32" s="1938"/>
      <c r="AF32" s="1982"/>
      <c r="AG32" s="1938">
        <f>'Exhibit G State'!AG32</f>
        <v>-6.3</v>
      </c>
      <c r="AH32" s="3363"/>
      <c r="AI32" s="1920"/>
      <c r="AJ32" s="1943">
        <f>ROUND(SUM(+AD32-AG32),1)</f>
        <v>27.8</v>
      </c>
      <c r="AK32" s="2465"/>
      <c r="AL32" s="1682">
        <f>ROUND(IF(AG32=0,0,AJ32/ABS(AG32)),3)</f>
        <v>4.4130000000000003</v>
      </c>
    </row>
    <row r="33" spans="1:38" s="2124" customFormat="1" ht="15" customHeight="1">
      <c r="A33" s="2381"/>
      <c r="B33" s="2462" t="s">
        <v>1005</v>
      </c>
      <c r="C33" s="2381"/>
      <c r="D33" s="1938">
        <f>'Exhibit G State'!D33</f>
        <v>0</v>
      </c>
      <c r="E33" s="1411"/>
      <c r="F33" s="1938">
        <f>'Exhibit G State'!F33</f>
        <v>0</v>
      </c>
      <c r="G33" s="1411"/>
      <c r="H33" s="1938"/>
      <c r="I33" s="2445"/>
      <c r="J33" s="1943"/>
      <c r="K33" s="2457"/>
      <c r="L33" s="1943"/>
      <c r="M33" s="2457"/>
      <c r="N33" s="1943"/>
      <c r="O33" s="2457"/>
      <c r="P33" s="1943"/>
      <c r="Q33" s="2457"/>
      <c r="R33" s="1943"/>
      <c r="S33" s="2457"/>
      <c r="T33" s="1943"/>
      <c r="U33" s="2457"/>
      <c r="V33" s="1943"/>
      <c r="W33" s="2457"/>
      <c r="X33" s="1943"/>
      <c r="Y33" s="2457"/>
      <c r="Z33" s="1938"/>
      <c r="AA33" s="1938"/>
      <c r="AB33" s="1938">
        <v>0</v>
      </c>
      <c r="AC33" s="1982"/>
      <c r="AD33" s="1938">
        <f>ROUND(SUM(D33:Z33),1)</f>
        <v>0</v>
      </c>
      <c r="AE33" s="1938"/>
      <c r="AF33" s="1982"/>
      <c r="AG33" s="1938">
        <f>'Exhibit G State'!AG33</f>
        <v>0.1</v>
      </c>
      <c r="AH33" s="3363"/>
      <c r="AI33" s="1920"/>
      <c r="AJ33" s="1943">
        <f>ROUND(SUM(+AD33-AG33),1)</f>
        <v>-0.1</v>
      </c>
      <c r="AK33" s="2465"/>
      <c r="AL33" s="1682">
        <f>ROUND(IF(AG33=0,0,AJ33/ABS(AG33)),3)</f>
        <v>-1</v>
      </c>
    </row>
    <row r="34" spans="1:38" s="2124" customFormat="1" ht="15" customHeight="1">
      <c r="A34" s="2381"/>
      <c r="B34" s="2462" t="s">
        <v>1006</v>
      </c>
      <c r="C34" s="2381"/>
      <c r="D34" s="1938">
        <f>'Exhibit G State'!D34</f>
        <v>37.200000000000003</v>
      </c>
      <c r="E34" s="1411"/>
      <c r="F34" s="1938">
        <f>'Exhibit G State'!F34</f>
        <v>39.399999999999991</v>
      </c>
      <c r="G34" s="1411"/>
      <c r="H34" s="1938"/>
      <c r="I34" s="2445"/>
      <c r="J34" s="1943"/>
      <c r="K34" s="2457"/>
      <c r="L34" s="1943"/>
      <c r="M34" s="2457"/>
      <c r="N34" s="1943"/>
      <c r="O34" s="2457"/>
      <c r="P34" s="1943"/>
      <c r="Q34" s="2457"/>
      <c r="R34" s="1943"/>
      <c r="S34" s="2457"/>
      <c r="T34" s="1943"/>
      <c r="U34" s="2457"/>
      <c r="V34" s="1943"/>
      <c r="W34" s="2457"/>
      <c r="X34" s="1943"/>
      <c r="Y34" s="2457"/>
      <c r="Z34" s="1938"/>
      <c r="AA34" s="1938"/>
      <c r="AB34" s="1938">
        <v>0</v>
      </c>
      <c r="AC34" s="1982"/>
      <c r="AD34" s="1938">
        <f>ROUND(SUM(D34:Z34),1)</f>
        <v>76.599999999999994</v>
      </c>
      <c r="AE34" s="1938"/>
      <c r="AF34" s="1982"/>
      <c r="AG34" s="1938">
        <f>'Exhibit G State'!AG34</f>
        <v>70.5</v>
      </c>
      <c r="AH34" s="3363"/>
      <c r="AI34" s="1920"/>
      <c r="AJ34" s="1943">
        <f>ROUND(SUM(+AD34-AG34),1)</f>
        <v>6.1</v>
      </c>
      <c r="AK34" s="2465"/>
      <c r="AL34" s="1677">
        <f>ROUND(IF(AG34=0,0,AJ34/ABS(AG34)),3)</f>
        <v>8.6999999999999994E-2</v>
      </c>
    </row>
    <row r="35" spans="1:38" s="2344" customFormat="1" ht="15" customHeight="1">
      <c r="A35" s="2343"/>
      <c r="B35" s="2463" t="s">
        <v>1106</v>
      </c>
      <c r="C35" s="2343"/>
      <c r="D35" s="1976">
        <f t="shared" ref="D35:F35" si="5">ROUND(SUM(D30:D34),1)</f>
        <v>290.89999999999998</v>
      </c>
      <c r="E35" s="2445"/>
      <c r="F35" s="1976">
        <f t="shared" si="5"/>
        <v>87.2</v>
      </c>
      <c r="G35" s="2445"/>
      <c r="H35" s="2390">
        <f>ROUND(SUM(H30:H34),1)</f>
        <v>0</v>
      </c>
      <c r="I35" s="2445"/>
      <c r="J35" s="2390">
        <f>ROUND(SUM(J30:J34),1)</f>
        <v>0</v>
      </c>
      <c r="K35" s="2445"/>
      <c r="L35" s="1976">
        <f t="shared" ref="L35:V35" si="6">ROUND(SUM(L30:L34),1)</f>
        <v>0</v>
      </c>
      <c r="M35" s="2445"/>
      <c r="N35" s="1976">
        <f t="shared" ref="N35:P35" si="7">ROUND(SUM(N30:N34),1)</f>
        <v>0</v>
      </c>
      <c r="O35" s="2445"/>
      <c r="P35" s="1976">
        <f t="shared" si="7"/>
        <v>0</v>
      </c>
      <c r="Q35" s="2445"/>
      <c r="R35" s="1976">
        <f t="shared" ref="R35:T35" si="8">ROUND(SUM(R30:R34),1)</f>
        <v>0</v>
      </c>
      <c r="S35" s="2445"/>
      <c r="T35" s="1976">
        <f t="shared" si="8"/>
        <v>0</v>
      </c>
      <c r="U35" s="2445"/>
      <c r="V35" s="1976">
        <f t="shared" si="6"/>
        <v>0</v>
      </c>
      <c r="W35" s="2445"/>
      <c r="X35" s="1976">
        <f t="shared" ref="X35" si="9">ROUND(SUM(X30:X34),1)</f>
        <v>0</v>
      </c>
      <c r="Y35" s="2445"/>
      <c r="Z35" s="1976">
        <f t="shared" ref="Z35" si="10">ROUND(SUM(Z30:Z34),1)</f>
        <v>0</v>
      </c>
      <c r="AA35" s="1412"/>
      <c r="AB35" s="1976">
        <f>SUM(AB30:AB34)</f>
        <v>0</v>
      </c>
      <c r="AC35" s="1983"/>
      <c r="AD35" s="1960">
        <f>ROUND(SUM(AD30:AD34),1)</f>
        <v>378.1</v>
      </c>
      <c r="AE35" s="1993"/>
      <c r="AF35" s="2469"/>
      <c r="AG35" s="1960">
        <f>ROUND(SUM(AG30:AG34),1)</f>
        <v>278.5</v>
      </c>
      <c r="AH35" s="3366"/>
      <c r="AI35" s="1412"/>
      <c r="AJ35" s="1976">
        <f>ROUND(SUM(AJ30:AJ34),1)</f>
        <v>99.6</v>
      </c>
      <c r="AL35" s="1402">
        <f>ROUND(SUM(+AJ35/AG35),3)</f>
        <v>0.35799999999999998</v>
      </c>
    </row>
    <row r="36" spans="1:38" ht="15" customHeight="1">
      <c r="A36" s="1987"/>
      <c r="B36" s="2466"/>
      <c r="C36" s="1987"/>
      <c r="D36" s="1950"/>
      <c r="F36" s="1950"/>
      <c r="H36" s="2393"/>
      <c r="J36" s="2393"/>
      <c r="L36" s="1950"/>
      <c r="N36" s="1950"/>
      <c r="P36" s="1950"/>
      <c r="R36" s="1950"/>
      <c r="T36" s="1950"/>
      <c r="V36" s="1950"/>
      <c r="X36" s="1950"/>
      <c r="Z36" s="1950"/>
      <c r="AA36" s="1950"/>
      <c r="AB36" s="1949"/>
      <c r="AC36" s="1980"/>
      <c r="AD36" s="1920"/>
      <c r="AE36" s="1938"/>
      <c r="AF36" s="1982"/>
      <c r="AG36" s="1920"/>
      <c r="AH36" s="3363"/>
      <c r="AI36" s="1950"/>
      <c r="AJ36" s="2393"/>
      <c r="AK36" s="1964"/>
      <c r="AL36" s="1415"/>
    </row>
    <row r="37" spans="1:38" ht="15" customHeight="1">
      <c r="A37" s="1987"/>
      <c r="B37" s="2463" t="s">
        <v>1107</v>
      </c>
      <c r="C37" s="1987"/>
      <c r="D37" s="1995">
        <f>ROUND(SUM(D17+D28+D35),1)</f>
        <v>492.5</v>
      </c>
      <c r="F37" s="1995">
        <f>ROUND(SUM(F17+F28+F35),1)</f>
        <v>235.2</v>
      </c>
      <c r="H37" s="1995">
        <f>ROUND(SUM(H17+H28+H35),1)</f>
        <v>0</v>
      </c>
      <c r="J37" s="1995">
        <f>ROUND(SUM(J17+J28+J35),1)</f>
        <v>0</v>
      </c>
      <c r="L37" s="1995">
        <f>ROUND(SUM(L17+L28+L35),1)</f>
        <v>0</v>
      </c>
      <c r="N37" s="1995">
        <f>ROUND(SUM(N17+N28+N35),1)</f>
        <v>0</v>
      </c>
      <c r="P37" s="1995">
        <f>ROUND(SUM(P17+P28+P35),1)</f>
        <v>0</v>
      </c>
      <c r="R37" s="1995">
        <f>ROUND(SUM(R17+R28+R35),1)</f>
        <v>0</v>
      </c>
      <c r="T37" s="1995">
        <f>ROUND(SUM(T17+T28+T35),1)</f>
        <v>0</v>
      </c>
      <c r="V37" s="1995">
        <f>ROUND(SUM(V17+V28+V35),1)</f>
        <v>0</v>
      </c>
      <c r="X37" s="1995">
        <f>ROUND(SUM(X17+X28+X35),1)</f>
        <v>0</v>
      </c>
      <c r="Z37" s="1995">
        <f>ROUND(SUM(Z17+Z28+Z35),1)</f>
        <v>0</v>
      </c>
      <c r="AA37" s="1412"/>
      <c r="AB37" s="1995">
        <f>ROUND(SUM(AB17+AB28+AB35),1)</f>
        <v>0</v>
      </c>
      <c r="AC37" s="1980"/>
      <c r="AD37" s="1997">
        <f>ROUND(SUM(AD17+AD28+AD35),1)</f>
        <v>727.7</v>
      </c>
      <c r="AE37" s="1938"/>
      <c r="AF37" s="1982"/>
      <c r="AG37" s="1997">
        <f>ROUND(SUM(AG17+AG28+AG35),1)</f>
        <v>608.20000000000005</v>
      </c>
      <c r="AH37" s="3363"/>
      <c r="AI37" s="1950"/>
      <c r="AJ37" s="1995">
        <f>ROUND(SUM(AJ17+AJ28+AJ35),1)</f>
        <v>119.5</v>
      </c>
      <c r="AL37" s="1403">
        <f>ROUND(SUM(+AJ37/AG37),3)</f>
        <v>0.19600000000000001</v>
      </c>
    </row>
    <row r="38" spans="1:38" ht="15" customHeight="1">
      <c r="A38" s="1987"/>
      <c r="B38" s="1987"/>
      <c r="C38" s="1987"/>
      <c r="D38" s="2465"/>
      <c r="F38" s="2465"/>
      <c r="H38" s="2467"/>
      <c r="J38" s="2467"/>
      <c r="L38" s="2467"/>
      <c r="N38" s="2467"/>
      <c r="P38" s="2467"/>
      <c r="R38" s="2467"/>
      <c r="T38" s="2467"/>
      <c r="V38" s="1958"/>
      <c r="X38" s="1958"/>
      <c r="Z38" s="1958"/>
      <c r="AA38" s="2465"/>
      <c r="AB38" s="1949"/>
      <c r="AC38" s="1980"/>
      <c r="AD38" s="1938"/>
      <c r="AE38" s="1938"/>
      <c r="AF38" s="1982"/>
      <c r="AG38" s="2062"/>
      <c r="AH38" s="3367"/>
      <c r="AI38" s="1950"/>
      <c r="AJ38" s="1411"/>
      <c r="AK38" s="2458"/>
      <c r="AL38" s="1400"/>
    </row>
    <row r="39" spans="1:38" ht="15" customHeight="1">
      <c r="A39" s="1987"/>
      <c r="B39" s="2378" t="s">
        <v>918</v>
      </c>
      <c r="C39" s="1987"/>
      <c r="D39" s="2465"/>
      <c r="F39" s="2465"/>
      <c r="H39" s="2467"/>
      <c r="J39" s="2467"/>
      <c r="L39" s="2467"/>
      <c r="N39" s="2467"/>
      <c r="P39" s="2467"/>
      <c r="R39" s="2467"/>
      <c r="T39" s="2467"/>
      <c r="V39" s="1958"/>
      <c r="X39" s="1958"/>
      <c r="Z39" s="1958"/>
      <c r="AA39" s="2465"/>
      <c r="AB39" s="1949"/>
      <c r="AC39" s="1980"/>
      <c r="AD39" s="1938"/>
      <c r="AE39" s="1938"/>
      <c r="AF39" s="1982"/>
      <c r="AG39" s="2062"/>
      <c r="AH39" s="3367"/>
      <c r="AI39" s="1950"/>
      <c r="AJ39" s="1411"/>
      <c r="AK39" s="2458"/>
      <c r="AL39" s="1400"/>
    </row>
    <row r="40" spans="1:38" ht="15" customHeight="1">
      <c r="A40" s="1987"/>
      <c r="B40" s="2401" t="s">
        <v>1033</v>
      </c>
      <c r="C40" s="1987"/>
      <c r="D40" s="2465"/>
      <c r="F40" s="2465"/>
      <c r="H40" s="2467"/>
      <c r="J40" s="2467"/>
      <c r="L40" s="2467"/>
      <c r="N40" s="2467"/>
      <c r="P40" s="2467"/>
      <c r="R40" s="2467"/>
      <c r="T40" s="2467"/>
      <c r="V40" s="1958"/>
      <c r="X40" s="1958"/>
      <c r="Z40" s="1958"/>
      <c r="AA40" s="2465"/>
      <c r="AB40" s="1949"/>
      <c r="AC40" s="1980"/>
      <c r="AD40" s="1938"/>
      <c r="AE40" s="1938"/>
      <c r="AF40" s="1982"/>
      <c r="AG40" s="2062"/>
      <c r="AH40" s="3367"/>
      <c r="AI40" s="1950"/>
      <c r="AJ40" s="1411"/>
      <c r="AK40" s="2458"/>
      <c r="AL40" s="1400"/>
    </row>
    <row r="41" spans="1:38" s="2124" customFormat="1" ht="15" customHeight="1">
      <c r="A41" s="2381"/>
      <c r="B41" s="2401" t="s">
        <v>950</v>
      </c>
      <c r="C41" s="2381"/>
      <c r="D41" s="1975">
        <f>'Exhibit G State'!D41+'Exhibit G Federal'!D19</f>
        <v>0.9</v>
      </c>
      <c r="E41" s="2467"/>
      <c r="F41" s="1975">
        <f>'Exhibit G State'!F41+'Exhibit G Federal'!F19</f>
        <v>0.9</v>
      </c>
      <c r="G41" s="2467"/>
      <c r="H41" s="1975"/>
      <c r="I41" s="2445"/>
      <c r="J41" s="1943"/>
      <c r="K41" s="2457"/>
      <c r="L41" s="1943"/>
      <c r="M41" s="2457"/>
      <c r="N41" s="1943"/>
      <c r="O41" s="2457"/>
      <c r="P41" s="1943"/>
      <c r="Q41" s="2457"/>
      <c r="R41" s="1943"/>
      <c r="S41" s="2457"/>
      <c r="T41" s="1943"/>
      <c r="U41" s="2457"/>
      <c r="V41" s="1943"/>
      <c r="W41" s="2457"/>
      <c r="X41" s="1943"/>
      <c r="Y41" s="2457"/>
      <c r="Z41" s="1975"/>
      <c r="AA41" s="1975"/>
      <c r="AB41" s="1938">
        <v>0</v>
      </c>
      <c r="AC41" s="1982"/>
      <c r="AD41" s="1938">
        <f t="shared" ref="AD41:AD83" si="11">ROUND(SUM(D41:Z41),1)</f>
        <v>1.8</v>
      </c>
      <c r="AE41" s="1938"/>
      <c r="AF41" s="1982"/>
      <c r="AG41" s="1975">
        <f>'Exhibit G State'!AG41+'Exhibit G Federal'!AG19</f>
        <v>1.9</v>
      </c>
      <c r="AH41" s="3367"/>
      <c r="AI41" s="1920"/>
      <c r="AJ41" s="1943">
        <f>ROUND(SUM(+AD41-AG41),1)</f>
        <v>-0.1</v>
      </c>
      <c r="AK41" s="2465"/>
      <c r="AL41" s="1677">
        <f>ROUND(IF(AG41=0,0,AJ41/ABS(AG41)),3)</f>
        <v>-5.2999999999999999E-2</v>
      </c>
    </row>
    <row r="42" spans="1:38" s="2124" customFormat="1" ht="15" customHeight="1">
      <c r="A42" s="2381"/>
      <c r="B42" s="2401" t="s">
        <v>1034</v>
      </c>
      <c r="C42" s="2381"/>
      <c r="D42" s="1975"/>
      <c r="E42" s="2445"/>
      <c r="F42" s="1975"/>
      <c r="G42" s="2445"/>
      <c r="H42" s="1975"/>
      <c r="I42" s="2445"/>
      <c r="J42" s="1943"/>
      <c r="K42" s="2457"/>
      <c r="L42" s="1943"/>
      <c r="M42" s="2457"/>
      <c r="N42" s="1943"/>
      <c r="O42" s="2457"/>
      <c r="P42" s="1943"/>
      <c r="Q42" s="2457"/>
      <c r="R42" s="1943"/>
      <c r="S42" s="2457"/>
      <c r="T42" s="1943"/>
      <c r="U42" s="2457"/>
      <c r="V42" s="1943"/>
      <c r="W42" s="2457"/>
      <c r="X42" s="1943"/>
      <c r="Y42" s="2457"/>
      <c r="Z42" s="1975"/>
      <c r="AA42" s="1975"/>
      <c r="AB42" s="1938"/>
      <c r="AC42" s="1982"/>
      <c r="AD42" s="1938"/>
      <c r="AE42" s="1938"/>
      <c r="AF42" s="1982"/>
      <c r="AG42" s="1975"/>
      <c r="AH42" s="3367"/>
      <c r="AI42" s="1920"/>
      <c r="AJ42" s="1943"/>
      <c r="AK42" s="2465"/>
      <c r="AL42" s="1770"/>
    </row>
    <row r="43" spans="1:38" s="2124" customFormat="1" ht="15" customHeight="1">
      <c r="A43" s="2381"/>
      <c r="B43" s="2401" t="s">
        <v>952</v>
      </c>
      <c r="C43" s="2381"/>
      <c r="D43" s="1975">
        <f>'Exhibit G State'!D43+'Exhibit G Federal'!D21</f>
        <v>133.5</v>
      </c>
      <c r="E43" s="1975"/>
      <c r="F43" s="1975">
        <f>'Exhibit G State'!F43+'Exhibit G Federal'!F21</f>
        <v>39.600000000000009</v>
      </c>
      <c r="G43" s="1975"/>
      <c r="H43" s="1975"/>
      <c r="I43" s="2445"/>
      <c r="J43" s="1943"/>
      <c r="K43" s="2457"/>
      <c r="L43" s="1943"/>
      <c r="M43" s="2457"/>
      <c r="N43" s="1943"/>
      <c r="O43" s="2457"/>
      <c r="P43" s="1943"/>
      <c r="Q43" s="2457"/>
      <c r="R43" s="1943"/>
      <c r="S43" s="2457"/>
      <c r="T43" s="1943"/>
      <c r="U43" s="2457"/>
      <c r="V43" s="1943"/>
      <c r="W43" s="2457"/>
      <c r="X43" s="1943"/>
      <c r="Y43" s="2457"/>
      <c r="Z43" s="1975"/>
      <c r="AA43" s="1975"/>
      <c r="AB43" s="1938">
        <v>0</v>
      </c>
      <c r="AC43" s="1982"/>
      <c r="AD43" s="1938">
        <f>ROUND(SUM(D43:Z43),1)</f>
        <v>173.1</v>
      </c>
      <c r="AE43" s="1938"/>
      <c r="AF43" s="1982"/>
      <c r="AG43" s="1975">
        <f>'Exhibit G State'!AG43+'Exhibit G Federal'!AG21</f>
        <v>109.9</v>
      </c>
      <c r="AH43" s="3367"/>
      <c r="AI43" s="1920"/>
      <c r="AJ43" s="1943">
        <f>ROUND(SUM(+AD43-AG43),1)</f>
        <v>63.2</v>
      </c>
      <c r="AK43" s="2465"/>
      <c r="AL43" s="1677">
        <f>ROUND(IF(AG43=0,0,AJ43/ABS(AG43)),3)</f>
        <v>0.57499999999999996</v>
      </c>
    </row>
    <row r="44" spans="1:38" s="2124" customFormat="1" ht="15" customHeight="1">
      <c r="A44" s="2381"/>
      <c r="B44" s="2401" t="s">
        <v>953</v>
      </c>
      <c r="C44" s="2381"/>
      <c r="D44" s="1975">
        <f>'Exhibit G State'!D44+'Exhibit G Federal'!D22</f>
        <v>535.29999999999995</v>
      </c>
      <c r="E44" s="1975"/>
      <c r="F44" s="1975">
        <f>'Exhibit G State'!F44+'Exhibit G Federal'!F22</f>
        <v>530.60000000000014</v>
      </c>
      <c r="G44" s="1975"/>
      <c r="H44" s="1975"/>
      <c r="I44" s="2445"/>
      <c r="J44" s="1943"/>
      <c r="K44" s="2457"/>
      <c r="L44" s="1943"/>
      <c r="M44" s="2457"/>
      <c r="N44" s="1943"/>
      <c r="O44" s="2457"/>
      <c r="P44" s="1943"/>
      <c r="Q44" s="2457"/>
      <c r="R44" s="1943"/>
      <c r="S44" s="2457"/>
      <c r="T44" s="1943"/>
      <c r="U44" s="2457"/>
      <c r="V44" s="1943"/>
      <c r="W44" s="2457"/>
      <c r="X44" s="1943"/>
      <c r="Y44" s="2457"/>
      <c r="Z44" s="1975"/>
      <c r="AA44" s="1975"/>
      <c r="AB44" s="1938">
        <v>0</v>
      </c>
      <c r="AC44" s="1982"/>
      <c r="AD44" s="1943">
        <f t="shared" si="11"/>
        <v>1065.9000000000001</v>
      </c>
      <c r="AE44" s="1938"/>
      <c r="AF44" s="1982"/>
      <c r="AG44" s="1975">
        <f>'Exhibit G State'!AG44+'Exhibit G Federal'!AG22</f>
        <v>1012.8</v>
      </c>
      <c r="AH44" s="3367"/>
      <c r="AI44" s="1920"/>
      <c r="AJ44" s="1943">
        <f>ROUND(SUM(+AD44-AG44),1)</f>
        <v>53.1</v>
      </c>
      <c r="AK44" s="2465"/>
      <c r="AL44" s="1677">
        <f>ROUND(IF(AG44=0,0,AJ44/ABS(AG44)),3)</f>
        <v>5.1999999999999998E-2</v>
      </c>
    </row>
    <row r="45" spans="1:38" s="2124" customFormat="1" ht="15" customHeight="1">
      <c r="A45" s="2381"/>
      <c r="B45" s="2401" t="s">
        <v>954</v>
      </c>
      <c r="C45" s="2381"/>
      <c r="D45" s="1975">
        <f>'Exhibit G State'!D45+'Exhibit G Federal'!D23</f>
        <v>4.5999999999999996</v>
      </c>
      <c r="E45" s="1975"/>
      <c r="F45" s="1975">
        <f>'Exhibit G State'!F45+'Exhibit G Federal'!F23</f>
        <v>0</v>
      </c>
      <c r="G45" s="1975"/>
      <c r="H45" s="1975"/>
      <c r="I45" s="2445"/>
      <c r="J45" s="1943"/>
      <c r="K45" s="2457"/>
      <c r="L45" s="1943"/>
      <c r="M45" s="2457"/>
      <c r="N45" s="1943"/>
      <c r="O45" s="2457"/>
      <c r="P45" s="1943"/>
      <c r="Q45" s="2457"/>
      <c r="R45" s="1943"/>
      <c r="S45" s="2457"/>
      <c r="T45" s="1943"/>
      <c r="U45" s="2457"/>
      <c r="V45" s="1943"/>
      <c r="W45" s="2457"/>
      <c r="X45" s="1943"/>
      <c r="Y45" s="2457"/>
      <c r="Z45" s="1975"/>
      <c r="AA45" s="1975"/>
      <c r="AB45" s="1938">
        <v>0</v>
      </c>
      <c r="AC45" s="1982"/>
      <c r="AD45" s="1938">
        <f t="shared" si="11"/>
        <v>4.5999999999999996</v>
      </c>
      <c r="AE45" s="1938"/>
      <c r="AF45" s="1982"/>
      <c r="AG45" s="1975">
        <f>'Exhibit G State'!AG45+'Exhibit G Federal'!AG23</f>
        <v>1.5</v>
      </c>
      <c r="AH45" s="3367"/>
      <c r="AI45" s="1920"/>
      <c r="AJ45" s="1943">
        <f>ROUND(SUM(+AD45-AG45),1)</f>
        <v>3.1</v>
      </c>
      <c r="AK45" s="2465"/>
      <c r="AL45" s="1682">
        <f>ROUND(IF(AG45=0,0,AJ45/ABS(AG45)),3)</f>
        <v>2.0670000000000002</v>
      </c>
    </row>
    <row r="46" spans="1:38" s="2124" customFormat="1" ht="15" customHeight="1">
      <c r="A46" s="2381"/>
      <c r="B46" s="2401" t="s">
        <v>955</v>
      </c>
      <c r="C46" s="2381"/>
      <c r="D46" s="1975">
        <f>'Exhibit G State'!D46+'Exhibit G Federal'!D24</f>
        <v>0</v>
      </c>
      <c r="E46" s="1975"/>
      <c r="F46" s="1975">
        <f>'Exhibit G State'!F46+'Exhibit G Federal'!F24</f>
        <v>0</v>
      </c>
      <c r="G46" s="1975"/>
      <c r="H46" s="1975"/>
      <c r="I46" s="2445"/>
      <c r="J46" s="1943"/>
      <c r="K46" s="2457"/>
      <c r="L46" s="1943"/>
      <c r="M46" s="2457"/>
      <c r="N46" s="1943"/>
      <c r="O46" s="2457"/>
      <c r="P46" s="1943"/>
      <c r="Q46" s="2457"/>
      <c r="R46" s="1943"/>
      <c r="S46" s="2457"/>
      <c r="T46" s="1943"/>
      <c r="U46" s="2457"/>
      <c r="V46" s="1943"/>
      <c r="W46" s="2457"/>
      <c r="X46" s="1943"/>
      <c r="Y46" s="2457"/>
      <c r="Z46" s="1975"/>
      <c r="AA46" s="1975"/>
      <c r="AB46" s="1938">
        <v>0</v>
      </c>
      <c r="AC46" s="1982"/>
      <c r="AD46" s="1938">
        <f t="shared" si="11"/>
        <v>0</v>
      </c>
      <c r="AE46" s="1938"/>
      <c r="AF46" s="1982"/>
      <c r="AG46" s="1975">
        <f>'Exhibit G State'!AG46+'Exhibit G Federal'!AG24</f>
        <v>0</v>
      </c>
      <c r="AH46" s="3367"/>
      <c r="AI46" s="1920"/>
      <c r="AJ46" s="1943">
        <f>ROUND(SUM(+AD46-AG46),1)</f>
        <v>0</v>
      </c>
      <c r="AK46" s="2465"/>
      <c r="AL46" s="1677">
        <f>ROUND(IF(AG46=0,0,AJ46/ABS(AG46)),3)</f>
        <v>0</v>
      </c>
    </row>
    <row r="47" spans="1:38" s="2124" customFormat="1" ht="15" customHeight="1">
      <c r="A47" s="2381"/>
      <c r="B47" s="2401" t="s">
        <v>1038</v>
      </c>
      <c r="C47" s="2381"/>
      <c r="D47" s="1975"/>
      <c r="E47" s="2445"/>
      <c r="F47" s="1975"/>
      <c r="G47" s="2445"/>
      <c r="H47" s="1975"/>
      <c r="I47" s="2445"/>
      <c r="J47" s="1943"/>
      <c r="K47" s="2457"/>
      <c r="L47" s="1943"/>
      <c r="M47" s="2457"/>
      <c r="N47" s="1943"/>
      <c r="O47" s="2457"/>
      <c r="P47" s="1943"/>
      <c r="Q47" s="2457"/>
      <c r="R47" s="1943"/>
      <c r="S47" s="2457"/>
      <c r="T47" s="1943"/>
      <c r="U47" s="2457"/>
      <c r="V47" s="1943"/>
      <c r="W47" s="2457"/>
      <c r="X47" s="1943"/>
      <c r="Y47" s="2457"/>
      <c r="Z47" s="1975"/>
      <c r="AA47" s="1975"/>
      <c r="AB47" s="1938"/>
      <c r="AC47" s="1982"/>
      <c r="AD47" s="1938"/>
      <c r="AE47" s="1938"/>
      <c r="AF47" s="1982"/>
      <c r="AG47" s="1975"/>
      <c r="AH47" s="3367"/>
      <c r="AI47" s="1920"/>
      <c r="AJ47" s="1943"/>
      <c r="AK47" s="2465"/>
      <c r="AL47" s="1770"/>
    </row>
    <row r="48" spans="1:38" s="2124" customFormat="1" ht="15" customHeight="1">
      <c r="A48" s="2381"/>
      <c r="B48" s="2401" t="s">
        <v>1127</v>
      </c>
      <c r="C48" s="2381"/>
      <c r="D48" s="1975">
        <f>'Exhibit G State'!D48</f>
        <v>0</v>
      </c>
      <c r="E48" s="1975"/>
      <c r="F48" s="1975">
        <f>'Exhibit G State'!F48</f>
        <v>0.2</v>
      </c>
      <c r="G48" s="1975"/>
      <c r="H48" s="1975"/>
      <c r="I48" s="2445"/>
      <c r="J48" s="1975"/>
      <c r="K48" s="2457"/>
      <c r="L48" s="1975"/>
      <c r="M48" s="2457"/>
      <c r="N48" s="1975"/>
      <c r="O48" s="2457"/>
      <c r="P48" s="1975"/>
      <c r="Q48" s="2457"/>
      <c r="R48" s="1975"/>
      <c r="S48" s="2457"/>
      <c r="T48" s="1975"/>
      <c r="U48" s="2457"/>
      <c r="V48" s="1975"/>
      <c r="W48" s="2457"/>
      <c r="X48" s="1975"/>
      <c r="Y48" s="2457"/>
      <c r="Z48" s="1975"/>
      <c r="AA48" s="1975"/>
      <c r="AB48" s="1938">
        <v>0</v>
      </c>
      <c r="AC48" s="1982"/>
      <c r="AD48" s="1938">
        <f>ROUND(SUM(D48:Z48),1)</f>
        <v>0.2</v>
      </c>
      <c r="AE48" s="1938"/>
      <c r="AF48" s="1982"/>
      <c r="AG48" s="1975">
        <f>'Exhibit G State'!AG48</f>
        <v>0</v>
      </c>
      <c r="AH48" s="3367"/>
      <c r="AI48" s="1920"/>
      <c r="AJ48" s="1943">
        <f>ROUND(SUM(+AD48-AG48),1)</f>
        <v>0.2</v>
      </c>
      <c r="AK48" s="2465"/>
      <c r="AL48" s="1677">
        <f>ROUND(IF(AG48=0,1,AJ48/ABS(AG48)),3)</f>
        <v>1</v>
      </c>
    </row>
    <row r="49" spans="1:38" s="2124" customFormat="1" ht="15" customHeight="1">
      <c r="A49" s="2381"/>
      <c r="B49" s="2401" t="s">
        <v>956</v>
      </c>
      <c r="C49" s="2381"/>
      <c r="D49" s="1975">
        <f>'Exhibit G State'!D49+'Exhibit G Federal'!D26</f>
        <v>32.9</v>
      </c>
      <c r="E49" s="1975"/>
      <c r="F49" s="1975">
        <f>'Exhibit G State'!F49+'Exhibit G Federal'!F26</f>
        <v>36.300000000000004</v>
      </c>
      <c r="G49" s="1975"/>
      <c r="H49" s="1975"/>
      <c r="I49" s="2445"/>
      <c r="J49" s="1975"/>
      <c r="K49" s="2457"/>
      <c r="L49" s="1975"/>
      <c r="M49" s="2457"/>
      <c r="N49" s="1975"/>
      <c r="O49" s="2457"/>
      <c r="P49" s="1975"/>
      <c r="Q49" s="2457"/>
      <c r="R49" s="1975"/>
      <c r="S49" s="2457"/>
      <c r="T49" s="1975"/>
      <c r="U49" s="2457"/>
      <c r="V49" s="1975"/>
      <c r="W49" s="2457"/>
      <c r="X49" s="1975"/>
      <c r="Y49" s="2457"/>
      <c r="Z49" s="1975"/>
      <c r="AA49" s="1975"/>
      <c r="AB49" s="1938">
        <v>0</v>
      </c>
      <c r="AC49" s="1982"/>
      <c r="AD49" s="1938">
        <f t="shared" si="11"/>
        <v>69.2</v>
      </c>
      <c r="AE49" s="1938"/>
      <c r="AF49" s="1982"/>
      <c r="AG49" s="1975">
        <f>'Exhibit G State'!AG49+'Exhibit G Federal'!AG26</f>
        <v>65.3</v>
      </c>
      <c r="AH49" s="3367"/>
      <c r="AI49" s="1920"/>
      <c r="AJ49" s="1943">
        <f t="shared" ref="AJ49:AJ54" si="12">ROUND(SUM(+AD49-AG49),1)</f>
        <v>3.9</v>
      </c>
      <c r="AK49" s="2465"/>
      <c r="AL49" s="1677">
        <f t="shared" ref="AL49:AL54" si="13">ROUND(IF(AG49=0,0,AJ49/ABS(AG49)),3)</f>
        <v>0.06</v>
      </c>
    </row>
    <row r="50" spans="1:38" s="2124" customFormat="1" ht="15" customHeight="1">
      <c r="A50" s="2381"/>
      <c r="B50" s="2401" t="s">
        <v>957</v>
      </c>
      <c r="C50" s="2381"/>
      <c r="D50" s="1975">
        <f>'Exhibit G State'!D50+'Exhibit G Federal'!D27</f>
        <v>5</v>
      </c>
      <c r="E50" s="1975"/>
      <c r="F50" s="1975">
        <f>'Exhibit G State'!F50+'Exhibit G Federal'!F27</f>
        <v>4.6999999999999993</v>
      </c>
      <c r="G50" s="1975"/>
      <c r="H50" s="1975"/>
      <c r="I50" s="2445"/>
      <c r="J50" s="1975"/>
      <c r="K50" s="2457"/>
      <c r="L50" s="1975"/>
      <c r="M50" s="2457"/>
      <c r="N50" s="1975"/>
      <c r="O50" s="2457"/>
      <c r="P50" s="1975"/>
      <c r="Q50" s="2457"/>
      <c r="R50" s="1975"/>
      <c r="S50" s="2457"/>
      <c r="T50" s="1975"/>
      <c r="U50" s="2457"/>
      <c r="V50" s="1975"/>
      <c r="W50" s="2457"/>
      <c r="X50" s="1975"/>
      <c r="Y50" s="2457"/>
      <c r="Z50" s="1975"/>
      <c r="AA50" s="1975"/>
      <c r="AB50" s="1938">
        <v>0</v>
      </c>
      <c r="AC50" s="1982"/>
      <c r="AD50" s="1938">
        <f t="shared" si="11"/>
        <v>9.6999999999999993</v>
      </c>
      <c r="AE50" s="1938"/>
      <c r="AF50" s="1982"/>
      <c r="AG50" s="1975">
        <f>'Exhibit G State'!AG50+'Exhibit G Federal'!AG27</f>
        <v>10.5</v>
      </c>
      <c r="AH50" s="3367"/>
      <c r="AI50" s="1920"/>
      <c r="AJ50" s="1943">
        <f t="shared" si="12"/>
        <v>-0.8</v>
      </c>
      <c r="AK50" s="2465"/>
      <c r="AL50" s="1677">
        <f t="shared" si="13"/>
        <v>-7.5999999999999998E-2</v>
      </c>
    </row>
    <row r="51" spans="1:38" s="2124" customFormat="1" ht="15" customHeight="1">
      <c r="A51" s="2381"/>
      <c r="B51" s="2401" t="s">
        <v>958</v>
      </c>
      <c r="C51" s="2381"/>
      <c r="D51" s="1975">
        <f>'Exhibit G State'!D51+'Exhibit G Federal'!D28</f>
        <v>0.7</v>
      </c>
      <c r="E51" s="1975"/>
      <c r="F51" s="1975">
        <f>'Exhibit G State'!F51+'Exhibit G Federal'!F28</f>
        <v>0.20000000000000007</v>
      </c>
      <c r="G51" s="1975"/>
      <c r="H51" s="1975"/>
      <c r="I51" s="2445"/>
      <c r="J51" s="1975"/>
      <c r="K51" s="2457"/>
      <c r="L51" s="1975"/>
      <c r="M51" s="2457"/>
      <c r="N51" s="1975"/>
      <c r="O51" s="2457"/>
      <c r="P51" s="1975"/>
      <c r="Q51" s="2457"/>
      <c r="R51" s="1975"/>
      <c r="S51" s="2457"/>
      <c r="T51" s="1975"/>
      <c r="U51" s="2457"/>
      <c r="V51" s="1975"/>
      <c r="W51" s="2457"/>
      <c r="X51" s="1975"/>
      <c r="Y51" s="2457"/>
      <c r="Z51" s="1975"/>
      <c r="AA51" s="1975"/>
      <c r="AB51" s="1938">
        <v>0</v>
      </c>
      <c r="AC51" s="1982"/>
      <c r="AD51" s="1938">
        <f>ROUND(SUM(D51:Z51),1)</f>
        <v>0.9</v>
      </c>
      <c r="AE51" s="1938"/>
      <c r="AF51" s="1982"/>
      <c r="AG51" s="1975">
        <f>'Exhibit G State'!AG51+'Exhibit G Federal'!AG28</f>
        <v>1.1000000000000001</v>
      </c>
      <c r="AH51" s="3367"/>
      <c r="AI51" s="1920"/>
      <c r="AJ51" s="1943">
        <f t="shared" si="12"/>
        <v>-0.2</v>
      </c>
      <c r="AK51" s="2465"/>
      <c r="AL51" s="1677">
        <f>ROUND(IF(AG51=0,1,AJ51/ABS(AG51)),3)</f>
        <v>-0.182</v>
      </c>
    </row>
    <row r="52" spans="1:38" s="2124" customFormat="1" ht="15" customHeight="1">
      <c r="A52" s="2381"/>
      <c r="B52" s="2401" t="s">
        <v>959</v>
      </c>
      <c r="C52" s="2381"/>
      <c r="D52" s="1975">
        <f>'Exhibit G State'!D52+'Exhibit G Federal'!D29</f>
        <v>16.7</v>
      </c>
      <c r="E52" s="1975"/>
      <c r="F52" s="1975">
        <f>'Exhibit G State'!F52+'Exhibit G Federal'!F29</f>
        <v>16.3</v>
      </c>
      <c r="G52" s="1975"/>
      <c r="H52" s="1975"/>
      <c r="I52" s="2445"/>
      <c r="J52" s="1975"/>
      <c r="K52" s="2457"/>
      <c r="L52" s="1975"/>
      <c r="M52" s="2457"/>
      <c r="N52" s="1975"/>
      <c r="O52" s="2457"/>
      <c r="P52" s="1975"/>
      <c r="Q52" s="2457"/>
      <c r="R52" s="1975"/>
      <c r="S52" s="2457"/>
      <c r="T52" s="1975"/>
      <c r="U52" s="2457"/>
      <c r="V52" s="1975"/>
      <c r="W52" s="2457"/>
      <c r="X52" s="1975"/>
      <c r="Y52" s="2457"/>
      <c r="Z52" s="1975"/>
      <c r="AA52" s="1975"/>
      <c r="AB52" s="1938">
        <v>0</v>
      </c>
      <c r="AC52" s="1982"/>
      <c r="AD52" s="1938">
        <f t="shared" si="11"/>
        <v>33</v>
      </c>
      <c r="AE52" s="1938"/>
      <c r="AF52" s="1982"/>
      <c r="AG52" s="1975">
        <f>'Exhibit G State'!AG52+'Exhibit G Federal'!AG29</f>
        <v>57.4</v>
      </c>
      <c r="AH52" s="3367"/>
      <c r="AI52" s="1920"/>
      <c r="AJ52" s="1943">
        <f t="shared" si="12"/>
        <v>-24.4</v>
      </c>
      <c r="AK52" s="2465"/>
      <c r="AL52" s="1677">
        <f t="shared" si="13"/>
        <v>-0.42499999999999999</v>
      </c>
    </row>
    <row r="53" spans="1:38" s="2124" customFormat="1" ht="15" customHeight="1">
      <c r="A53" s="2381"/>
      <c r="B53" s="2401" t="s">
        <v>960</v>
      </c>
      <c r="C53" s="2381"/>
      <c r="D53" s="1975">
        <f>'Exhibit G State'!D53+'Exhibit G Federal'!D30</f>
        <v>39</v>
      </c>
      <c r="E53" s="1975"/>
      <c r="F53" s="1975">
        <f>'Exhibit G State'!F53+'Exhibit G Federal'!F30</f>
        <v>77.5</v>
      </c>
      <c r="G53" s="1975"/>
      <c r="H53" s="1975"/>
      <c r="I53" s="2445"/>
      <c r="J53" s="1975"/>
      <c r="K53" s="2457"/>
      <c r="L53" s="1975"/>
      <c r="M53" s="2457"/>
      <c r="N53" s="1975"/>
      <c r="O53" s="2457"/>
      <c r="P53" s="1975"/>
      <c r="Q53" s="2457"/>
      <c r="R53" s="1975"/>
      <c r="S53" s="2457"/>
      <c r="T53" s="1975"/>
      <c r="U53" s="2457"/>
      <c r="V53" s="1975"/>
      <c r="W53" s="2457"/>
      <c r="X53" s="1975"/>
      <c r="Y53" s="2457"/>
      <c r="Z53" s="1975"/>
      <c r="AA53" s="1975"/>
      <c r="AB53" s="1938">
        <v>0</v>
      </c>
      <c r="AC53" s="1982"/>
      <c r="AD53" s="1943">
        <f t="shared" si="11"/>
        <v>116.5</v>
      </c>
      <c r="AE53" s="1938"/>
      <c r="AF53" s="1982"/>
      <c r="AG53" s="1975">
        <f>'Exhibit G State'!AG53+'Exhibit G Federal'!AG30</f>
        <v>115.3</v>
      </c>
      <c r="AH53" s="3367"/>
      <c r="AI53" s="1920"/>
      <c r="AJ53" s="1943">
        <f t="shared" si="12"/>
        <v>1.2</v>
      </c>
      <c r="AK53" s="2465"/>
      <c r="AL53" s="1677">
        <f t="shared" si="13"/>
        <v>0.01</v>
      </c>
    </row>
    <row r="54" spans="1:38" s="2124" customFormat="1" ht="15" customHeight="1">
      <c r="A54" s="2381"/>
      <c r="B54" s="2401" t="s">
        <v>919</v>
      </c>
      <c r="C54" s="2381"/>
      <c r="D54" s="1975">
        <f>'Exhibit G State'!D54+'Exhibit G Federal'!D31</f>
        <v>5.1000000000000005</v>
      </c>
      <c r="E54" s="1975"/>
      <c r="F54" s="1975">
        <f>'Exhibit G State'!F54+'Exhibit G Federal'!F31</f>
        <v>9.3999999999999986</v>
      </c>
      <c r="G54" s="1975"/>
      <c r="H54" s="1975"/>
      <c r="I54" s="2445"/>
      <c r="J54" s="1975"/>
      <c r="K54" s="2457"/>
      <c r="L54" s="1975"/>
      <c r="M54" s="2457"/>
      <c r="N54" s="1975"/>
      <c r="O54" s="2457"/>
      <c r="P54" s="1975"/>
      <c r="Q54" s="2457"/>
      <c r="R54" s="1975"/>
      <c r="S54" s="2457"/>
      <c r="T54" s="1975"/>
      <c r="U54" s="2457"/>
      <c r="V54" s="1975"/>
      <c r="W54" s="2457"/>
      <c r="X54" s="1975"/>
      <c r="Y54" s="2457"/>
      <c r="Z54" s="1975"/>
      <c r="AA54" s="1975"/>
      <c r="AB54" s="1938">
        <v>0</v>
      </c>
      <c r="AC54" s="1982"/>
      <c r="AD54" s="1943">
        <f>ROUND(SUM(D54:Z54),1)</f>
        <v>14.5</v>
      </c>
      <c r="AE54" s="1938"/>
      <c r="AF54" s="1982"/>
      <c r="AG54" s="1975">
        <f>'Exhibit G State'!AG54+'Exhibit G Federal'!AG31</f>
        <v>15.600000000000001</v>
      </c>
      <c r="AH54" s="3367"/>
      <c r="AI54" s="1920"/>
      <c r="AJ54" s="1943">
        <f t="shared" si="12"/>
        <v>-1.1000000000000001</v>
      </c>
      <c r="AK54" s="2465"/>
      <c r="AL54" s="1682">
        <f t="shared" si="13"/>
        <v>-7.0999999999999994E-2</v>
      </c>
    </row>
    <row r="55" spans="1:38" s="2124" customFormat="1" ht="15" customHeight="1">
      <c r="A55" s="2381"/>
      <c r="B55" s="2401" t="s">
        <v>1035</v>
      </c>
      <c r="C55" s="2381"/>
      <c r="D55" s="1975"/>
      <c r="E55" s="2445"/>
      <c r="F55" s="1975"/>
      <c r="G55" s="2445"/>
      <c r="H55" s="1975"/>
      <c r="I55" s="2445"/>
      <c r="J55" s="1975"/>
      <c r="K55" s="2457"/>
      <c r="L55" s="1975"/>
      <c r="M55" s="2457"/>
      <c r="N55" s="1975"/>
      <c r="O55" s="2457"/>
      <c r="P55" s="1975"/>
      <c r="Q55" s="2457"/>
      <c r="R55" s="1975"/>
      <c r="S55" s="2457"/>
      <c r="T55" s="1975"/>
      <c r="U55" s="2457"/>
      <c r="V55" s="1975"/>
      <c r="W55" s="2457"/>
      <c r="X55" s="1975"/>
      <c r="Y55" s="2457"/>
      <c r="Z55" s="1975"/>
      <c r="AA55" s="1975"/>
      <c r="AB55" s="1938"/>
      <c r="AC55" s="1982"/>
      <c r="AD55" s="1943"/>
      <c r="AE55" s="1938"/>
      <c r="AF55" s="1982"/>
      <c r="AG55" s="1975"/>
      <c r="AH55" s="3367"/>
      <c r="AI55" s="1920"/>
      <c r="AJ55" s="1943"/>
      <c r="AK55" s="2465"/>
      <c r="AL55" s="1770"/>
    </row>
    <row r="56" spans="1:38" s="2124" customFormat="1" ht="15" customHeight="1">
      <c r="A56" s="2381"/>
      <c r="B56" s="2401" t="s">
        <v>961</v>
      </c>
      <c r="C56" s="2381"/>
      <c r="D56" s="1975">
        <f>'Exhibit G State'!D56</f>
        <v>39.6</v>
      </c>
      <c r="E56" s="1975"/>
      <c r="F56" s="1975">
        <f>'Exhibit G State'!F56</f>
        <v>11.5</v>
      </c>
      <c r="G56" s="1975"/>
      <c r="H56" s="1975"/>
      <c r="I56" s="2445"/>
      <c r="J56" s="1975"/>
      <c r="K56" s="2457"/>
      <c r="L56" s="1975"/>
      <c r="M56" s="2457"/>
      <c r="N56" s="1975"/>
      <c r="O56" s="2457"/>
      <c r="P56" s="1975"/>
      <c r="Q56" s="2457"/>
      <c r="R56" s="1975"/>
      <c r="S56" s="2457"/>
      <c r="T56" s="1975"/>
      <c r="U56" s="2457"/>
      <c r="V56" s="1975"/>
      <c r="W56" s="2457"/>
      <c r="X56" s="1975"/>
      <c r="Y56" s="2457"/>
      <c r="Z56" s="1975"/>
      <c r="AA56" s="1975"/>
      <c r="AB56" s="1938">
        <v>0</v>
      </c>
      <c r="AC56" s="1982"/>
      <c r="AD56" s="1943">
        <f t="shared" si="11"/>
        <v>51.1</v>
      </c>
      <c r="AE56" s="1938"/>
      <c r="AF56" s="1982"/>
      <c r="AG56" s="1975">
        <f>'Exhibit G State'!AG56</f>
        <v>48.4</v>
      </c>
      <c r="AH56" s="3367"/>
      <c r="AI56" s="1920"/>
      <c r="AJ56" s="1943">
        <f t="shared" ref="AJ56:AJ61" si="14">ROUND(SUM(+AD56-AG56),1)</f>
        <v>2.7</v>
      </c>
      <c r="AK56" s="2465"/>
      <c r="AL56" s="1682">
        <f>ROUND(IF(AG56=0,1,AJ56/ABS(AG56)),3)</f>
        <v>5.6000000000000001E-2</v>
      </c>
    </row>
    <row r="57" spans="1:38" s="2124" customFormat="1" ht="15" customHeight="1">
      <c r="A57" s="2381"/>
      <c r="B57" s="2401" t="s">
        <v>1483</v>
      </c>
      <c r="C57" s="2381"/>
      <c r="D57" s="1975">
        <f>'Exhibit G State'!D57</f>
        <v>186.3</v>
      </c>
      <c r="E57" s="1975"/>
      <c r="F57" s="1975">
        <f>'Exhibit G State'!F57</f>
        <v>189.59999999999997</v>
      </c>
      <c r="G57" s="1975"/>
      <c r="H57" s="1975"/>
      <c r="I57" s="2445"/>
      <c r="J57" s="1975"/>
      <c r="K57" s="2457"/>
      <c r="L57" s="1975"/>
      <c r="M57" s="2457"/>
      <c r="N57" s="1975"/>
      <c r="O57" s="2457"/>
      <c r="P57" s="1975"/>
      <c r="Q57" s="2457"/>
      <c r="R57" s="1975"/>
      <c r="S57" s="2457"/>
      <c r="T57" s="1975"/>
      <c r="U57" s="2457"/>
      <c r="V57" s="1975"/>
      <c r="W57" s="2457"/>
      <c r="X57" s="1975"/>
      <c r="Y57" s="2457"/>
      <c r="Z57" s="1975"/>
      <c r="AA57" s="1975"/>
      <c r="AB57" s="1938">
        <v>0</v>
      </c>
      <c r="AC57" s="1982"/>
      <c r="AD57" s="1943">
        <f t="shared" si="11"/>
        <v>375.9</v>
      </c>
      <c r="AE57" s="1938"/>
      <c r="AF57" s="1982"/>
      <c r="AG57" s="1975">
        <f>'Exhibit G State'!AG57</f>
        <v>413</v>
      </c>
      <c r="AH57" s="3367"/>
      <c r="AI57" s="1920"/>
      <c r="AJ57" s="1943">
        <f t="shared" si="14"/>
        <v>-37.1</v>
      </c>
      <c r="AK57" s="2465"/>
      <c r="AL57" s="1677">
        <f>ROUND(IF(AG57=0,0,AJ57/ABS(AG57)),3)</f>
        <v>-0.09</v>
      </c>
    </row>
    <row r="58" spans="1:38" s="2124" customFormat="1" ht="15" customHeight="1">
      <c r="A58" s="2381"/>
      <c r="B58" s="869" t="s">
        <v>1484</v>
      </c>
      <c r="C58" s="2381"/>
      <c r="D58" s="1975">
        <f>'Exhibit G State'!D58</f>
        <v>38.6</v>
      </c>
      <c r="E58" s="1975"/>
      <c r="F58" s="1975">
        <f>'Exhibit G State'!F58</f>
        <v>53.4</v>
      </c>
      <c r="G58" s="1975"/>
      <c r="H58" s="1975"/>
      <c r="I58" s="2445"/>
      <c r="J58" s="1975"/>
      <c r="K58" s="2457"/>
      <c r="L58" s="1975"/>
      <c r="M58" s="2457"/>
      <c r="N58" s="1975"/>
      <c r="O58" s="2457"/>
      <c r="P58" s="1975"/>
      <c r="Q58" s="2457"/>
      <c r="R58" s="1975"/>
      <c r="S58" s="2457"/>
      <c r="T58" s="1975"/>
      <c r="U58" s="2457"/>
      <c r="V58" s="1975"/>
      <c r="W58" s="2457"/>
      <c r="X58" s="1975"/>
      <c r="Y58" s="2457"/>
      <c r="Z58" s="1975"/>
      <c r="AA58" s="1975"/>
      <c r="AB58" s="1938">
        <v>0</v>
      </c>
      <c r="AC58" s="1982"/>
      <c r="AD58" s="1943">
        <f t="shared" si="11"/>
        <v>92</v>
      </c>
      <c r="AE58" s="1938"/>
      <c r="AF58" s="1982"/>
      <c r="AG58" s="1975">
        <f>'Exhibit G State'!AG58</f>
        <v>0</v>
      </c>
      <c r="AH58" s="3367"/>
      <c r="AI58" s="1920"/>
      <c r="AJ58" s="1943">
        <f t="shared" si="14"/>
        <v>92</v>
      </c>
      <c r="AK58" s="2465"/>
      <c r="AL58" s="1677">
        <f>ROUND(IF(AG58=0,1,AJ58/ABS(AG58)),3)</f>
        <v>1</v>
      </c>
    </row>
    <row r="59" spans="1:38" s="2124" customFormat="1" ht="15" customHeight="1">
      <c r="A59" s="2381"/>
      <c r="B59" s="2401" t="s">
        <v>962</v>
      </c>
      <c r="C59" s="2381"/>
      <c r="D59" s="1975">
        <f>'Exhibit G State'!D59</f>
        <v>73.400000000000006</v>
      </c>
      <c r="E59" s="1975"/>
      <c r="F59" s="1975">
        <f>'Exhibit G State'!F59</f>
        <v>71.299999999999983</v>
      </c>
      <c r="G59" s="1975"/>
      <c r="H59" s="1975"/>
      <c r="I59" s="2445"/>
      <c r="J59" s="1975"/>
      <c r="K59" s="2457"/>
      <c r="L59" s="1975"/>
      <c r="M59" s="2457"/>
      <c r="N59" s="1975"/>
      <c r="O59" s="2457"/>
      <c r="P59" s="1975"/>
      <c r="Q59" s="2457"/>
      <c r="R59" s="1975"/>
      <c r="S59" s="2457"/>
      <c r="T59" s="1975"/>
      <c r="U59" s="2457"/>
      <c r="V59" s="1975"/>
      <c r="W59" s="2457"/>
      <c r="X59" s="1975"/>
      <c r="Y59" s="2457"/>
      <c r="Z59" s="1975"/>
      <c r="AA59" s="1975"/>
      <c r="AB59" s="1938">
        <v>0</v>
      </c>
      <c r="AC59" s="1982"/>
      <c r="AD59" s="1943">
        <f t="shared" si="11"/>
        <v>144.69999999999999</v>
      </c>
      <c r="AE59" s="1938"/>
      <c r="AF59" s="1982"/>
      <c r="AG59" s="1975">
        <f>'Exhibit G State'!AG59</f>
        <v>153.79999999999998</v>
      </c>
      <c r="AH59" s="3367"/>
      <c r="AI59" s="1920"/>
      <c r="AJ59" s="1943">
        <f t="shared" si="14"/>
        <v>-9.1</v>
      </c>
      <c r="AK59" s="2465"/>
      <c r="AL59" s="1682">
        <f>ROUND(IF(AG59=0,1,AJ59/ABS(AG59)),3)</f>
        <v>-5.8999999999999997E-2</v>
      </c>
    </row>
    <row r="60" spans="1:38" s="2124" customFormat="1" ht="15" customHeight="1">
      <c r="A60" s="2381"/>
      <c r="B60" s="2401" t="s">
        <v>920</v>
      </c>
      <c r="C60" s="2381"/>
      <c r="D60" s="1975">
        <f>'Exhibit G State'!D60+'Exhibit G Federal'!D32</f>
        <v>8.1999999999999993</v>
      </c>
      <c r="E60" s="1975"/>
      <c r="F60" s="1975">
        <f>'Exhibit G State'!F60+'Exhibit G Federal'!F32</f>
        <v>11.399999999999999</v>
      </c>
      <c r="G60" s="1975"/>
      <c r="H60" s="1975"/>
      <c r="I60" s="2445"/>
      <c r="J60" s="1975"/>
      <c r="K60" s="2457"/>
      <c r="L60" s="1975"/>
      <c r="M60" s="2457"/>
      <c r="N60" s="1975"/>
      <c r="O60" s="2457"/>
      <c r="P60" s="1975"/>
      <c r="Q60" s="2457"/>
      <c r="R60" s="1975"/>
      <c r="S60" s="2457"/>
      <c r="T60" s="1975"/>
      <c r="U60" s="2457"/>
      <c r="V60" s="1975"/>
      <c r="W60" s="2457"/>
      <c r="X60" s="1975"/>
      <c r="Y60" s="2457"/>
      <c r="Z60" s="1975"/>
      <c r="AA60" s="1975"/>
      <c r="AB60" s="1938">
        <v>0</v>
      </c>
      <c r="AC60" s="1982"/>
      <c r="AD60" s="1943">
        <f>ROUND(SUM(D60:Z60),1)</f>
        <v>19.600000000000001</v>
      </c>
      <c r="AE60" s="1938"/>
      <c r="AF60" s="1982"/>
      <c r="AG60" s="1975">
        <f>'Exhibit G State'!AG60+'Exhibit G Federal'!AG32</f>
        <v>7.8000000000000007</v>
      </c>
      <c r="AH60" s="3367"/>
      <c r="AI60" s="1920"/>
      <c r="AJ60" s="1943">
        <f t="shared" si="14"/>
        <v>11.8</v>
      </c>
      <c r="AK60" s="2465"/>
      <c r="AL60" s="1677">
        <f>ROUND(IF(AG60=0,0,AJ60/ABS(AG60)),3)</f>
        <v>1.5129999999999999</v>
      </c>
    </row>
    <row r="61" spans="1:38" s="2124" customFormat="1" ht="15" customHeight="1">
      <c r="A61" s="2381"/>
      <c r="B61" s="2401" t="s">
        <v>937</v>
      </c>
      <c r="C61" s="2381"/>
      <c r="D61" s="1975">
        <f>'Exhibit G State'!D61+'Exhibit G Federal'!D33</f>
        <v>7.2</v>
      </c>
      <c r="E61" s="1975"/>
      <c r="F61" s="1975">
        <f>'Exhibit G State'!F61+'Exhibit G Federal'!F33</f>
        <v>1.8999999999999995</v>
      </c>
      <c r="G61" s="1975"/>
      <c r="H61" s="1975"/>
      <c r="I61" s="2445"/>
      <c r="J61" s="1975"/>
      <c r="K61" s="2457"/>
      <c r="L61" s="1975"/>
      <c r="M61" s="2457"/>
      <c r="N61" s="1975"/>
      <c r="O61" s="2457"/>
      <c r="P61" s="1975"/>
      <c r="Q61" s="2457"/>
      <c r="R61" s="1975"/>
      <c r="S61" s="2457"/>
      <c r="T61" s="1975"/>
      <c r="U61" s="2457"/>
      <c r="V61" s="1975"/>
      <c r="W61" s="2457"/>
      <c r="X61" s="1975"/>
      <c r="Y61" s="2457"/>
      <c r="Z61" s="1975"/>
      <c r="AA61" s="1975"/>
      <c r="AB61" s="1938">
        <v>0</v>
      </c>
      <c r="AC61" s="1982"/>
      <c r="AD61" s="1943">
        <f>ROUND(SUM(D61:Z61),1)</f>
        <v>9.1</v>
      </c>
      <c r="AE61" s="1938"/>
      <c r="AF61" s="1982"/>
      <c r="AG61" s="1975">
        <f>'Exhibit G State'!AG61+'Exhibit G Federal'!AG33</f>
        <v>8.6</v>
      </c>
      <c r="AH61" s="3367"/>
      <c r="AI61" s="1920"/>
      <c r="AJ61" s="1943">
        <f t="shared" si="14"/>
        <v>0.5</v>
      </c>
      <c r="AK61" s="2465"/>
      <c r="AL61" s="1677">
        <f>ROUND(IF(AG61=0,0,AJ61/ABS(AG61)),3)</f>
        <v>5.8000000000000003E-2</v>
      </c>
    </row>
    <row r="62" spans="1:38" s="2124" customFormat="1" ht="15" customHeight="1">
      <c r="A62" s="2381"/>
      <c r="B62" s="2401" t="s">
        <v>1036</v>
      </c>
      <c r="C62" s="2381"/>
      <c r="D62" s="1975"/>
      <c r="E62" s="2445"/>
      <c r="F62" s="1975"/>
      <c r="G62" s="2445"/>
      <c r="H62" s="1975"/>
      <c r="I62" s="2445"/>
      <c r="J62" s="1975"/>
      <c r="K62" s="2457"/>
      <c r="L62" s="1975"/>
      <c r="M62" s="2457"/>
      <c r="N62" s="1975"/>
      <c r="O62" s="2457"/>
      <c r="P62" s="1975"/>
      <c r="Q62" s="2457"/>
      <c r="R62" s="1975"/>
      <c r="S62" s="2457"/>
      <c r="T62" s="1975"/>
      <c r="U62" s="2457"/>
      <c r="V62" s="1975"/>
      <c r="W62" s="2457"/>
      <c r="X62" s="1975"/>
      <c r="Y62" s="2457"/>
      <c r="Z62" s="1975"/>
      <c r="AA62" s="1975"/>
      <c r="AB62" s="1938"/>
      <c r="AC62" s="1982"/>
      <c r="AD62" s="1943"/>
      <c r="AE62" s="1938"/>
      <c r="AF62" s="1982"/>
      <c r="AG62" s="1975"/>
      <c r="AH62" s="3367"/>
      <c r="AI62" s="1920"/>
      <c r="AJ62" s="1943"/>
      <c r="AK62" s="2465"/>
      <c r="AL62" s="1770"/>
    </row>
    <row r="63" spans="1:38" s="2124" customFormat="1" ht="15" customHeight="1">
      <c r="A63" s="2381"/>
      <c r="B63" s="2401" t="s">
        <v>963</v>
      </c>
      <c r="C63" s="2381"/>
      <c r="D63" s="1975">
        <f>'Exhibit G State'!D63+'Exhibit G Federal'!D35</f>
        <v>0</v>
      </c>
      <c r="E63" s="1975"/>
      <c r="F63" s="1975">
        <f>'Exhibit G State'!F63+'Exhibit G Federal'!F35</f>
        <v>0</v>
      </c>
      <c r="G63" s="1975"/>
      <c r="H63" s="1975"/>
      <c r="I63" s="2445"/>
      <c r="J63" s="1975"/>
      <c r="K63" s="2457"/>
      <c r="L63" s="1975"/>
      <c r="M63" s="2457"/>
      <c r="N63" s="1975"/>
      <c r="O63" s="2457"/>
      <c r="P63" s="1975"/>
      <c r="Q63" s="2457"/>
      <c r="R63" s="1975"/>
      <c r="S63" s="2457"/>
      <c r="T63" s="1975"/>
      <c r="U63" s="2457"/>
      <c r="V63" s="1975"/>
      <c r="W63" s="2457"/>
      <c r="X63" s="1975"/>
      <c r="Y63" s="2457"/>
      <c r="Z63" s="1975"/>
      <c r="AA63" s="1975"/>
      <c r="AB63" s="1938">
        <v>0</v>
      </c>
      <c r="AC63" s="1982"/>
      <c r="AD63" s="1943">
        <f t="shared" si="11"/>
        <v>0</v>
      </c>
      <c r="AE63" s="1938"/>
      <c r="AF63" s="1982"/>
      <c r="AG63" s="1975">
        <f>'Exhibit G State'!AG63+'Exhibit G Federal'!AG35</f>
        <v>0</v>
      </c>
      <c r="AH63" s="3367"/>
      <c r="AI63" s="1920"/>
      <c r="AJ63" s="1943">
        <f t="shared" ref="AJ63:AJ67" si="15">ROUND(SUM(+AD63-AG63),1)</f>
        <v>0</v>
      </c>
      <c r="AK63" s="2465"/>
      <c r="AL63" s="1677">
        <f>ROUND(IF(AG63=0,0,AJ63/ABS(AG63)),3)</f>
        <v>0</v>
      </c>
    </row>
    <row r="64" spans="1:38" s="2124" customFormat="1" ht="15" customHeight="1">
      <c r="A64" s="2381"/>
      <c r="B64" s="2401" t="s">
        <v>964</v>
      </c>
      <c r="C64" s="2381"/>
      <c r="D64" s="1975">
        <f>'Exhibit G State'!D64+'Exhibit G Federal'!D36</f>
        <v>14.2</v>
      </c>
      <c r="E64" s="1975"/>
      <c r="F64" s="1975">
        <f>'Exhibit G State'!F64+'Exhibit G Federal'!F36</f>
        <v>0</v>
      </c>
      <c r="G64" s="1975"/>
      <c r="H64" s="1975"/>
      <c r="I64" s="2445"/>
      <c r="J64" s="1975"/>
      <c r="K64" s="2457"/>
      <c r="L64" s="1975"/>
      <c r="M64" s="2457"/>
      <c r="N64" s="1975"/>
      <c r="O64" s="2457"/>
      <c r="P64" s="1975"/>
      <c r="Q64" s="2457"/>
      <c r="R64" s="1975"/>
      <c r="S64" s="2457"/>
      <c r="T64" s="1975"/>
      <c r="U64" s="2457"/>
      <c r="V64" s="1975"/>
      <c r="W64" s="2457"/>
      <c r="X64" s="1975"/>
      <c r="Y64" s="2457"/>
      <c r="Z64" s="1975"/>
      <c r="AA64" s="1975"/>
      <c r="AB64" s="1938">
        <v>0</v>
      </c>
      <c r="AC64" s="1982"/>
      <c r="AD64" s="1943">
        <f t="shared" si="11"/>
        <v>14.2</v>
      </c>
      <c r="AE64" s="1938"/>
      <c r="AF64" s="1982"/>
      <c r="AG64" s="1975">
        <f>'Exhibit G State'!AG64+'Exhibit G Federal'!AG36</f>
        <v>0</v>
      </c>
      <c r="AH64" s="3367"/>
      <c r="AI64" s="1920"/>
      <c r="AJ64" s="1943">
        <f t="shared" si="15"/>
        <v>14.2</v>
      </c>
      <c r="AK64" s="2465"/>
      <c r="AL64" s="1677">
        <f>ROUND(IF(AG64=0,1,AJ64/ABS(AG64)),3)</f>
        <v>1</v>
      </c>
    </row>
    <row r="65" spans="1:38" s="2124" customFormat="1" ht="15" customHeight="1">
      <c r="A65" s="2381"/>
      <c r="B65" s="2401" t="s">
        <v>965</v>
      </c>
      <c r="C65" s="2381"/>
      <c r="D65" s="1975">
        <f>'Exhibit G State'!D65+'Exhibit G Federal'!D37</f>
        <v>2.8</v>
      </c>
      <c r="E65" s="1975"/>
      <c r="F65" s="1975">
        <f>'Exhibit G State'!F65+'Exhibit G Federal'!F37</f>
        <v>3.7</v>
      </c>
      <c r="G65" s="1975"/>
      <c r="H65" s="1975"/>
      <c r="I65" s="2445"/>
      <c r="J65" s="1975"/>
      <c r="K65" s="2457"/>
      <c r="L65" s="1975"/>
      <c r="M65" s="2457"/>
      <c r="N65" s="1975"/>
      <c r="O65" s="2457"/>
      <c r="P65" s="1975"/>
      <c r="Q65" s="2457"/>
      <c r="R65" s="1975"/>
      <c r="S65" s="2457"/>
      <c r="T65" s="1975"/>
      <c r="U65" s="2457"/>
      <c r="V65" s="1975"/>
      <c r="W65" s="2457"/>
      <c r="X65" s="1975"/>
      <c r="Y65" s="2457"/>
      <c r="Z65" s="1975"/>
      <c r="AA65" s="1975"/>
      <c r="AB65" s="1938">
        <v>0</v>
      </c>
      <c r="AC65" s="1982"/>
      <c r="AD65" s="1943">
        <f t="shared" si="11"/>
        <v>6.5</v>
      </c>
      <c r="AE65" s="1938"/>
      <c r="AF65" s="1982"/>
      <c r="AG65" s="1975">
        <f>'Exhibit G State'!AG65+'Exhibit G Federal'!AG37</f>
        <v>5</v>
      </c>
      <c r="AH65" s="3367"/>
      <c r="AI65" s="1920"/>
      <c r="AJ65" s="1943">
        <f t="shared" si="15"/>
        <v>1.5</v>
      </c>
      <c r="AK65" s="2465"/>
      <c r="AL65" s="1682">
        <f t="shared" ref="AL65:AL67" si="16">ROUND(IF(AG65=0,0,AJ65/ABS(AG65)),3)</f>
        <v>0.3</v>
      </c>
    </row>
    <row r="66" spans="1:38" s="2124" customFormat="1" ht="15" customHeight="1">
      <c r="A66" s="2381"/>
      <c r="B66" s="2401" t="s">
        <v>966</v>
      </c>
      <c r="C66" s="2381"/>
      <c r="D66" s="1975">
        <f>'Exhibit G State'!D66+'Exhibit G Federal'!D38</f>
        <v>4.9000000000000004</v>
      </c>
      <c r="E66" s="1975"/>
      <c r="F66" s="1975">
        <f>'Exhibit G State'!F66+'Exhibit G Federal'!F38</f>
        <v>11.200000000000001</v>
      </c>
      <c r="G66" s="1975"/>
      <c r="H66" s="1975"/>
      <c r="I66" s="2445"/>
      <c r="J66" s="1975"/>
      <c r="K66" s="2457"/>
      <c r="L66" s="1975"/>
      <c r="M66" s="2457"/>
      <c r="N66" s="1975"/>
      <c r="O66" s="2457"/>
      <c r="P66" s="1975"/>
      <c r="Q66" s="2457"/>
      <c r="R66" s="1975"/>
      <c r="S66" s="2457"/>
      <c r="T66" s="1975"/>
      <c r="U66" s="2457"/>
      <c r="V66" s="1975"/>
      <c r="W66" s="2457"/>
      <c r="X66" s="1975"/>
      <c r="Y66" s="2457"/>
      <c r="Z66" s="1975"/>
      <c r="AA66" s="1975"/>
      <c r="AB66" s="1938">
        <v>0</v>
      </c>
      <c r="AC66" s="1982"/>
      <c r="AD66" s="1943">
        <f t="shared" si="11"/>
        <v>16.100000000000001</v>
      </c>
      <c r="AE66" s="1938"/>
      <c r="AF66" s="1982"/>
      <c r="AG66" s="1975">
        <f>'Exhibit G State'!AG66+'Exhibit G Federal'!AG38</f>
        <v>0.2</v>
      </c>
      <c r="AH66" s="3367"/>
      <c r="AI66" s="1920"/>
      <c r="AJ66" s="1943">
        <f t="shared" si="15"/>
        <v>15.9</v>
      </c>
      <c r="AK66" s="2465"/>
      <c r="AL66" s="1682">
        <f t="shared" si="16"/>
        <v>79.5</v>
      </c>
    </row>
    <row r="67" spans="1:38" s="2124" customFormat="1" ht="15" customHeight="1">
      <c r="A67" s="2381"/>
      <c r="B67" s="2401" t="s">
        <v>938</v>
      </c>
      <c r="C67" s="2381"/>
      <c r="D67" s="1975">
        <f>'Exhibit G State'!D67+'Exhibit G Federal'!D39</f>
        <v>33.299999999999997</v>
      </c>
      <c r="E67" s="1975"/>
      <c r="F67" s="1975">
        <f>'Exhibit G State'!F67+'Exhibit G Federal'!F39</f>
        <v>20.6</v>
      </c>
      <c r="G67" s="1975"/>
      <c r="H67" s="1975"/>
      <c r="I67" s="2445"/>
      <c r="J67" s="1975"/>
      <c r="K67" s="2457"/>
      <c r="L67" s="1975"/>
      <c r="M67" s="2457"/>
      <c r="N67" s="1975"/>
      <c r="O67" s="2457"/>
      <c r="P67" s="1975"/>
      <c r="Q67" s="2457"/>
      <c r="R67" s="1975"/>
      <c r="S67" s="2457"/>
      <c r="T67" s="1975"/>
      <c r="U67" s="2457"/>
      <c r="V67" s="1975"/>
      <c r="W67" s="2457"/>
      <c r="X67" s="1975"/>
      <c r="Y67" s="2457"/>
      <c r="Z67" s="1975"/>
      <c r="AA67" s="1975"/>
      <c r="AB67" s="1938">
        <v>0</v>
      </c>
      <c r="AC67" s="1982"/>
      <c r="AD67" s="1943">
        <f t="shared" si="11"/>
        <v>53.9</v>
      </c>
      <c r="AE67" s="1938"/>
      <c r="AF67" s="1982"/>
      <c r="AG67" s="1975">
        <f>'Exhibit G State'!AG67+'Exhibit G Federal'!AG39</f>
        <v>43.7</v>
      </c>
      <c r="AH67" s="3367"/>
      <c r="AI67" s="1920"/>
      <c r="AJ67" s="1943">
        <f t="shared" si="15"/>
        <v>10.199999999999999</v>
      </c>
      <c r="AK67" s="2465"/>
      <c r="AL67" s="1682">
        <f t="shared" si="16"/>
        <v>0.23300000000000001</v>
      </c>
    </row>
    <row r="68" spans="1:38" s="2124" customFormat="1" ht="15" customHeight="1">
      <c r="A68" s="2381"/>
      <c r="B68" s="2401" t="s">
        <v>1037</v>
      </c>
      <c r="C68" s="2381"/>
      <c r="D68" s="1975"/>
      <c r="E68" s="1975"/>
      <c r="F68" s="1975"/>
      <c r="G68" s="2445"/>
      <c r="H68" s="1975"/>
      <c r="I68" s="2445"/>
      <c r="J68" s="1975"/>
      <c r="K68" s="2457"/>
      <c r="L68" s="1975"/>
      <c r="M68" s="2457"/>
      <c r="N68" s="1975"/>
      <c r="O68" s="2457"/>
      <c r="P68" s="1975"/>
      <c r="Q68" s="2457"/>
      <c r="R68" s="1975"/>
      <c r="S68" s="2457"/>
      <c r="T68" s="1975"/>
      <c r="U68" s="2457"/>
      <c r="V68" s="1975"/>
      <c r="W68" s="2457"/>
      <c r="X68" s="1975"/>
      <c r="Y68" s="2457"/>
      <c r="Z68" s="1975"/>
      <c r="AA68" s="1975"/>
      <c r="AB68" s="1938"/>
      <c r="AC68" s="1982"/>
      <c r="AD68" s="1943"/>
      <c r="AE68" s="1938"/>
      <c r="AF68" s="1982"/>
      <c r="AG68" s="1975"/>
      <c r="AH68" s="3367"/>
      <c r="AI68" s="1920"/>
      <c r="AJ68" s="1943"/>
      <c r="AK68" s="2465"/>
      <c r="AL68" s="1770"/>
    </row>
    <row r="69" spans="1:38" s="2124" customFormat="1" ht="15" customHeight="1">
      <c r="A69" s="2381"/>
      <c r="B69" s="2401" t="s">
        <v>967</v>
      </c>
      <c r="C69" s="2381"/>
      <c r="D69" s="1975">
        <f>'Exhibit G State'!D69+'Exhibit G Federal'!D41</f>
        <v>31.9</v>
      </c>
      <c r="E69" s="1975"/>
      <c r="F69" s="1975">
        <f>'Exhibit G State'!F69+'Exhibit G Federal'!F41</f>
        <v>8.6000000000000014</v>
      </c>
      <c r="G69" s="1975"/>
      <c r="H69" s="1975"/>
      <c r="I69" s="2445"/>
      <c r="J69" s="1975"/>
      <c r="K69" s="2457"/>
      <c r="L69" s="1975"/>
      <c r="M69" s="2457"/>
      <c r="N69" s="1975"/>
      <c r="O69" s="2457"/>
      <c r="P69" s="1975"/>
      <c r="Q69" s="2457"/>
      <c r="R69" s="1975"/>
      <c r="S69" s="2457"/>
      <c r="T69" s="1975"/>
      <c r="U69" s="2457"/>
      <c r="V69" s="1975"/>
      <c r="W69" s="2457"/>
      <c r="X69" s="1975"/>
      <c r="Y69" s="2457"/>
      <c r="Z69" s="1975"/>
      <c r="AA69" s="1975"/>
      <c r="AB69" s="1938">
        <v>0</v>
      </c>
      <c r="AC69" s="1982"/>
      <c r="AD69" s="1943">
        <f t="shared" si="11"/>
        <v>40.5</v>
      </c>
      <c r="AE69" s="1938"/>
      <c r="AF69" s="1982"/>
      <c r="AG69" s="1975">
        <f>'Exhibit G State'!AG69+'Exhibit G Federal'!AG41</f>
        <v>53.9</v>
      </c>
      <c r="AH69" s="3367"/>
      <c r="AI69" s="1920"/>
      <c r="AJ69" s="1943">
        <f t="shared" ref="AJ69:AJ80" si="17">ROUND(SUM(+AD69-AG69),1)</f>
        <v>-13.4</v>
      </c>
      <c r="AK69" s="2465"/>
      <c r="AL69" s="1682">
        <f>ROUND(IF(AG69=0,0,AJ69/ABS(AG69)),3)</f>
        <v>-0.249</v>
      </c>
    </row>
    <row r="70" spans="1:38" s="2124" customFormat="1" ht="15" customHeight="1">
      <c r="A70" s="2381"/>
      <c r="B70" s="2401" t="s">
        <v>968</v>
      </c>
      <c r="C70" s="2381"/>
      <c r="D70" s="1975">
        <f>'Exhibit G State'!D70+'Exhibit G Federal'!D42</f>
        <v>6.7999999999999972</v>
      </c>
      <c r="E70" s="1975"/>
      <c r="F70" s="1975">
        <f>'Exhibit G State'!F70+'Exhibit G Federal'!F42</f>
        <v>0</v>
      </c>
      <c r="G70" s="1975"/>
      <c r="H70" s="1975"/>
      <c r="I70" s="2445"/>
      <c r="J70" s="1975"/>
      <c r="K70" s="2457"/>
      <c r="L70" s="1975"/>
      <c r="M70" s="2457"/>
      <c r="N70" s="1975"/>
      <c r="O70" s="2457"/>
      <c r="P70" s="1975"/>
      <c r="Q70" s="2457"/>
      <c r="R70" s="1975"/>
      <c r="S70" s="2457"/>
      <c r="T70" s="1975"/>
      <c r="U70" s="2457"/>
      <c r="V70" s="1975"/>
      <c r="W70" s="2457"/>
      <c r="X70" s="1975"/>
      <c r="Y70" s="2457"/>
      <c r="Z70" s="1975"/>
      <c r="AA70" s="1975"/>
      <c r="AB70" s="1938">
        <v>0</v>
      </c>
      <c r="AC70" s="1982"/>
      <c r="AD70" s="1943">
        <f t="shared" si="11"/>
        <v>6.8</v>
      </c>
      <c r="AE70" s="1938"/>
      <c r="AF70" s="1982"/>
      <c r="AG70" s="1975">
        <f>'Exhibit G State'!AG70+'Exhibit G Federal'!AG42</f>
        <v>1.1000000000000001</v>
      </c>
      <c r="AH70" s="3367"/>
      <c r="AI70" s="1920"/>
      <c r="AJ70" s="1943">
        <f t="shared" si="17"/>
        <v>5.7</v>
      </c>
      <c r="AK70" s="2465"/>
      <c r="AL70" s="1682">
        <f>ROUND(IF(AG70=0,1,AJ70/ABS(AG70)),3)</f>
        <v>5.1820000000000004</v>
      </c>
    </row>
    <row r="71" spans="1:38" s="2124" customFormat="1" ht="15" customHeight="1">
      <c r="A71" s="2381"/>
      <c r="B71" s="2401" t="s">
        <v>1238</v>
      </c>
      <c r="C71" s="2381"/>
      <c r="D71" s="1975">
        <f>'Exhibit G State'!D71</f>
        <v>0</v>
      </c>
      <c r="E71" s="1975"/>
      <c r="F71" s="1975">
        <f>'Exhibit G State'!F71</f>
        <v>0</v>
      </c>
      <c r="G71" s="1975"/>
      <c r="H71" s="1975"/>
      <c r="I71" s="3471"/>
      <c r="J71" s="1975"/>
      <c r="K71" s="3471"/>
      <c r="L71" s="1975"/>
      <c r="M71" s="3471"/>
      <c r="N71" s="1975"/>
      <c r="O71" s="3471"/>
      <c r="P71" s="1975"/>
      <c r="Q71" s="3471"/>
      <c r="R71" s="1975"/>
      <c r="S71" s="3471"/>
      <c r="T71" s="1975"/>
      <c r="U71" s="2457"/>
      <c r="V71" s="1975"/>
      <c r="W71" s="2457"/>
      <c r="X71" s="1975"/>
      <c r="Y71" s="2457"/>
      <c r="Z71" s="1975"/>
      <c r="AA71" s="1975"/>
      <c r="AB71" s="1938">
        <v>0</v>
      </c>
      <c r="AC71" s="1982"/>
      <c r="AD71" s="1943">
        <f>ROUND(SUM(D71:Z71),1)</f>
        <v>0</v>
      </c>
      <c r="AE71" s="1938"/>
      <c r="AF71" s="1982"/>
      <c r="AG71" s="1975">
        <f>'Exhibit G State'!AG71</f>
        <v>0</v>
      </c>
      <c r="AH71" s="3367"/>
      <c r="AI71" s="1920"/>
      <c r="AJ71" s="1943">
        <f t="shared" si="17"/>
        <v>0</v>
      </c>
      <c r="AK71" s="2465"/>
      <c r="AL71" s="1677">
        <f>ROUND(IF(AG71=0,0,AJ71/ABS(AG71)),3)</f>
        <v>0</v>
      </c>
    </row>
    <row r="72" spans="1:38" s="2124" customFormat="1" ht="15" customHeight="1">
      <c r="A72" s="2381"/>
      <c r="B72" s="2401" t="s">
        <v>969</v>
      </c>
      <c r="C72" s="2381"/>
      <c r="D72" s="1975">
        <f>'Exhibit G State'!D72+'Exhibit G Federal'!D43</f>
        <v>2.2999999999999998</v>
      </c>
      <c r="E72" s="1975"/>
      <c r="F72" s="1975">
        <f>'Exhibit G State'!F72+'Exhibit G Federal'!F43</f>
        <v>0.8</v>
      </c>
      <c r="G72" s="1975"/>
      <c r="H72" s="1975"/>
      <c r="I72" s="2445"/>
      <c r="J72" s="1975"/>
      <c r="K72" s="2457"/>
      <c r="L72" s="1975"/>
      <c r="M72" s="2457"/>
      <c r="N72" s="1975"/>
      <c r="O72" s="2457"/>
      <c r="P72" s="1975"/>
      <c r="Q72" s="2457"/>
      <c r="R72" s="1975"/>
      <c r="S72" s="2457"/>
      <c r="T72" s="1975"/>
      <c r="U72" s="2457"/>
      <c r="V72" s="1975"/>
      <c r="W72" s="2457"/>
      <c r="X72" s="1975"/>
      <c r="Y72" s="2457"/>
      <c r="Z72" s="1975"/>
      <c r="AA72" s="1975"/>
      <c r="AB72" s="1938">
        <v>0</v>
      </c>
      <c r="AC72" s="1982"/>
      <c r="AD72" s="1943">
        <f t="shared" si="11"/>
        <v>3.1</v>
      </c>
      <c r="AE72" s="1938"/>
      <c r="AF72" s="1982"/>
      <c r="AG72" s="1975">
        <f>'Exhibit G State'!AG72+'Exhibit G Federal'!AG43</f>
        <v>1.5</v>
      </c>
      <c r="AH72" s="3367"/>
      <c r="AI72" s="1920"/>
      <c r="AJ72" s="1943">
        <f t="shared" si="17"/>
        <v>1.6</v>
      </c>
      <c r="AK72" s="2465"/>
      <c r="AL72" s="1682">
        <f t="shared" ref="AL72:AL75" si="18">ROUND(IF(AG72=0,0,AJ72/ABS(AG72)),3)</f>
        <v>1.0669999999999999</v>
      </c>
    </row>
    <row r="73" spans="1:38" s="2124" customFormat="1" ht="15" customHeight="1">
      <c r="A73" s="2381"/>
      <c r="B73" s="2401" t="s">
        <v>970</v>
      </c>
      <c r="C73" s="2381"/>
      <c r="D73" s="1975">
        <f>'Exhibit G State'!D73+'Exhibit G Federal'!D44</f>
        <v>0</v>
      </c>
      <c r="E73" s="1975"/>
      <c r="F73" s="1975">
        <f>'Exhibit G State'!F73+'Exhibit G Federal'!F44</f>
        <v>0</v>
      </c>
      <c r="G73" s="1975"/>
      <c r="H73" s="1975"/>
      <c r="I73" s="2445"/>
      <c r="J73" s="1975"/>
      <c r="K73" s="2457"/>
      <c r="L73" s="1975"/>
      <c r="M73" s="2457"/>
      <c r="N73" s="1975"/>
      <c r="O73" s="2457"/>
      <c r="P73" s="1975"/>
      <c r="Q73" s="2457"/>
      <c r="R73" s="1975"/>
      <c r="S73" s="2457"/>
      <c r="T73" s="1975"/>
      <c r="U73" s="2457"/>
      <c r="V73" s="1975"/>
      <c r="W73" s="2457"/>
      <c r="X73" s="1975"/>
      <c r="Y73" s="2457"/>
      <c r="Z73" s="1975"/>
      <c r="AA73" s="1975"/>
      <c r="AB73" s="1938">
        <v>0</v>
      </c>
      <c r="AC73" s="1982"/>
      <c r="AD73" s="1943">
        <f t="shared" si="11"/>
        <v>0</v>
      </c>
      <c r="AE73" s="1938"/>
      <c r="AF73" s="1982"/>
      <c r="AG73" s="1975">
        <f>'Exhibit G State'!AG73+'Exhibit G Federal'!AG44</f>
        <v>0</v>
      </c>
      <c r="AH73" s="3367"/>
      <c r="AI73" s="1920"/>
      <c r="AJ73" s="1943">
        <f t="shared" si="17"/>
        <v>0</v>
      </c>
      <c r="AK73" s="2465"/>
      <c r="AL73" s="1682">
        <f>ROUND(IF(AG73=0,0,AJ73/ABS(AG73)),3)</f>
        <v>0</v>
      </c>
    </row>
    <row r="74" spans="1:38" s="2124" customFormat="1" ht="15" customHeight="1">
      <c r="A74" s="2381"/>
      <c r="B74" s="2401" t="s">
        <v>971</v>
      </c>
      <c r="C74" s="2381"/>
      <c r="D74" s="1975">
        <f>'Exhibit G State'!D74+'Exhibit G Federal'!D45</f>
        <v>159.6</v>
      </c>
      <c r="E74" s="1975"/>
      <c r="F74" s="1975">
        <f>'Exhibit G State'!F74+'Exhibit G Federal'!F45</f>
        <v>201.79999999999998</v>
      </c>
      <c r="G74" s="1975"/>
      <c r="H74" s="1975"/>
      <c r="I74" s="2445"/>
      <c r="J74" s="1975"/>
      <c r="K74" s="2457"/>
      <c r="L74" s="1975"/>
      <c r="M74" s="2457"/>
      <c r="N74" s="1975"/>
      <c r="O74" s="2457"/>
      <c r="P74" s="1975"/>
      <c r="Q74" s="2457"/>
      <c r="R74" s="1975"/>
      <c r="S74" s="2457"/>
      <c r="T74" s="1975"/>
      <c r="U74" s="2457"/>
      <c r="V74" s="1975"/>
      <c r="W74" s="2457"/>
      <c r="X74" s="1975"/>
      <c r="Y74" s="2457"/>
      <c r="Z74" s="1975"/>
      <c r="AA74" s="1975"/>
      <c r="AB74" s="1938">
        <v>0</v>
      </c>
      <c r="AC74" s="1982"/>
      <c r="AD74" s="1943">
        <f t="shared" si="11"/>
        <v>361.4</v>
      </c>
      <c r="AE74" s="1938"/>
      <c r="AF74" s="1982"/>
      <c r="AG74" s="1975">
        <f>'Exhibit G State'!AG74+'Exhibit G Federal'!AG45</f>
        <v>393</v>
      </c>
      <c r="AH74" s="3367"/>
      <c r="AI74" s="1920"/>
      <c r="AJ74" s="1943">
        <f t="shared" si="17"/>
        <v>-31.6</v>
      </c>
      <c r="AK74" s="2465"/>
      <c r="AL74" s="1677">
        <f t="shared" si="18"/>
        <v>-0.08</v>
      </c>
    </row>
    <row r="75" spans="1:38" s="2124" customFormat="1" ht="15" customHeight="1">
      <c r="A75" s="2381"/>
      <c r="B75" s="2401" t="s">
        <v>972</v>
      </c>
      <c r="C75" s="2381"/>
      <c r="D75" s="1975">
        <f>'Exhibit G State'!D75+'Exhibit G Federal'!D46</f>
        <v>10.1</v>
      </c>
      <c r="E75" s="1975"/>
      <c r="F75" s="1975">
        <f>'Exhibit G State'!F75+'Exhibit G Federal'!F46</f>
        <v>8.8000000000000007</v>
      </c>
      <c r="G75" s="1975"/>
      <c r="H75" s="1975"/>
      <c r="I75" s="2445"/>
      <c r="J75" s="1975"/>
      <c r="K75" s="2457"/>
      <c r="L75" s="1975"/>
      <c r="M75" s="2457"/>
      <c r="N75" s="1975"/>
      <c r="O75" s="2457"/>
      <c r="P75" s="1975"/>
      <c r="Q75" s="2457"/>
      <c r="R75" s="1975"/>
      <c r="S75" s="2457"/>
      <c r="T75" s="1975"/>
      <c r="U75" s="2457"/>
      <c r="V75" s="1975"/>
      <c r="W75" s="2457"/>
      <c r="X75" s="1975"/>
      <c r="Y75" s="2457"/>
      <c r="Z75" s="1975"/>
      <c r="AA75" s="1975"/>
      <c r="AB75" s="1938">
        <v>0</v>
      </c>
      <c r="AC75" s="1982"/>
      <c r="AD75" s="1943">
        <f t="shared" si="11"/>
        <v>18.899999999999999</v>
      </c>
      <c r="AE75" s="1938"/>
      <c r="AF75" s="1982"/>
      <c r="AG75" s="1975">
        <f>'Exhibit G State'!AG75+'Exhibit G Federal'!AG46</f>
        <v>19.2</v>
      </c>
      <c r="AH75" s="3367"/>
      <c r="AI75" s="1920"/>
      <c r="AJ75" s="1943">
        <f t="shared" si="17"/>
        <v>-0.3</v>
      </c>
      <c r="AK75" s="2465"/>
      <c r="AL75" s="1677">
        <f t="shared" si="18"/>
        <v>-1.6E-2</v>
      </c>
    </row>
    <row r="76" spans="1:38" s="2124" customFormat="1" ht="15" customHeight="1">
      <c r="A76" s="2381"/>
      <c r="B76" s="2401" t="s">
        <v>973</v>
      </c>
      <c r="C76" s="2381"/>
      <c r="D76" s="1975">
        <f>'Exhibit G State'!D76+'Exhibit G Federal'!D47</f>
        <v>7.5</v>
      </c>
      <c r="E76" s="1975"/>
      <c r="F76" s="1975">
        <f>'Exhibit G State'!F76+'Exhibit G Federal'!F47</f>
        <v>1.1999999999999993</v>
      </c>
      <c r="G76" s="1975"/>
      <c r="H76" s="1975"/>
      <c r="I76" s="2445"/>
      <c r="J76" s="1975"/>
      <c r="K76" s="2457"/>
      <c r="L76" s="1975"/>
      <c r="M76" s="2457"/>
      <c r="N76" s="1975"/>
      <c r="O76" s="2457"/>
      <c r="P76" s="1975"/>
      <c r="Q76" s="2457"/>
      <c r="R76" s="1975"/>
      <c r="S76" s="2457"/>
      <c r="T76" s="1975"/>
      <c r="U76" s="2457"/>
      <c r="V76" s="1975"/>
      <c r="W76" s="2457"/>
      <c r="X76" s="1975"/>
      <c r="Y76" s="2457"/>
      <c r="Z76" s="1975"/>
      <c r="AA76" s="1975"/>
      <c r="AB76" s="1938">
        <v>0</v>
      </c>
      <c r="AC76" s="1982"/>
      <c r="AD76" s="1943">
        <f t="shared" si="11"/>
        <v>8.6999999999999993</v>
      </c>
      <c r="AE76" s="1938"/>
      <c r="AF76" s="1982"/>
      <c r="AG76" s="1975">
        <f>'Exhibit G State'!AG76+'Exhibit G Federal'!AG47</f>
        <v>11</v>
      </c>
      <c r="AH76" s="3367"/>
      <c r="AI76" s="1920"/>
      <c r="AJ76" s="1943">
        <f t="shared" si="17"/>
        <v>-2.2999999999999998</v>
      </c>
      <c r="AK76" s="2465"/>
      <c r="AL76" s="1682">
        <f>ROUND(IF(AG76=0,1,AJ76/ABS(AG76)),3)</f>
        <v>-0.20899999999999999</v>
      </c>
    </row>
    <row r="77" spans="1:38" s="2124" customFormat="1" ht="15" customHeight="1">
      <c r="A77" s="2381"/>
      <c r="B77" s="2401" t="s">
        <v>974</v>
      </c>
      <c r="C77" s="2381"/>
      <c r="D77" s="1975">
        <f>'Exhibit G State'!D77+'Exhibit G Federal'!D48</f>
        <v>1.9</v>
      </c>
      <c r="E77" s="1975"/>
      <c r="F77" s="1975">
        <f>'Exhibit G State'!F77+'Exhibit G Federal'!F48</f>
        <v>1.4</v>
      </c>
      <c r="G77" s="1975"/>
      <c r="H77" s="1975"/>
      <c r="I77" s="2445"/>
      <c r="J77" s="1975"/>
      <c r="K77" s="2457"/>
      <c r="L77" s="1975"/>
      <c r="M77" s="2457"/>
      <c r="N77" s="1975"/>
      <c r="O77" s="2457"/>
      <c r="P77" s="1975"/>
      <c r="Q77" s="2457"/>
      <c r="R77" s="1975"/>
      <c r="S77" s="2457"/>
      <c r="T77" s="1975"/>
      <c r="U77" s="2457"/>
      <c r="V77" s="1975"/>
      <c r="W77" s="2457"/>
      <c r="X77" s="1975"/>
      <c r="Y77" s="2457"/>
      <c r="Z77" s="1975"/>
      <c r="AA77" s="1975"/>
      <c r="AB77" s="1938">
        <v>0</v>
      </c>
      <c r="AC77" s="1982"/>
      <c r="AD77" s="1943">
        <f t="shared" si="11"/>
        <v>3.3</v>
      </c>
      <c r="AE77" s="1938"/>
      <c r="AF77" s="1982"/>
      <c r="AG77" s="1975">
        <f>'Exhibit G State'!AG77+'Exhibit G Federal'!AG48</f>
        <v>8</v>
      </c>
      <c r="AH77" s="3367"/>
      <c r="AI77" s="1920"/>
      <c r="AJ77" s="1943">
        <f t="shared" si="17"/>
        <v>-4.7</v>
      </c>
      <c r="AK77" s="2465"/>
      <c r="AL77" s="1677">
        <f>ROUND(IF(AG77=0,0,AJ77/ABS(AG77)),3)</f>
        <v>-0.58799999999999997</v>
      </c>
    </row>
    <row r="78" spans="1:38" s="2124" customFormat="1" ht="15" customHeight="1">
      <c r="A78" s="2381"/>
      <c r="B78" s="2401" t="s">
        <v>975</v>
      </c>
      <c r="C78" s="2381"/>
      <c r="D78" s="1975">
        <f>'Exhibit G State'!D78+'Exhibit G Federal'!D49</f>
        <v>38.699999999999996</v>
      </c>
      <c r="E78" s="1975"/>
      <c r="F78" s="1975">
        <f>'Exhibit G State'!F78+'Exhibit G Federal'!F49</f>
        <v>78.699999999999989</v>
      </c>
      <c r="G78" s="1975"/>
      <c r="H78" s="1975"/>
      <c r="I78" s="2445"/>
      <c r="J78" s="1975"/>
      <c r="K78" s="2457"/>
      <c r="L78" s="1975"/>
      <c r="M78" s="2457"/>
      <c r="N78" s="1975"/>
      <c r="O78" s="2457"/>
      <c r="P78" s="1975"/>
      <c r="Q78" s="2457"/>
      <c r="R78" s="1975"/>
      <c r="S78" s="2457"/>
      <c r="T78" s="1975"/>
      <c r="U78" s="2457"/>
      <c r="V78" s="1975"/>
      <c r="W78" s="2457"/>
      <c r="X78" s="1975"/>
      <c r="Y78" s="2457"/>
      <c r="Z78" s="1975"/>
      <c r="AA78" s="1975"/>
      <c r="AB78" s="1938">
        <v>0</v>
      </c>
      <c r="AC78" s="1982"/>
      <c r="AD78" s="1943">
        <f t="shared" si="11"/>
        <v>117.4</v>
      </c>
      <c r="AE78" s="1938"/>
      <c r="AF78" s="1982"/>
      <c r="AG78" s="1975">
        <f>'Exhibit G State'!AG78+'Exhibit G Federal'!AG49</f>
        <v>103.4</v>
      </c>
      <c r="AH78" s="3367"/>
      <c r="AI78" s="1920"/>
      <c r="AJ78" s="1943">
        <f t="shared" si="17"/>
        <v>14</v>
      </c>
      <c r="AK78" s="2465"/>
      <c r="AL78" s="1682">
        <f>ROUND(IF(AG78=0,0,AJ78/ABS(AG78)),3)</f>
        <v>0.13500000000000001</v>
      </c>
    </row>
    <row r="79" spans="1:38" s="2124" customFormat="1" ht="15" customHeight="1">
      <c r="A79" s="2381"/>
      <c r="B79" s="2401" t="s">
        <v>948</v>
      </c>
      <c r="C79" s="2381"/>
      <c r="D79" s="1975">
        <f>'Exhibit G State'!D79+'Exhibit G Federal'!D50</f>
        <v>0.8</v>
      </c>
      <c r="E79" s="1975"/>
      <c r="F79" s="1975">
        <f>'Exhibit G State'!F79+'Exhibit G Federal'!F50</f>
        <v>1.4000000000000001</v>
      </c>
      <c r="G79" s="1975"/>
      <c r="H79" s="1975"/>
      <c r="I79" s="2445"/>
      <c r="J79" s="1975"/>
      <c r="K79" s="2457"/>
      <c r="L79" s="1975"/>
      <c r="M79" s="2457"/>
      <c r="N79" s="1975"/>
      <c r="O79" s="2457"/>
      <c r="P79" s="1975"/>
      <c r="Q79" s="2457"/>
      <c r="R79" s="1975"/>
      <c r="S79" s="2457"/>
      <c r="T79" s="1975"/>
      <c r="U79" s="2457"/>
      <c r="V79" s="1975"/>
      <c r="W79" s="2457"/>
      <c r="X79" s="1975"/>
      <c r="Y79" s="2457"/>
      <c r="Z79" s="1975"/>
      <c r="AA79" s="1975"/>
      <c r="AB79" s="1938">
        <v>0</v>
      </c>
      <c r="AC79" s="1982"/>
      <c r="AD79" s="1938">
        <f t="shared" si="11"/>
        <v>2.2000000000000002</v>
      </c>
      <c r="AE79" s="1938"/>
      <c r="AF79" s="1982"/>
      <c r="AG79" s="1975">
        <f>'Exhibit G State'!AG79+'Exhibit G Federal'!AG50</f>
        <v>2.7</v>
      </c>
      <c r="AH79" s="3367"/>
      <c r="AI79" s="1920"/>
      <c r="AJ79" s="1943">
        <f t="shared" si="17"/>
        <v>-0.5</v>
      </c>
      <c r="AK79" s="2465"/>
      <c r="AL79" s="1677">
        <f>ROUND(IF(AG79=0,0,AJ79/ABS(AG79)),3)</f>
        <v>-0.185</v>
      </c>
    </row>
    <row r="80" spans="1:38" s="2124" customFormat="1" ht="15" customHeight="1">
      <c r="A80" s="2381"/>
      <c r="B80" s="2401" t="s">
        <v>949</v>
      </c>
      <c r="C80" s="2381"/>
      <c r="D80" s="1975">
        <f>'Exhibit G State'!D80+'Exhibit G Federal'!D51</f>
        <v>36.700000000000003</v>
      </c>
      <c r="E80" s="1975"/>
      <c r="F80" s="1975">
        <f>'Exhibit G State'!F80+'Exhibit G Federal'!F51</f>
        <v>-26.1</v>
      </c>
      <c r="G80" s="1975"/>
      <c r="H80" s="1975"/>
      <c r="I80" s="2445"/>
      <c r="J80" s="1975"/>
      <c r="K80" s="2457"/>
      <c r="L80" s="1975"/>
      <c r="M80" s="2457"/>
      <c r="N80" s="1975"/>
      <c r="O80" s="2457"/>
      <c r="P80" s="1975"/>
      <c r="Q80" s="2457"/>
      <c r="R80" s="1975"/>
      <c r="S80" s="2457"/>
      <c r="T80" s="1975"/>
      <c r="U80" s="2457"/>
      <c r="V80" s="1975"/>
      <c r="W80" s="2457"/>
      <c r="X80" s="1975"/>
      <c r="Y80" s="2457"/>
      <c r="Z80" s="1975"/>
      <c r="AA80" s="1975"/>
      <c r="AB80" s="1938">
        <v>0</v>
      </c>
      <c r="AC80" s="1982"/>
      <c r="AD80" s="1938">
        <f t="shared" si="11"/>
        <v>10.6</v>
      </c>
      <c r="AE80" s="1938"/>
      <c r="AF80" s="1982"/>
      <c r="AG80" s="1975">
        <f>'Exhibit G State'!AG80+'Exhibit G Federal'!AG51</f>
        <v>-34.1</v>
      </c>
      <c r="AH80" s="3367"/>
      <c r="AI80" s="1920"/>
      <c r="AJ80" s="1943">
        <f t="shared" si="17"/>
        <v>44.7</v>
      </c>
      <c r="AK80" s="2465"/>
      <c r="AL80" s="1677">
        <f>ROUND(IF(AG80=0,0,AJ80/ABS(AG80)),3)</f>
        <v>1.3109999999999999</v>
      </c>
    </row>
    <row r="81" spans="1:45" s="2471" customFormat="1" ht="15" customHeight="1">
      <c r="A81" s="2468"/>
      <c r="B81" s="2389" t="s">
        <v>1104</v>
      </c>
      <c r="C81" s="2468"/>
      <c r="D81" s="1428">
        <f>ROUND(SUM(D41:D80),1)</f>
        <v>1478.5</v>
      </c>
      <c r="E81" s="2445"/>
      <c r="F81" s="1428">
        <f>ROUND(SUM(F41:F80),1)</f>
        <v>1366.9</v>
      </c>
      <c r="G81" s="2445"/>
      <c r="H81" s="1985">
        <f>ROUND(SUM(H41:H80),1)</f>
        <v>0</v>
      </c>
      <c r="I81" s="2445"/>
      <c r="J81" s="1985">
        <f>ROUND(SUM(J41:J80),1)</f>
        <v>0</v>
      </c>
      <c r="K81" s="2457"/>
      <c r="L81" s="1428">
        <f>ROUND(SUM(L41:L80),1)</f>
        <v>0</v>
      </c>
      <c r="M81" s="2457"/>
      <c r="N81" s="1428">
        <f>ROUND(SUM(N41:N80),1)</f>
        <v>0</v>
      </c>
      <c r="O81" s="2457"/>
      <c r="P81" s="1428">
        <f>ROUND(SUM(P41:P80),1)</f>
        <v>0</v>
      </c>
      <c r="Q81" s="2457"/>
      <c r="R81" s="1428">
        <f>ROUND(SUM(R41:R80),1)</f>
        <v>0</v>
      </c>
      <c r="S81" s="2457"/>
      <c r="T81" s="1428">
        <f>ROUND(SUM(T41:T80),1)</f>
        <v>0</v>
      </c>
      <c r="U81" s="2457"/>
      <c r="V81" s="1428">
        <f>ROUND(SUM(V41:V80),1)</f>
        <v>0</v>
      </c>
      <c r="W81" s="2457"/>
      <c r="X81" s="1428">
        <f>ROUND(SUM(X41:X80),1)</f>
        <v>0</v>
      </c>
      <c r="Y81" s="2457"/>
      <c r="Z81" s="1428">
        <f>ROUND(SUM(Z41:Z80),1)</f>
        <v>0</v>
      </c>
      <c r="AA81" s="1430"/>
      <c r="AB81" s="1976">
        <f>SUM(AB41:AB80)</f>
        <v>0</v>
      </c>
      <c r="AC81" s="2469"/>
      <c r="AD81" s="1428">
        <f>ROUND(SUM(AD41:AD80),1)</f>
        <v>2845.4</v>
      </c>
      <c r="AE81" s="1993"/>
      <c r="AF81" s="2469"/>
      <c r="AG81" s="1428">
        <f>ROUND(SUM(AG41:AG80),1)</f>
        <v>2631.5</v>
      </c>
      <c r="AH81" s="3366"/>
      <c r="AI81" s="1430"/>
      <c r="AJ81" s="1428">
        <f>ROUND(SUM(AJ41:AJ80),1)</f>
        <v>213.9</v>
      </c>
      <c r="AK81" s="2470"/>
      <c r="AL81" s="1772">
        <f>ROUND(SUM(+AJ81/AG81),3)</f>
        <v>8.1000000000000003E-2</v>
      </c>
    </row>
    <row r="82" spans="1:45" ht="15" customHeight="1">
      <c r="A82" s="1987"/>
      <c r="B82" s="2472"/>
      <c r="C82" s="1987"/>
      <c r="D82" s="2465"/>
      <c r="F82" s="2465"/>
      <c r="H82" s="1411"/>
      <c r="J82" s="1411"/>
      <c r="L82" s="1949"/>
      <c r="N82" s="1949"/>
      <c r="P82" s="1949"/>
      <c r="R82" s="1949"/>
      <c r="T82" s="1949"/>
      <c r="V82" s="1958"/>
      <c r="X82" s="1958"/>
      <c r="Z82" s="1958"/>
      <c r="AA82" s="2465"/>
      <c r="AB82" s="1949"/>
      <c r="AC82" s="1980"/>
      <c r="AD82" s="1938"/>
      <c r="AE82" s="1938"/>
      <c r="AF82" s="1982"/>
      <c r="AG82" s="1938"/>
      <c r="AH82" s="3363"/>
      <c r="AI82" s="1950"/>
      <c r="AJ82" s="1411"/>
      <c r="AK82" s="2458"/>
      <c r="AL82" s="1400"/>
    </row>
    <row r="83" spans="1:45" s="2124" customFormat="1" ht="15" customHeight="1">
      <c r="A83" s="2381"/>
      <c r="B83" s="2473" t="s">
        <v>146</v>
      </c>
      <c r="C83" s="2381"/>
      <c r="D83" s="1975">
        <f>'Exhibit G State'!D83+'Exhibit G Federal'!D54</f>
        <v>6617.3</v>
      </c>
      <c r="E83" s="2467"/>
      <c r="F83" s="1975">
        <f>'Exhibit G State'!F83+'Exhibit G Federal'!F54</f>
        <v>7336.9000000000005</v>
      </c>
      <c r="G83" s="2467"/>
      <c r="H83" s="1975"/>
      <c r="I83" s="2445"/>
      <c r="J83" s="1975"/>
      <c r="K83" s="2457"/>
      <c r="L83" s="1975"/>
      <c r="M83" s="2457"/>
      <c r="N83" s="1975"/>
      <c r="O83" s="2457"/>
      <c r="P83" s="1975"/>
      <c r="Q83" s="2457"/>
      <c r="R83" s="1975"/>
      <c r="S83" s="2457"/>
      <c r="T83" s="1975"/>
      <c r="U83" s="2457"/>
      <c r="V83" s="1975"/>
      <c r="W83" s="2457"/>
      <c r="X83" s="1975"/>
      <c r="Y83" s="2457"/>
      <c r="Z83" s="1975"/>
      <c r="AA83" s="1975"/>
      <c r="AB83" s="2474">
        <v>0</v>
      </c>
      <c r="AC83" s="1982"/>
      <c r="AD83" s="1938">
        <f t="shared" si="11"/>
        <v>13954.2</v>
      </c>
      <c r="AE83" s="1938"/>
      <c r="AF83" s="1982"/>
      <c r="AG83" s="1975">
        <f>'Exhibit G State'!AG83+'Exhibit G Federal'!AG54</f>
        <v>25381.3</v>
      </c>
      <c r="AH83" s="3363"/>
      <c r="AI83" s="1920"/>
      <c r="AJ83" s="1984">
        <f>ROUND(SUM(+AD83-AG83),1)</f>
        <v>-11427.1</v>
      </c>
      <c r="AK83" s="2475"/>
      <c r="AL83" s="1677">
        <f>ROUND(IF(AG83=0,0,AJ83/ABS(AG83)),3)</f>
        <v>-0.45</v>
      </c>
    </row>
    <row r="84" spans="1:45" ht="15" customHeight="1">
      <c r="A84" s="1987"/>
      <c r="B84" s="1987"/>
      <c r="C84" s="1987"/>
      <c r="D84" s="1948"/>
      <c r="F84" s="1948"/>
      <c r="H84" s="2408"/>
      <c r="J84" s="2408"/>
      <c r="L84" s="1948"/>
      <c r="N84" s="1948"/>
      <c r="P84" s="1948"/>
      <c r="R84" s="1948"/>
      <c r="T84" s="1948"/>
      <c r="V84" s="1948"/>
      <c r="X84" s="1948"/>
      <c r="Z84" s="1948"/>
      <c r="AA84" s="1950"/>
      <c r="AB84" s="2476"/>
      <c r="AC84" s="1950"/>
      <c r="AD84" s="1994"/>
      <c r="AE84" s="1938"/>
      <c r="AF84" s="1982"/>
      <c r="AG84" s="1994"/>
      <c r="AH84" s="3363"/>
      <c r="AI84" s="1950"/>
      <c r="AJ84" s="2477"/>
      <c r="AL84" s="1414"/>
    </row>
    <row r="85" spans="1:45" ht="15" customHeight="1">
      <c r="A85" s="1987"/>
      <c r="B85" s="2343" t="s">
        <v>147</v>
      </c>
      <c r="C85" s="1987"/>
      <c r="D85" s="1429">
        <f>ROUND(SUM(D83+D81+D37),1)</f>
        <v>8588.2999999999993</v>
      </c>
      <c r="F85" s="1429">
        <f>ROUND(SUM(F83+F81+F37),1)</f>
        <v>8939</v>
      </c>
      <c r="H85" s="1429">
        <f>ROUND(SUM(H83+H81+H37),1)</f>
        <v>0</v>
      </c>
      <c r="J85" s="1429">
        <f>ROUND(SUM(J83+J81+J37),1)</f>
        <v>0</v>
      </c>
      <c r="L85" s="1429">
        <f>ROUND(SUM(L83+L81+L37),1)</f>
        <v>0</v>
      </c>
      <c r="N85" s="1429">
        <f>ROUND(SUM(N83+N81+N37),1)</f>
        <v>0</v>
      </c>
      <c r="P85" s="1429">
        <f>ROUND(SUM(P83+P81+P37),1)</f>
        <v>0</v>
      </c>
      <c r="R85" s="1429">
        <f>ROUND(SUM(R83+R81+R37),1)</f>
        <v>0</v>
      </c>
      <c r="T85" s="1429">
        <f>ROUND(SUM(T83+T81+T37),1)</f>
        <v>0</v>
      </c>
      <c r="V85" s="1429">
        <f>ROUND(SUM(V83+V81+V37),1)</f>
        <v>0</v>
      </c>
      <c r="X85" s="1429">
        <f>ROUND(SUM(X83+X81+X37),1)</f>
        <v>0</v>
      </c>
      <c r="Z85" s="1429">
        <f>ROUND(SUM(Z83+Z81+Z37),1)</f>
        <v>0</v>
      </c>
      <c r="AA85" s="1429"/>
      <c r="AB85" s="2478">
        <f>ROUND(SUM(AB83+AB81+AB37),1)</f>
        <v>0</v>
      </c>
      <c r="AC85" s="1983"/>
      <c r="AD85" s="1993">
        <f>ROUND(SUM(AD83+AD81+AD37),1)</f>
        <v>17527.3</v>
      </c>
      <c r="AE85" s="1993"/>
      <c r="AF85" s="2469"/>
      <c r="AG85" s="1993">
        <f>ROUND(SUM(AG83+AG81+AG37),1)</f>
        <v>28621</v>
      </c>
      <c r="AH85" s="3366"/>
      <c r="AI85" s="1412"/>
      <c r="AJ85" s="1995">
        <f>ROUND(SUM(AJ83+AJ81+AJ37),1)</f>
        <v>-11093.7</v>
      </c>
      <c r="AK85" s="2479"/>
      <c r="AL85" s="1404">
        <f>ROUND(SUM(+AJ85/AG85),3)</f>
        <v>-0.38800000000000001</v>
      </c>
    </row>
    <row r="86" spans="1:45" ht="15" customHeight="1">
      <c r="A86" s="1987"/>
      <c r="B86" s="1987"/>
      <c r="C86" s="1987"/>
      <c r="D86" s="1948"/>
      <c r="F86" s="1948"/>
      <c r="H86" s="2408"/>
      <c r="J86" s="2408"/>
      <c r="L86" s="1948"/>
      <c r="N86" s="1948"/>
      <c r="P86" s="1948"/>
      <c r="R86" s="1948"/>
      <c r="T86" s="1948"/>
      <c r="V86" s="1948"/>
      <c r="X86" s="1948"/>
      <c r="Z86" s="1948"/>
      <c r="AA86" s="1950"/>
      <c r="AB86" s="1949"/>
      <c r="AC86" s="1980"/>
      <c r="AD86" s="1994"/>
      <c r="AE86" s="1938"/>
      <c r="AF86" s="1982"/>
      <c r="AG86" s="1994"/>
      <c r="AH86" s="3363"/>
      <c r="AI86" s="1950"/>
      <c r="AJ86" s="1411"/>
      <c r="AL86" s="1400"/>
    </row>
    <row r="87" spans="1:45" ht="15" customHeight="1">
      <c r="A87" s="1987"/>
      <c r="B87" s="2451" t="s">
        <v>22</v>
      </c>
      <c r="C87" s="1987"/>
      <c r="D87" s="1949"/>
      <c r="F87" s="1949"/>
      <c r="H87" s="1411"/>
      <c r="J87" s="1411"/>
      <c r="L87" s="1949"/>
      <c r="N87" s="1949"/>
      <c r="P87" s="1949"/>
      <c r="R87" s="1949"/>
      <c r="T87" s="1949"/>
      <c r="V87" s="1949"/>
      <c r="X87" s="1949"/>
      <c r="Z87" s="1949"/>
      <c r="AA87" s="1949"/>
      <c r="AB87" s="1949"/>
      <c r="AC87" s="1980"/>
      <c r="AD87" s="1938"/>
      <c r="AE87" s="3071"/>
      <c r="AF87" s="3063"/>
      <c r="AG87" s="1938"/>
      <c r="AH87" s="3363"/>
      <c r="AI87" s="1950"/>
      <c r="AJ87" s="1411"/>
      <c r="AL87" s="1400"/>
    </row>
    <row r="88" spans="1:45" ht="15" customHeight="1">
      <c r="A88" s="1987"/>
      <c r="B88" s="2385" t="s">
        <v>148</v>
      </c>
      <c r="C88" s="1987"/>
      <c r="D88" s="2465"/>
      <c r="F88" s="2465"/>
      <c r="H88" s="1943"/>
      <c r="J88" s="1943"/>
      <c r="L88" s="1938"/>
      <c r="N88" s="1938"/>
      <c r="P88" s="1938"/>
      <c r="R88" s="1938"/>
      <c r="T88" s="1938"/>
      <c r="V88" s="1938"/>
      <c r="X88" s="1938"/>
      <c r="Z88" s="1958"/>
      <c r="AA88" s="2465"/>
      <c r="AB88" s="1949"/>
      <c r="AC88" s="1980"/>
      <c r="AD88" s="1938"/>
      <c r="AE88" s="1938"/>
      <c r="AF88" s="1982"/>
      <c r="AG88" s="1938"/>
      <c r="AH88" s="3363"/>
      <c r="AI88" s="1950"/>
      <c r="AJ88" s="1411"/>
      <c r="AL88" s="1415"/>
    </row>
    <row r="89" spans="1:45" s="2124" customFormat="1" ht="15" customHeight="1">
      <c r="A89" s="2381"/>
      <c r="B89" s="2480" t="s">
        <v>24</v>
      </c>
      <c r="C89" s="2381"/>
      <c r="D89" s="1975">
        <f>'Exhibit G State'!D89+'Exhibit G Federal'!D60</f>
        <v>545.5</v>
      </c>
      <c r="E89" s="2467"/>
      <c r="F89" s="1975">
        <f>'Exhibit G State'!F89+'Exhibit G Federal'!F60</f>
        <v>758.80000000000007</v>
      </c>
      <c r="G89" s="2467"/>
      <c r="H89" s="1975"/>
      <c r="I89" s="2445"/>
      <c r="J89" s="1975"/>
      <c r="K89" s="2457"/>
      <c r="L89" s="1975"/>
      <c r="M89" s="2457"/>
      <c r="N89" s="1975"/>
      <c r="O89" s="2457"/>
      <c r="P89" s="1975"/>
      <c r="Q89" s="2457"/>
      <c r="R89" s="1975"/>
      <c r="S89" s="2457"/>
      <c r="T89" s="1975"/>
      <c r="U89" s="2457"/>
      <c r="V89" s="1975"/>
      <c r="W89" s="2457"/>
      <c r="X89" s="1975"/>
      <c r="Y89" s="2457"/>
      <c r="Z89" s="1975"/>
      <c r="AA89" s="1975"/>
      <c r="AB89" s="1938">
        <v>0</v>
      </c>
      <c r="AC89" s="1982"/>
      <c r="AD89" s="1938">
        <f>ROUND(SUM(D89:Z89),1)</f>
        <v>1304.3</v>
      </c>
      <c r="AE89" s="1938"/>
      <c r="AF89" s="1982"/>
      <c r="AG89" s="1975">
        <f>'Exhibit G State'!AG89+'Exhibit G Federal'!AG60</f>
        <v>751.9</v>
      </c>
      <c r="AH89" s="3363"/>
      <c r="AI89" s="1920"/>
      <c r="AJ89" s="1943">
        <f>ROUND(SUM(+AD89-AG89),1)</f>
        <v>552.4</v>
      </c>
      <c r="AK89" s="2475"/>
      <c r="AL89" s="1677">
        <f>ROUND(IF(AG89=0,0,AJ89/ABS(AG89)),3)</f>
        <v>0.73499999999999999</v>
      </c>
      <c r="AR89" s="1934"/>
      <c r="AS89" s="2481"/>
    </row>
    <row r="90" spans="1:45" s="2124" customFormat="1" ht="15" customHeight="1">
      <c r="A90" s="2381"/>
      <c r="B90" s="2480" t="s">
        <v>25</v>
      </c>
      <c r="C90" s="2381"/>
      <c r="D90" s="1975">
        <f>'Exhibit G State'!D90+'Exhibit G Federal'!D61</f>
        <v>0</v>
      </c>
      <c r="E90" s="2467"/>
      <c r="F90" s="1975">
        <f>'Exhibit G State'!F90+'Exhibit G Federal'!F61</f>
        <v>0.2</v>
      </c>
      <c r="G90" s="2467"/>
      <c r="H90" s="1975"/>
      <c r="I90" s="2445"/>
      <c r="J90" s="1975"/>
      <c r="K90" s="2457"/>
      <c r="L90" s="1975"/>
      <c r="M90" s="2457"/>
      <c r="N90" s="1975"/>
      <c r="O90" s="2457"/>
      <c r="P90" s="1975"/>
      <c r="Q90" s="2457"/>
      <c r="R90" s="1975"/>
      <c r="S90" s="2457"/>
      <c r="T90" s="1975"/>
      <c r="U90" s="2457"/>
      <c r="V90" s="1975"/>
      <c r="W90" s="2457"/>
      <c r="X90" s="1975"/>
      <c r="Y90" s="2457"/>
      <c r="Z90" s="1975"/>
      <c r="AA90" s="1975"/>
      <c r="AB90" s="1938">
        <v>0</v>
      </c>
      <c r="AC90" s="1982"/>
      <c r="AD90" s="1938">
        <f>ROUND(SUM(D90:Z90),1)</f>
        <v>0.2</v>
      </c>
      <c r="AE90" s="1938"/>
      <c r="AF90" s="1982"/>
      <c r="AG90" s="1975">
        <f>'Exhibit G State'!AG90+'Exhibit G Federal'!AG61</f>
        <v>0.7</v>
      </c>
      <c r="AH90" s="3363"/>
      <c r="AI90" s="1920"/>
      <c r="AJ90" s="1943">
        <f>ROUND(SUM(+AD90-AG90),1)</f>
        <v>-0.5</v>
      </c>
      <c r="AK90" s="2475"/>
      <c r="AL90" s="1682">
        <f>ROUND(IF(AG90=0,1,AJ90/ABS(AG90)),3)</f>
        <v>-0.71399999999999997</v>
      </c>
      <c r="AR90" s="2481"/>
      <c r="AS90" s="2481"/>
    </row>
    <row r="91" spans="1:45" s="2124" customFormat="1" ht="15" customHeight="1">
      <c r="A91" s="2381"/>
      <c r="B91" s="2480" t="s">
        <v>26</v>
      </c>
      <c r="C91" s="2381"/>
      <c r="D91" s="1975">
        <f>'Exhibit G State'!D91+'Exhibit G Federal'!D62</f>
        <v>133</v>
      </c>
      <c r="E91" s="2467"/>
      <c r="F91" s="1975">
        <f>'Exhibit G State'!F91+'Exhibit G Federal'!F62</f>
        <v>41.799999999999983</v>
      </c>
      <c r="G91" s="2467"/>
      <c r="H91" s="1975"/>
      <c r="I91" s="2445"/>
      <c r="J91" s="1975"/>
      <c r="K91" s="2457"/>
      <c r="L91" s="1975"/>
      <c r="M91" s="2457"/>
      <c r="N91" s="1975"/>
      <c r="O91" s="2457"/>
      <c r="P91" s="1975"/>
      <c r="Q91" s="2457"/>
      <c r="R91" s="1975"/>
      <c r="S91" s="2457"/>
      <c r="T91" s="1975"/>
      <c r="U91" s="2457"/>
      <c r="V91" s="1975"/>
      <c r="W91" s="2457"/>
      <c r="X91" s="1975"/>
      <c r="Y91" s="2457"/>
      <c r="Z91" s="1975"/>
      <c r="AA91" s="1975"/>
      <c r="AB91" s="1938">
        <v>0</v>
      </c>
      <c r="AC91" s="1982"/>
      <c r="AD91" s="1938">
        <f>ROUND(SUM(D91:Z91),1)</f>
        <v>174.8</v>
      </c>
      <c r="AE91" s="1938"/>
      <c r="AF91" s="1982"/>
      <c r="AG91" s="1975">
        <f>'Exhibit G State'!AG91+'Exhibit G Federal'!AG62</f>
        <v>61.2</v>
      </c>
      <c r="AH91" s="3363"/>
      <c r="AI91" s="1920"/>
      <c r="AJ91" s="1943">
        <f>ROUND(SUM(+AD91-AG91),1)</f>
        <v>113.6</v>
      </c>
      <c r="AK91" s="2475"/>
      <c r="AL91" s="3657">
        <f>ROUND(IF(AG91=0,0,AJ91/ABS(AG91)),3)</f>
        <v>1.8560000000000001</v>
      </c>
      <c r="AR91" s="2481"/>
      <c r="AS91" s="2481"/>
    </row>
    <row r="92" spans="1:45" s="2124" customFormat="1" ht="15" customHeight="1">
      <c r="A92" s="2381"/>
      <c r="B92" s="2480" t="s">
        <v>27</v>
      </c>
      <c r="C92" s="2381"/>
      <c r="D92" s="1920"/>
      <c r="E92" s="2445"/>
      <c r="F92" s="1920"/>
      <c r="G92" s="2445"/>
      <c r="H92" s="1920"/>
      <c r="I92" s="2445"/>
      <c r="J92" s="1920"/>
      <c r="K92" s="2457"/>
      <c r="L92" s="1920"/>
      <c r="M92" s="2457"/>
      <c r="N92" s="1920"/>
      <c r="O92" s="2457"/>
      <c r="P92" s="1920"/>
      <c r="Q92" s="2457"/>
      <c r="R92" s="1920"/>
      <c r="S92" s="2457"/>
      <c r="T92" s="1920"/>
      <c r="U92" s="2457"/>
      <c r="V92" s="1920"/>
      <c r="W92" s="2457"/>
      <c r="X92" s="1920"/>
      <c r="Y92" s="2457"/>
      <c r="Z92" s="1920"/>
      <c r="AA92" s="1920"/>
      <c r="AB92" s="1938"/>
      <c r="AC92" s="1982"/>
      <c r="AD92" s="1938"/>
      <c r="AE92" s="1938"/>
      <c r="AF92" s="1982"/>
      <c r="AG92" s="1920"/>
      <c r="AH92" s="3363"/>
      <c r="AI92" s="1920"/>
      <c r="AJ92" s="1943" t="s">
        <v>14</v>
      </c>
      <c r="AK92" s="2482" t="s">
        <v>14</v>
      </c>
      <c r="AL92" s="1416" t="s">
        <v>14</v>
      </c>
      <c r="AR92" s="1934"/>
      <c r="AS92" s="1934"/>
    </row>
    <row r="93" spans="1:45" s="2124" customFormat="1" ht="15" customHeight="1">
      <c r="A93" s="2381"/>
      <c r="B93" s="2483" t="s">
        <v>28</v>
      </c>
      <c r="C93" s="2381"/>
      <c r="D93" s="1975">
        <f>'Exhibit G State'!D93+'Exhibit G Federal'!D64</f>
        <v>5245.9000000000005</v>
      </c>
      <c r="E93" s="2467"/>
      <c r="F93" s="1975">
        <f>'Exhibit G State'!F93+'Exhibit G Federal'!F64</f>
        <v>4446.7999999999993</v>
      </c>
      <c r="G93" s="2467"/>
      <c r="H93" s="1975"/>
      <c r="I93" s="2445"/>
      <c r="J93" s="1975"/>
      <c r="K93" s="2457"/>
      <c r="L93" s="1975"/>
      <c r="M93" s="2457"/>
      <c r="N93" s="1975"/>
      <c r="O93" s="2457"/>
      <c r="P93" s="1975"/>
      <c r="Q93" s="2457"/>
      <c r="R93" s="1975"/>
      <c r="S93" s="2457"/>
      <c r="T93" s="1975"/>
      <c r="U93" s="2457"/>
      <c r="V93" s="1975"/>
      <c r="W93" s="2457"/>
      <c r="X93" s="1975"/>
      <c r="Y93" s="2457"/>
      <c r="Z93" s="1975"/>
      <c r="AA93" s="1975"/>
      <c r="AB93" s="1938">
        <v>0</v>
      </c>
      <c r="AC93" s="1982"/>
      <c r="AD93" s="1938">
        <f t="shared" ref="AD93:AD98" si="19">ROUND(SUM(D93:Z93),1)</f>
        <v>9692.7000000000007</v>
      </c>
      <c r="AE93" s="1938"/>
      <c r="AF93" s="1982"/>
      <c r="AG93" s="1975">
        <f>'Exhibit G State'!AG93+'Exhibit G Federal'!AG64</f>
        <v>7960</v>
      </c>
      <c r="AH93" s="3363"/>
      <c r="AI93" s="1920"/>
      <c r="AJ93" s="1943">
        <f t="shared" ref="AJ93:AJ98" si="20">ROUND(SUM(+AD93-AG93),1)</f>
        <v>1732.7</v>
      </c>
      <c r="AK93" s="2475"/>
      <c r="AL93" s="1677">
        <f>ROUND(IF(AG93=0,0,AJ93/ABS(AG93)),3)</f>
        <v>0.218</v>
      </c>
      <c r="AR93" s="1934"/>
      <c r="AS93" s="1934"/>
    </row>
    <row r="94" spans="1:45" s="2124" customFormat="1" ht="15" customHeight="1">
      <c r="A94" s="2381"/>
      <c r="B94" s="2480" t="s">
        <v>29</v>
      </c>
      <c r="C94" s="2381"/>
      <c r="D94" s="1975">
        <f>'Exhibit G State'!D94+'Exhibit G Federal'!D65</f>
        <v>527.5</v>
      </c>
      <c r="E94" s="2467"/>
      <c r="F94" s="1975">
        <f>'Exhibit G State'!F94+'Exhibit G Federal'!F65</f>
        <v>669.09999999999991</v>
      </c>
      <c r="G94" s="2467"/>
      <c r="H94" s="1975"/>
      <c r="I94" s="2445"/>
      <c r="J94" s="1975"/>
      <c r="K94" s="2457"/>
      <c r="L94" s="1975"/>
      <c r="M94" s="2457"/>
      <c r="N94" s="1975"/>
      <c r="O94" s="2457"/>
      <c r="P94" s="1975"/>
      <c r="Q94" s="2457"/>
      <c r="R94" s="1975"/>
      <c r="S94" s="2457"/>
      <c r="T94" s="1975"/>
      <c r="U94" s="2457"/>
      <c r="V94" s="1975"/>
      <c r="W94" s="2457"/>
      <c r="X94" s="1975"/>
      <c r="Y94" s="2457"/>
      <c r="Z94" s="1975"/>
      <c r="AA94" s="1975"/>
      <c r="AB94" s="1938">
        <v>0</v>
      </c>
      <c r="AC94" s="1982"/>
      <c r="AD94" s="1938">
        <f t="shared" si="19"/>
        <v>1196.5999999999999</v>
      </c>
      <c r="AE94" s="1938"/>
      <c r="AF94" s="1982"/>
      <c r="AG94" s="1975">
        <f>'Exhibit G State'!AG94+'Exhibit G Federal'!AG65</f>
        <v>1115.8</v>
      </c>
      <c r="AH94" s="3363"/>
      <c r="AI94" s="1920"/>
      <c r="AJ94" s="1943">
        <f t="shared" si="20"/>
        <v>80.8</v>
      </c>
      <c r="AK94" s="2475"/>
      <c r="AL94" s="1677">
        <f t="shared" ref="AL94:AL98" si="21">ROUND(IF(AG94=0,0,AJ94/ABS(AG94)),3)</f>
        <v>7.1999999999999995E-2</v>
      </c>
      <c r="AR94" s="1934"/>
      <c r="AS94" s="1934"/>
    </row>
    <row r="95" spans="1:45" s="2124" customFormat="1" ht="15" customHeight="1">
      <c r="A95" s="2381"/>
      <c r="B95" s="2480" t="s">
        <v>30</v>
      </c>
      <c r="C95" s="2381"/>
      <c r="D95" s="1975">
        <f>'Exhibit G State'!D95+'Exhibit G Federal'!D66</f>
        <v>73.8</v>
      </c>
      <c r="E95" s="2467"/>
      <c r="F95" s="1975">
        <f>'Exhibit G State'!F95+'Exhibit G Federal'!F66</f>
        <v>119.29999999999998</v>
      </c>
      <c r="G95" s="2467"/>
      <c r="H95" s="1975"/>
      <c r="I95" s="2445"/>
      <c r="J95" s="1975"/>
      <c r="K95" s="2457"/>
      <c r="L95" s="1975"/>
      <c r="M95" s="2457"/>
      <c r="N95" s="1975"/>
      <c r="O95" s="2457"/>
      <c r="P95" s="1975"/>
      <c r="Q95" s="2457"/>
      <c r="R95" s="1975"/>
      <c r="S95" s="2457"/>
      <c r="T95" s="1975"/>
      <c r="U95" s="2457"/>
      <c r="V95" s="1975"/>
      <c r="W95" s="2457"/>
      <c r="X95" s="1975"/>
      <c r="Y95" s="2457"/>
      <c r="Z95" s="1975"/>
      <c r="AA95" s="1975"/>
      <c r="AB95" s="1938">
        <v>0</v>
      </c>
      <c r="AC95" s="1982"/>
      <c r="AD95" s="1938">
        <f t="shared" si="19"/>
        <v>193.1</v>
      </c>
      <c r="AE95" s="1938"/>
      <c r="AF95" s="1982"/>
      <c r="AG95" s="1975">
        <f>'Exhibit G State'!AG95+'Exhibit G Federal'!AG66</f>
        <v>231.2</v>
      </c>
      <c r="AH95" s="3363"/>
      <c r="AI95" s="1920"/>
      <c r="AJ95" s="1943">
        <f t="shared" si="20"/>
        <v>-38.1</v>
      </c>
      <c r="AK95" s="2475"/>
      <c r="AL95" s="1677">
        <f t="shared" si="21"/>
        <v>-0.16500000000000001</v>
      </c>
      <c r="AR95" s="1934"/>
      <c r="AS95" s="1934"/>
    </row>
    <row r="96" spans="1:45" s="2124" customFormat="1" ht="15" customHeight="1">
      <c r="A96" s="2381"/>
      <c r="B96" s="2480" t="s">
        <v>31</v>
      </c>
      <c r="C96" s="2381"/>
      <c r="D96" s="1975">
        <f>'Exhibit G State'!D96+'Exhibit G Federal'!D67</f>
        <v>442.4</v>
      </c>
      <c r="E96" s="2467"/>
      <c r="F96" s="1975">
        <f>'Exhibit G State'!F96+'Exhibit G Federal'!F67</f>
        <v>545.70000000000005</v>
      </c>
      <c r="G96" s="2467"/>
      <c r="H96" s="1975"/>
      <c r="I96" s="2445"/>
      <c r="J96" s="1975"/>
      <c r="K96" s="2457"/>
      <c r="L96" s="1975"/>
      <c r="M96" s="2457"/>
      <c r="N96" s="1975"/>
      <c r="O96" s="2457"/>
      <c r="P96" s="1975"/>
      <c r="Q96" s="2457"/>
      <c r="R96" s="1975"/>
      <c r="S96" s="2457"/>
      <c r="T96" s="1975"/>
      <c r="U96" s="2457"/>
      <c r="V96" s="1975"/>
      <c r="W96" s="2457"/>
      <c r="X96" s="1975"/>
      <c r="Y96" s="2457"/>
      <c r="Z96" s="1975"/>
      <c r="AA96" s="1975"/>
      <c r="AB96" s="1938">
        <v>0</v>
      </c>
      <c r="AC96" s="1982"/>
      <c r="AD96" s="1938">
        <f t="shared" si="19"/>
        <v>988.1</v>
      </c>
      <c r="AE96" s="1938"/>
      <c r="AF96" s="1982"/>
      <c r="AG96" s="1975">
        <f>'Exhibit G State'!AG96+'Exhibit G Federal'!AG67</f>
        <v>359.29999999999995</v>
      </c>
      <c r="AH96" s="3363"/>
      <c r="AI96" s="1920"/>
      <c r="AJ96" s="1943">
        <f t="shared" si="20"/>
        <v>628.79999999999995</v>
      </c>
      <c r="AK96" s="2475"/>
      <c r="AL96" s="1677">
        <f t="shared" si="21"/>
        <v>1.75</v>
      </c>
      <c r="AR96" s="1934"/>
      <c r="AS96" s="1934"/>
    </row>
    <row r="97" spans="1:46" s="2124" customFormat="1" ht="15" customHeight="1">
      <c r="A97" s="2381"/>
      <c r="B97" s="2480" t="s">
        <v>32</v>
      </c>
      <c r="C97" s="2381"/>
      <c r="D97" s="1975">
        <f>'Exhibit G State'!D97+'Exhibit G Federal'!D68</f>
        <v>2.2999999999999998</v>
      </c>
      <c r="E97" s="2467"/>
      <c r="F97" s="1975">
        <f>'Exhibit G State'!F97+'Exhibit G Federal'!F68</f>
        <v>2.1000000000000005</v>
      </c>
      <c r="G97" s="2467"/>
      <c r="H97" s="1975"/>
      <c r="I97" s="2445"/>
      <c r="J97" s="1975"/>
      <c r="K97" s="2457"/>
      <c r="L97" s="1975"/>
      <c r="M97" s="2457"/>
      <c r="N97" s="1975"/>
      <c r="O97" s="2457"/>
      <c r="P97" s="1975"/>
      <c r="Q97" s="2457"/>
      <c r="R97" s="1975"/>
      <c r="S97" s="2457"/>
      <c r="T97" s="1975"/>
      <c r="U97" s="2457"/>
      <c r="V97" s="1975"/>
      <c r="W97" s="2457"/>
      <c r="X97" s="1975"/>
      <c r="Y97" s="2457"/>
      <c r="Z97" s="1975"/>
      <c r="AA97" s="1975"/>
      <c r="AB97" s="1938">
        <v>0</v>
      </c>
      <c r="AC97" s="1982"/>
      <c r="AD97" s="1938">
        <f t="shared" si="19"/>
        <v>4.4000000000000004</v>
      </c>
      <c r="AE97" s="1938"/>
      <c r="AF97" s="1982"/>
      <c r="AG97" s="1975">
        <f>'Exhibit G State'!AG97+'Exhibit G Federal'!AG68</f>
        <v>2.7</v>
      </c>
      <c r="AH97" s="3363"/>
      <c r="AI97" s="1920"/>
      <c r="AJ97" s="1943">
        <f t="shared" si="20"/>
        <v>1.7</v>
      </c>
      <c r="AK97" s="2475"/>
      <c r="AL97" s="1682">
        <f>ROUND(IF(AG97=0,0,AJ97/ABS(AG97)),3)</f>
        <v>0.63</v>
      </c>
      <c r="AR97" s="2481"/>
      <c r="AS97" s="2481"/>
    </row>
    <row r="98" spans="1:46" s="2124" customFormat="1" ht="15" customHeight="1">
      <c r="A98" s="2381"/>
      <c r="B98" s="2480" t="s">
        <v>33</v>
      </c>
      <c r="C98" s="2381"/>
      <c r="D98" s="1975">
        <f>'Exhibit G State'!D98+'Exhibit G Federal'!D69</f>
        <v>63.1</v>
      </c>
      <c r="E98" s="2467"/>
      <c r="F98" s="1975">
        <f>'Exhibit G State'!F98+'Exhibit G Federal'!F69</f>
        <v>555.9</v>
      </c>
      <c r="G98" s="2467"/>
      <c r="H98" s="1975"/>
      <c r="I98" s="2445"/>
      <c r="J98" s="1975"/>
      <c r="K98" s="2457"/>
      <c r="L98" s="1975"/>
      <c r="M98" s="2457"/>
      <c r="N98" s="1975"/>
      <c r="O98" s="2457"/>
      <c r="P98" s="1975"/>
      <c r="Q98" s="2457"/>
      <c r="R98" s="1975"/>
      <c r="S98" s="2457"/>
      <c r="T98" s="1975"/>
      <c r="U98" s="2457"/>
      <c r="V98" s="1975"/>
      <c r="W98" s="2457"/>
      <c r="X98" s="1975"/>
      <c r="Y98" s="2457"/>
      <c r="Z98" s="1975"/>
      <c r="AA98" s="1975"/>
      <c r="AB98" s="1938">
        <v>0</v>
      </c>
      <c r="AC98" s="1982"/>
      <c r="AD98" s="1920">
        <f t="shared" si="19"/>
        <v>619</v>
      </c>
      <c r="AE98" s="1938"/>
      <c r="AF98" s="1982"/>
      <c r="AG98" s="1975">
        <f>'Exhibit G State'!AG98+'Exhibit G Federal'!AG69</f>
        <v>612.59999999999991</v>
      </c>
      <c r="AH98" s="3363"/>
      <c r="AI98" s="1920"/>
      <c r="AJ98" s="1984">
        <f t="shared" si="20"/>
        <v>6.4</v>
      </c>
      <c r="AK98" s="2475"/>
      <c r="AL98" s="1764">
        <f t="shared" si="21"/>
        <v>0.01</v>
      </c>
      <c r="AM98" s="2484"/>
      <c r="AR98" s="1961"/>
      <c r="AS98" s="1961"/>
      <c r="AT98" s="2123"/>
    </row>
    <row r="99" spans="1:46" ht="15" customHeight="1">
      <c r="A99" s="1987"/>
      <c r="B99" s="2343" t="s">
        <v>1072</v>
      </c>
      <c r="C99" s="1987"/>
      <c r="D99" s="1976">
        <f>ROUND(SUM(D89:D98),1)</f>
        <v>7033.5</v>
      </c>
      <c r="F99" s="1976">
        <f>ROUND(SUM(F89:F98),1)</f>
        <v>7139.7</v>
      </c>
      <c r="H99" s="2390">
        <f>ROUND(SUM(H89:H98),1)</f>
        <v>0</v>
      </c>
      <c r="J99" s="2390">
        <f>ROUND(SUM(J89:J98),1)</f>
        <v>0</v>
      </c>
      <c r="L99" s="1976">
        <f t="shared" ref="L99" si="22">ROUND(SUM(L89:L98),1)</f>
        <v>0</v>
      </c>
      <c r="N99" s="1976">
        <f t="shared" ref="N99" si="23">ROUND(SUM(N89:N98),1)</f>
        <v>0</v>
      </c>
      <c r="P99" s="1976">
        <f t="shared" ref="P99" si="24">ROUND(SUM(P89:P98),1)</f>
        <v>0</v>
      </c>
      <c r="R99" s="1976">
        <f t="shared" ref="R99:T99" si="25">ROUND(SUM(R89:R98),1)</f>
        <v>0</v>
      </c>
      <c r="T99" s="1976">
        <f t="shared" si="25"/>
        <v>0</v>
      </c>
      <c r="V99" s="1976">
        <f t="shared" ref="V99:X99" si="26">ROUND(SUM(V89:V98),1)</f>
        <v>0</v>
      </c>
      <c r="X99" s="1976">
        <f t="shared" si="26"/>
        <v>0</v>
      </c>
      <c r="Z99" s="1976">
        <f t="shared" ref="Z99" si="27">ROUND(SUM(Z89:Z98),1)</f>
        <v>0</v>
      </c>
      <c r="AA99" s="1412"/>
      <c r="AB99" s="1976">
        <f>ROUND(SUM(AB89:AB98),1)</f>
        <v>0</v>
      </c>
      <c r="AC99" s="1983"/>
      <c r="AD99" s="1960">
        <f>ROUND(SUM(AD89:AD98),1)</f>
        <v>14173.2</v>
      </c>
      <c r="AE99" s="1993"/>
      <c r="AF99" s="2469"/>
      <c r="AG99" s="1960">
        <f>ROUND(SUM(AG89:AG98),1)</f>
        <v>11095.4</v>
      </c>
      <c r="AH99" s="3366"/>
      <c r="AI99" s="1412"/>
      <c r="AJ99" s="1976">
        <f>ROUND(SUM(AJ89:AJ98),1)</f>
        <v>3077.8</v>
      </c>
      <c r="AK99" s="1996"/>
      <c r="AL99" s="1404">
        <f>ROUND(SUM(+AJ99/AG99),3)</f>
        <v>0.27700000000000002</v>
      </c>
      <c r="AR99" s="1964"/>
      <c r="AS99" s="1961"/>
      <c r="AT99" s="1964"/>
    </row>
    <row r="100" spans="1:46" s="2124" customFormat="1" ht="15" customHeight="1">
      <c r="A100" s="2381"/>
      <c r="B100" s="2381" t="s">
        <v>166</v>
      </c>
      <c r="C100" s="2381"/>
      <c r="D100" s="1938"/>
      <c r="E100" s="2445"/>
      <c r="F100" s="1938"/>
      <c r="G100" s="2445"/>
      <c r="H100" s="1411"/>
      <c r="I100" s="2445"/>
      <c r="J100" s="1411"/>
      <c r="K100" s="2457"/>
      <c r="L100" s="1938"/>
      <c r="M100" s="2457"/>
      <c r="N100" s="1938"/>
      <c r="O100" s="2457"/>
      <c r="P100" s="1938"/>
      <c r="Q100" s="2457"/>
      <c r="R100" s="1938"/>
      <c r="S100" s="2457"/>
      <c r="T100" s="1938"/>
      <c r="U100" s="2457"/>
      <c r="V100" s="1938"/>
      <c r="W100" s="2457"/>
      <c r="X100" s="1938"/>
      <c r="Y100" s="2457"/>
      <c r="Z100" s="1938"/>
      <c r="AA100" s="1938"/>
      <c r="AB100" s="1938"/>
      <c r="AC100" s="1982"/>
      <c r="AD100" s="1938"/>
      <c r="AE100" s="1938"/>
      <c r="AF100" s="1982"/>
      <c r="AG100" s="1938"/>
      <c r="AH100" s="3363"/>
      <c r="AI100" s="1920"/>
      <c r="AJ100" s="1943"/>
      <c r="AL100" s="1770"/>
      <c r="AS100" s="1934"/>
    </row>
    <row r="101" spans="1:46" s="2124" customFormat="1" ht="15" customHeight="1">
      <c r="A101" s="2381"/>
      <c r="B101" s="2381" t="s">
        <v>150</v>
      </c>
      <c r="C101" s="2381"/>
      <c r="D101" s="1975">
        <f>'Exhibit G State'!D101+'Exhibit G Federal'!D72</f>
        <v>468.6</v>
      </c>
      <c r="E101" s="2467"/>
      <c r="F101" s="1975">
        <f>'Exhibit G State'!F101+'Exhibit G Federal'!F72</f>
        <v>458</v>
      </c>
      <c r="G101" s="2467"/>
      <c r="H101" s="1975"/>
      <c r="I101" s="2445"/>
      <c r="J101" s="1975"/>
      <c r="K101" s="2457"/>
      <c r="L101" s="1975"/>
      <c r="M101" s="2457"/>
      <c r="N101" s="1975"/>
      <c r="O101" s="2457"/>
      <c r="P101" s="1975"/>
      <c r="Q101" s="2457"/>
      <c r="R101" s="1975"/>
      <c r="S101" s="2457"/>
      <c r="T101" s="1975"/>
      <c r="U101" s="2457"/>
      <c r="V101" s="1975"/>
      <c r="W101" s="2457"/>
      <c r="X101" s="1975"/>
      <c r="Y101" s="2457"/>
      <c r="Z101" s="1975"/>
      <c r="AA101" s="1975"/>
      <c r="AB101" s="1938">
        <v>0</v>
      </c>
      <c r="AC101" s="1982"/>
      <c r="AD101" s="1938">
        <f>ROUND(SUM(D101:Z101),1)</f>
        <v>926.6</v>
      </c>
      <c r="AE101" s="1938"/>
      <c r="AF101" s="1982"/>
      <c r="AG101" s="1975">
        <f>'Exhibit G State'!AG101+'Exhibit G Federal'!AG72</f>
        <v>907.5</v>
      </c>
      <c r="AH101" s="3363"/>
      <c r="AI101" s="1920"/>
      <c r="AJ101" s="1943">
        <f>ROUND(SUM(+AD101-AG101),1)</f>
        <v>19.100000000000001</v>
      </c>
      <c r="AK101" s="2465"/>
      <c r="AL101" s="1677">
        <f>ROUND(IF(AG101=0,0,AJ101/ABS(AG101)),3)</f>
        <v>2.1000000000000001E-2</v>
      </c>
    </row>
    <row r="102" spans="1:46" s="2124" customFormat="1" ht="15" customHeight="1">
      <c r="A102" s="2381"/>
      <c r="B102" s="2381" t="s">
        <v>167</v>
      </c>
      <c r="C102" s="2381"/>
      <c r="D102" s="1975">
        <f>'Exhibit G State'!D102+'Exhibit G Federal'!D73</f>
        <v>319.7</v>
      </c>
      <c r="E102" s="2467"/>
      <c r="F102" s="1975">
        <f>'Exhibit G State'!F102+'Exhibit G Federal'!F73</f>
        <v>401.7</v>
      </c>
      <c r="G102" s="2467"/>
      <c r="H102" s="1975"/>
      <c r="I102" s="2445"/>
      <c r="J102" s="1975"/>
      <c r="K102" s="2457"/>
      <c r="L102" s="1975"/>
      <c r="M102" s="2457"/>
      <c r="N102" s="1975"/>
      <c r="O102" s="2457"/>
      <c r="P102" s="1975"/>
      <c r="Q102" s="2457"/>
      <c r="R102" s="1975"/>
      <c r="S102" s="2457"/>
      <c r="T102" s="1975"/>
      <c r="U102" s="2457"/>
      <c r="V102" s="1975"/>
      <c r="W102" s="2457"/>
      <c r="X102" s="1975"/>
      <c r="Y102" s="2457"/>
      <c r="Z102" s="1975"/>
      <c r="AA102" s="1975"/>
      <c r="AB102" s="1938">
        <v>0</v>
      </c>
      <c r="AC102" s="1982"/>
      <c r="AD102" s="1938">
        <f>ROUND(SUM(D102:Z102),1)</f>
        <v>721.4</v>
      </c>
      <c r="AE102" s="1938"/>
      <c r="AF102" s="1982"/>
      <c r="AG102" s="1975">
        <f>'Exhibit G State'!AG102+'Exhibit G Federal'!AG73</f>
        <v>722.1</v>
      </c>
      <c r="AH102" s="3363"/>
      <c r="AI102" s="1920"/>
      <c r="AJ102" s="1943">
        <f>ROUND(SUM(+AD102-AG102),1)</f>
        <v>-0.7</v>
      </c>
      <c r="AK102" s="2465"/>
      <c r="AL102" s="1677">
        <f>ROUND(IF(AG102=0,0,AJ102/ABS(AG102)),3)</f>
        <v>-1E-3</v>
      </c>
    </row>
    <row r="103" spans="1:46" s="2124" customFormat="1" ht="15" customHeight="1">
      <c r="A103" s="2381"/>
      <c r="B103" s="2381" t="s">
        <v>168</v>
      </c>
      <c r="C103" s="2381"/>
      <c r="D103" s="1975">
        <f>'Exhibit G State'!D103+'Exhibit G Federal'!D74</f>
        <v>92.300000000000011</v>
      </c>
      <c r="E103" s="2467"/>
      <c r="F103" s="1975">
        <f>'Exhibit G State'!F103+'Exhibit G Federal'!F74</f>
        <v>93.9</v>
      </c>
      <c r="G103" s="2467"/>
      <c r="H103" s="1975"/>
      <c r="I103" s="2445"/>
      <c r="J103" s="1975"/>
      <c r="K103" s="2457"/>
      <c r="L103" s="1975"/>
      <c r="M103" s="2457"/>
      <c r="N103" s="1975"/>
      <c r="O103" s="2457"/>
      <c r="P103" s="1975"/>
      <c r="Q103" s="2457"/>
      <c r="R103" s="1975"/>
      <c r="S103" s="2457"/>
      <c r="T103" s="1975"/>
      <c r="U103" s="2457"/>
      <c r="V103" s="1975"/>
      <c r="W103" s="2457"/>
      <c r="X103" s="1975"/>
      <c r="Y103" s="2457"/>
      <c r="Z103" s="1975"/>
      <c r="AA103" s="1975"/>
      <c r="AB103" s="1938">
        <v>0</v>
      </c>
      <c r="AC103" s="1982"/>
      <c r="AD103" s="1938">
        <f>ROUND(SUM(D103:Z103),1)</f>
        <v>186.2</v>
      </c>
      <c r="AE103" s="1938"/>
      <c r="AF103" s="1982"/>
      <c r="AG103" s="1975">
        <f>'Exhibit G State'!AG103+'Exhibit G Federal'!AG74</f>
        <v>175.6</v>
      </c>
      <c r="AH103" s="3363"/>
      <c r="AI103" s="1920"/>
      <c r="AJ103" s="1943">
        <f>ROUND(SUM(+AD103-AG103),1)</f>
        <v>10.6</v>
      </c>
      <c r="AK103" s="2465"/>
      <c r="AL103" s="1677">
        <f>ROUND(IF(AG103=0,0,AJ103/ABS(AG103)),3)</f>
        <v>0.06</v>
      </c>
    </row>
    <row r="104" spans="1:46" s="2124" customFormat="1" ht="15" customHeight="1">
      <c r="A104" s="2381"/>
      <c r="B104" s="2992" t="s">
        <v>1265</v>
      </c>
      <c r="C104" s="2381"/>
      <c r="D104" s="1975"/>
      <c r="E104" s="2467"/>
      <c r="F104" s="1975"/>
      <c r="G104" s="2467"/>
      <c r="H104" s="1975"/>
      <c r="I104" s="2445"/>
      <c r="J104" s="1975"/>
      <c r="K104" s="2457"/>
      <c r="L104" s="1975"/>
      <c r="M104" s="2457"/>
      <c r="N104" s="1975"/>
      <c r="O104" s="2457"/>
      <c r="P104" s="1975"/>
      <c r="Q104" s="2457"/>
      <c r="R104" s="1975"/>
      <c r="S104" s="2457"/>
      <c r="T104" s="1975"/>
      <c r="U104" s="2457"/>
      <c r="V104" s="1975"/>
      <c r="W104" s="2457"/>
      <c r="X104" s="1975"/>
      <c r="Y104" s="2457"/>
      <c r="Z104" s="1975"/>
      <c r="AA104" s="1975"/>
      <c r="AB104" s="1938"/>
      <c r="AC104" s="1982"/>
      <c r="AD104" s="1938"/>
      <c r="AE104" s="1938"/>
      <c r="AF104" s="1982"/>
      <c r="AG104" s="1975"/>
      <c r="AH104" s="3363"/>
      <c r="AI104" s="1920"/>
      <c r="AJ104" s="1943"/>
      <c r="AK104" s="2465"/>
      <c r="AL104" s="1677"/>
    </row>
    <row r="105" spans="1:46" s="2124" customFormat="1" ht="15" customHeight="1">
      <c r="A105" s="2381"/>
      <c r="B105" s="2992" t="s">
        <v>1355</v>
      </c>
      <c r="C105" s="2381"/>
      <c r="D105" s="1975">
        <f>'Exhibit G Federal'!D76</f>
        <v>0</v>
      </c>
      <c r="E105" s="2467"/>
      <c r="F105" s="1975">
        <f>'Exhibit G Federal'!F76</f>
        <v>0</v>
      </c>
      <c r="G105" s="2467"/>
      <c r="H105" s="1975"/>
      <c r="I105" s="2445"/>
      <c r="J105" s="1975"/>
      <c r="K105" s="2457"/>
      <c r="L105" s="1975"/>
      <c r="M105" s="2457"/>
      <c r="N105" s="1975"/>
      <c r="O105" s="2457"/>
      <c r="P105" s="1975"/>
      <c r="Q105" s="2457"/>
      <c r="R105" s="1975"/>
      <c r="S105" s="2457"/>
      <c r="T105" s="1975"/>
      <c r="U105" s="2457"/>
      <c r="V105" s="1975"/>
      <c r="W105" s="2457"/>
      <c r="X105" s="1975"/>
      <c r="Y105" s="2457"/>
      <c r="Z105" s="1975"/>
      <c r="AA105" s="1975"/>
      <c r="AB105" s="1938">
        <v>0</v>
      </c>
      <c r="AC105" s="1982"/>
      <c r="AD105" s="1938">
        <f>ROUND(SUM(D105:Z105),1)</f>
        <v>0</v>
      </c>
      <c r="AE105" s="1938"/>
      <c r="AF105" s="1982"/>
      <c r="AG105" s="1975">
        <f>'Exhibit G Federal'!AG76</f>
        <v>0</v>
      </c>
      <c r="AH105" s="3363"/>
      <c r="AI105" s="1920"/>
      <c r="AJ105" s="1943">
        <f>ROUND(SUM(+AD105-AG105),1)</f>
        <v>0</v>
      </c>
      <c r="AK105" s="2465"/>
      <c r="AL105" s="1677">
        <f>ROUND(IF(AG105=0,0,AJ105/ABS(AG105)),3)</f>
        <v>0</v>
      </c>
    </row>
    <row r="106" spans="1:46" s="2124" customFormat="1" ht="15" customHeight="1">
      <c r="A106" s="2381"/>
      <c r="B106" s="2381" t="s">
        <v>169</v>
      </c>
      <c r="C106" s="2381"/>
      <c r="D106" s="1975">
        <f>'Exhibit G State'!D104+'Exhibit G Federal'!D77</f>
        <v>0</v>
      </c>
      <c r="E106" s="2467"/>
      <c r="F106" s="1975">
        <f>'Exhibit G State'!F104+'Exhibit G Federal'!F77</f>
        <v>0</v>
      </c>
      <c r="G106" s="2467"/>
      <c r="H106" s="1975"/>
      <c r="I106" s="2445"/>
      <c r="J106" s="1975"/>
      <c r="K106" s="2457"/>
      <c r="L106" s="1975"/>
      <c r="M106" s="2457"/>
      <c r="N106" s="1975"/>
      <c r="O106" s="2457"/>
      <c r="P106" s="1975"/>
      <c r="Q106" s="2457"/>
      <c r="R106" s="1975"/>
      <c r="S106" s="2457"/>
      <c r="T106" s="1975"/>
      <c r="U106" s="2457"/>
      <c r="V106" s="1975"/>
      <c r="W106" s="2457"/>
      <c r="X106" s="1975"/>
      <c r="Y106" s="2457"/>
      <c r="Z106" s="1975"/>
      <c r="AA106" s="1975"/>
      <c r="AB106" s="2474">
        <v>0</v>
      </c>
      <c r="AC106" s="1982"/>
      <c r="AD106" s="1938">
        <f>ROUND(SUM(D106:Z106),1)</f>
        <v>0</v>
      </c>
      <c r="AE106" s="1938"/>
      <c r="AF106" s="1982"/>
      <c r="AG106" s="1975">
        <f>'Exhibit G State'!AG104+'Exhibit G Federal'!AG77</f>
        <v>0</v>
      </c>
      <c r="AH106" s="3363"/>
      <c r="AI106" s="1920"/>
      <c r="AJ106" s="1984">
        <f>ROUND(SUM(+AD106-AG106),1)</f>
        <v>0</v>
      </c>
      <c r="AK106" s="2475"/>
      <c r="AL106" s="1677">
        <f>ROUND(IF(AG106=0,0,AJ106/ABS(AG106)),3)</f>
        <v>0</v>
      </c>
    </row>
    <row r="107" spans="1:46" s="2124" customFormat="1" ht="15" customHeight="1">
      <c r="A107" s="2381"/>
      <c r="B107" s="2381"/>
      <c r="C107" s="2381"/>
      <c r="D107" s="1994"/>
      <c r="E107" s="2445"/>
      <c r="F107" s="1994"/>
      <c r="G107" s="2445"/>
      <c r="H107" s="2408"/>
      <c r="I107" s="2445"/>
      <c r="J107" s="2408"/>
      <c r="K107" s="2457"/>
      <c r="L107" s="1994"/>
      <c r="M107" s="2457"/>
      <c r="N107" s="1994"/>
      <c r="O107" s="2457"/>
      <c r="P107" s="1994"/>
      <c r="Q107" s="2457"/>
      <c r="R107" s="1994"/>
      <c r="S107" s="2457"/>
      <c r="T107" s="1994"/>
      <c r="U107" s="2457"/>
      <c r="V107" s="1994"/>
      <c r="W107" s="2457"/>
      <c r="X107" s="1994"/>
      <c r="Y107" s="2457"/>
      <c r="Z107" s="1994"/>
      <c r="AA107" s="1920"/>
      <c r="AB107" s="1938"/>
      <c r="AC107" s="1982"/>
      <c r="AD107" s="1994"/>
      <c r="AE107" s="1938"/>
      <c r="AF107" s="1982"/>
      <c r="AG107" s="1994"/>
      <c r="AH107" s="3363"/>
      <c r="AI107" s="1920"/>
      <c r="AJ107" s="2485"/>
      <c r="AL107" s="2486"/>
    </row>
    <row r="108" spans="1:46" s="2124" customFormat="1" ht="15" customHeight="1">
      <c r="A108" s="2381"/>
      <c r="B108" s="2468" t="s">
        <v>153</v>
      </c>
      <c r="C108" s="2381"/>
      <c r="D108" s="1993">
        <f>ROUND(SUM(D99:D106),1)</f>
        <v>7914.1</v>
      </c>
      <c r="E108" s="2445"/>
      <c r="F108" s="1993">
        <f>ROUND(SUM(F99:F106),1)</f>
        <v>8093.3</v>
      </c>
      <c r="G108" s="2445"/>
      <c r="H108" s="1429">
        <f>ROUND(SUM(H99:H106),1)</f>
        <v>0</v>
      </c>
      <c r="I108" s="2445"/>
      <c r="J108" s="1429">
        <f>ROUND(SUM(J99:J106),1)</f>
        <v>0</v>
      </c>
      <c r="K108" s="2457"/>
      <c r="L108" s="1993">
        <f t="shared" ref="L108" si="28">ROUND(SUM(L99:L106),1)</f>
        <v>0</v>
      </c>
      <c r="M108" s="2457"/>
      <c r="N108" s="1993">
        <f t="shared" ref="N108" si="29">ROUND(SUM(N99:N106),1)</f>
        <v>0</v>
      </c>
      <c r="O108" s="2457"/>
      <c r="P108" s="1993">
        <f t="shared" ref="P108" si="30">ROUND(SUM(P99:P106),1)</f>
        <v>0</v>
      </c>
      <c r="Q108" s="2457"/>
      <c r="R108" s="1993">
        <f t="shared" ref="R108:T108" si="31">ROUND(SUM(R99:R106),1)</f>
        <v>0</v>
      </c>
      <c r="S108" s="2457"/>
      <c r="T108" s="1993">
        <f t="shared" si="31"/>
        <v>0</v>
      </c>
      <c r="U108" s="2457"/>
      <c r="V108" s="1993">
        <f t="shared" ref="V108:X108" si="32">ROUND(SUM(V99:V106),1)</f>
        <v>0</v>
      </c>
      <c r="W108" s="2457"/>
      <c r="X108" s="1993">
        <f t="shared" si="32"/>
        <v>0</v>
      </c>
      <c r="Y108" s="2457"/>
      <c r="Z108" s="1993">
        <f t="shared" ref="Z108" si="33">ROUND(SUM(Z99:Z106),1)</f>
        <v>0</v>
      </c>
      <c r="AA108" s="1993"/>
      <c r="AB108" s="2487">
        <v>0</v>
      </c>
      <c r="AC108" s="2469"/>
      <c r="AD108" s="1993">
        <f>ROUND(SUM(AD99:AD106),1)</f>
        <v>16007.4</v>
      </c>
      <c r="AE108" s="1993"/>
      <c r="AF108" s="2469"/>
      <c r="AG108" s="1993">
        <f>ROUND(SUM(AG99:AG106),1)</f>
        <v>12900.6</v>
      </c>
      <c r="AH108" s="3366"/>
      <c r="AI108" s="1430"/>
      <c r="AJ108" s="1997">
        <f>ROUND(SUM(AJ99:AJ106),1)</f>
        <v>3106.8</v>
      </c>
      <c r="AK108" s="2353"/>
      <c r="AL108" s="2488">
        <f>ROUND(SUM(+AJ108/AG108),3)</f>
        <v>0.24099999999999999</v>
      </c>
    </row>
    <row r="109" spans="1:46" ht="15" customHeight="1">
      <c r="A109" s="1987"/>
      <c r="B109" s="1987"/>
      <c r="C109" s="1987"/>
      <c r="D109" s="1948"/>
      <c r="F109" s="1948"/>
      <c r="H109" s="2408"/>
      <c r="J109" s="2408"/>
      <c r="L109" s="1948"/>
      <c r="N109" s="1948"/>
      <c r="P109" s="1948"/>
      <c r="R109" s="1948"/>
      <c r="T109" s="1948"/>
      <c r="V109" s="1948"/>
      <c r="X109" s="1948"/>
      <c r="Z109" s="1948"/>
      <c r="AA109" s="1950"/>
      <c r="AB109" s="1949"/>
      <c r="AC109" s="1980"/>
      <c r="AD109" s="1994"/>
      <c r="AE109" s="1938"/>
      <c r="AF109" s="1982"/>
      <c r="AG109" s="1994"/>
      <c r="AH109" s="3363"/>
      <c r="AI109" s="1950"/>
      <c r="AJ109" s="1411"/>
      <c r="AL109" s="1400"/>
    </row>
    <row r="110" spans="1:46" ht="15" customHeight="1">
      <c r="A110" s="1987"/>
      <c r="B110" s="2343" t="s">
        <v>154</v>
      </c>
      <c r="C110" s="1987"/>
      <c r="D110" s="1949"/>
      <c r="F110" s="1949"/>
      <c r="H110" s="1411"/>
      <c r="J110" s="1411"/>
      <c r="L110" s="1949"/>
      <c r="N110" s="1949"/>
      <c r="P110" s="1949"/>
      <c r="R110" s="1949"/>
      <c r="T110" s="1949"/>
      <c r="V110" s="1949"/>
      <c r="X110" s="1949"/>
      <c r="Z110" s="1949"/>
      <c r="AA110" s="1949"/>
      <c r="AB110" s="1949"/>
      <c r="AC110" s="1980"/>
      <c r="AD110" s="1938" t="s">
        <v>155</v>
      </c>
      <c r="AE110" s="3341"/>
      <c r="AF110" s="3342"/>
      <c r="AG110" s="1938"/>
      <c r="AH110" s="3368"/>
      <c r="AI110" s="2489"/>
      <c r="AJ110" s="1411"/>
      <c r="AL110" s="1400"/>
    </row>
    <row r="111" spans="1:46" ht="15" customHeight="1">
      <c r="A111" s="1987"/>
      <c r="B111" s="2343" t="s">
        <v>44</v>
      </c>
      <c r="C111" s="1987"/>
      <c r="D111" s="1429">
        <f>ROUND(SUM(D85-D108),1)</f>
        <v>674.2</v>
      </c>
      <c r="F111" s="1429">
        <f>ROUND(SUM(F85-F108),1)</f>
        <v>845.7</v>
      </c>
      <c r="G111" s="1429">
        <f>ROUND(SUM(G85-G108),1)</f>
        <v>0</v>
      </c>
      <c r="H111" s="1429">
        <f>ROUND(SUM(H85-H108),1)</f>
        <v>0</v>
      </c>
      <c r="J111" s="1429">
        <f>ROUND(SUM(J85-J108),1)</f>
        <v>0</v>
      </c>
      <c r="L111" s="1429">
        <f>ROUND(SUM(L85-L108),1)</f>
        <v>0</v>
      </c>
      <c r="N111" s="1429">
        <f>ROUND(SUM(N85-N108),1)</f>
        <v>0</v>
      </c>
      <c r="P111" s="1429">
        <f>ROUND(SUM(P85-P108),1)</f>
        <v>0</v>
      </c>
      <c r="R111" s="1429">
        <f>ROUND(SUM(R85-R108),1)</f>
        <v>0</v>
      </c>
      <c r="T111" s="1429">
        <f>ROUND(SUM(T85-T108),1)</f>
        <v>0</v>
      </c>
      <c r="V111" s="1429">
        <f>ROUND(SUM(V85-V108),1)</f>
        <v>0</v>
      </c>
      <c r="X111" s="1429">
        <f>ROUND(SUM(X85-X108),1)</f>
        <v>0</v>
      </c>
      <c r="Z111" s="1993">
        <f>ROUND(SUM(Z85-Z108),1)</f>
        <v>0</v>
      </c>
      <c r="AA111" s="1993"/>
      <c r="AB111" s="2487">
        <v>0</v>
      </c>
      <c r="AC111" s="2469"/>
      <c r="AD111" s="1993">
        <f>ROUND(SUM(AD85-AD108),1)</f>
        <v>1519.9</v>
      </c>
      <c r="AE111" s="1993"/>
      <c r="AF111" s="2469"/>
      <c r="AG111" s="1993">
        <f>ROUND(SUM(AG85-AG108),1)</f>
        <v>15720.4</v>
      </c>
      <c r="AH111" s="3366"/>
      <c r="AI111" s="1430"/>
      <c r="AJ111" s="1517">
        <f>ROUND(SUM(AJ85-AJ108),1)</f>
        <v>-14200.5</v>
      </c>
      <c r="AK111" s="2344"/>
      <c r="AL111" s="1810">
        <f>ROUND(SUM(+AJ111/ABS(AG111)),3)</f>
        <v>-0.90300000000000002</v>
      </c>
    </row>
    <row r="112" spans="1:46" ht="15" customHeight="1">
      <c r="A112" s="1987"/>
      <c r="B112" s="1987"/>
      <c r="C112" s="1987"/>
      <c r="D112" s="1948"/>
      <c r="F112" s="1948"/>
      <c r="H112" s="2408"/>
      <c r="J112" s="2408"/>
      <c r="L112" s="1948"/>
      <c r="N112" s="1948"/>
      <c r="P112" s="1948"/>
      <c r="R112" s="1948"/>
      <c r="T112" s="1948"/>
      <c r="V112" s="1948"/>
      <c r="X112" s="1948"/>
      <c r="Z112" s="1994"/>
      <c r="AA112" s="1920"/>
      <c r="AB112" s="1938"/>
      <c r="AC112" s="1982"/>
      <c r="AD112" s="1994"/>
      <c r="AE112" s="1938"/>
      <c r="AF112" s="1982"/>
      <c r="AG112" s="1994"/>
      <c r="AH112" s="3363"/>
      <c r="AI112" s="1920"/>
      <c r="AJ112" s="1943"/>
      <c r="AL112" s="1400"/>
    </row>
    <row r="113" spans="1:49" ht="15" customHeight="1">
      <c r="A113" s="1987"/>
      <c r="B113" s="2343" t="s">
        <v>45</v>
      </c>
      <c r="C113" s="1987"/>
      <c r="D113" s="1949"/>
      <c r="F113" s="1949"/>
      <c r="H113" s="1411"/>
      <c r="J113" s="1411"/>
      <c r="L113" s="1949"/>
      <c r="N113" s="1949"/>
      <c r="P113" s="1949"/>
      <c r="R113" s="1949"/>
      <c r="T113" s="1949"/>
      <c r="V113" s="1949"/>
      <c r="X113" s="1949"/>
      <c r="Z113" s="1943" t="s">
        <v>14</v>
      </c>
      <c r="AA113" s="1938"/>
      <c r="AB113" s="1938"/>
      <c r="AC113" s="1982"/>
      <c r="AD113" s="1938"/>
      <c r="AE113" s="1938"/>
      <c r="AF113" s="1982"/>
      <c r="AG113" s="1938"/>
      <c r="AH113" s="3363"/>
      <c r="AI113" s="1920"/>
      <c r="AJ113" s="1943"/>
      <c r="AL113" s="1400"/>
    </row>
    <row r="114" spans="1:49" s="2124" customFormat="1" ht="15" customHeight="1">
      <c r="A114" s="2381"/>
      <c r="B114" s="2381" t="s">
        <v>170</v>
      </c>
      <c r="C114" s="2381"/>
      <c r="D114" s="2490">
        <f>+'Exhibit G State'!D112+'Exhibit G Federal'!D85</f>
        <v>434.8</v>
      </c>
      <c r="E114" s="1975"/>
      <c r="F114" s="2490">
        <f>+'Exhibit G State'!F112+'Exhibit G Federal'!F85</f>
        <v>522.79999999999995</v>
      </c>
      <c r="G114" s="1975"/>
      <c r="H114" s="2490"/>
      <c r="I114" s="2490"/>
      <c r="J114" s="2490"/>
      <c r="K114" s="2457"/>
      <c r="L114" s="2490"/>
      <c r="M114" s="2457"/>
      <c r="N114" s="2490"/>
      <c r="O114" s="2457"/>
      <c r="P114" s="2490"/>
      <c r="Q114" s="2457"/>
      <c r="R114" s="2490"/>
      <c r="S114" s="2457"/>
      <c r="T114" s="2490"/>
      <c r="U114" s="2457"/>
      <c r="V114" s="2490"/>
      <c r="W114" s="2457"/>
      <c r="X114" s="2490"/>
      <c r="Y114" s="2457"/>
      <c r="Z114" s="2490"/>
      <c r="AA114" s="2062"/>
      <c r="AB114" s="1741">
        <v>-132.4</v>
      </c>
      <c r="AC114" s="1982"/>
      <c r="AD114" s="1938">
        <f>ROUND(SUM(D114:AB114),1)</f>
        <v>825.2</v>
      </c>
      <c r="AE114" s="1938"/>
      <c r="AF114" s="1982"/>
      <c r="AG114" s="1975">
        <f>'Exhibit G State'!AG112+'Exhibit G Federal'!AG85-143.5</f>
        <v>271</v>
      </c>
      <c r="AH114" s="3363"/>
      <c r="AI114" s="1920"/>
      <c r="AJ114" s="1984">
        <f>ROUND(SUM(+AD114-AG114),1)</f>
        <v>554.20000000000005</v>
      </c>
      <c r="AK114" s="2475"/>
      <c r="AL114" s="1677">
        <f>ROUND(IF(AG114=0,0,AJ114/ABS(AG114)),3)</f>
        <v>2.0449999999999999</v>
      </c>
    </row>
    <row r="115" spans="1:49" s="2124" customFormat="1" ht="15" customHeight="1">
      <c r="A115" s="2381"/>
      <c r="B115" s="2381" t="s">
        <v>171</v>
      </c>
      <c r="C115" s="2381"/>
      <c r="D115" s="2490">
        <f>+'Exhibit G State'!D113+'Exhibit G Federal'!D86</f>
        <v>-241.5</v>
      </c>
      <c r="E115" s="1975"/>
      <c r="F115" s="2490">
        <f>+'Exhibit G State'!F113+'Exhibit G Federal'!F86</f>
        <v>-142.19999999999996</v>
      </c>
      <c r="G115" s="1975"/>
      <c r="H115" s="2490"/>
      <c r="I115" s="2457"/>
      <c r="J115" s="2490"/>
      <c r="K115" s="2457"/>
      <c r="L115" s="2490"/>
      <c r="M115" s="2457"/>
      <c r="N115" s="2490"/>
      <c r="O115" s="2457"/>
      <c r="P115" s="2490"/>
      <c r="Q115" s="2457"/>
      <c r="R115" s="2490"/>
      <c r="S115" s="2457"/>
      <c r="T115" s="2490"/>
      <c r="U115" s="2457"/>
      <c r="V115" s="2490"/>
      <c r="W115" s="2457"/>
      <c r="X115" s="2490"/>
      <c r="Y115" s="2457"/>
      <c r="Z115" s="2490"/>
      <c r="AA115" s="2062"/>
      <c r="AB115" s="3324">
        <v>132.4</v>
      </c>
      <c r="AC115" s="1982"/>
      <c r="AD115" s="1938">
        <f>ROUND(SUM(D115:AB115),1)</f>
        <v>-251.3</v>
      </c>
      <c r="AE115" s="1938"/>
      <c r="AF115" s="1982"/>
      <c r="AG115" s="1975">
        <f>'Exhibit G State'!AG113+'Exhibit G Federal'!AG86+143.5</f>
        <v>-158</v>
      </c>
      <c r="AH115" s="3363"/>
      <c r="AI115" s="1920"/>
      <c r="AJ115" s="1984">
        <f>ROUND(SUM(+AD115-AG115)*-1,1)</f>
        <v>93.3</v>
      </c>
      <c r="AK115" s="2475"/>
      <c r="AL115" s="1677">
        <f>ROUND(IF(AG115=0,0,AJ115/ABS(AG115)),3)</f>
        <v>0.59099999999999997</v>
      </c>
    </row>
    <row r="116" spans="1:49" ht="15" customHeight="1">
      <c r="A116" s="1987"/>
      <c r="B116" s="1987"/>
      <c r="C116" s="1987"/>
      <c r="D116" s="1948"/>
      <c r="F116" s="1948"/>
      <c r="H116" s="1948"/>
      <c r="J116" s="1948"/>
      <c r="L116" s="1948"/>
      <c r="N116" s="1948"/>
      <c r="P116" s="1948"/>
      <c r="R116" s="1948"/>
      <c r="T116" s="1948"/>
      <c r="V116" s="1948"/>
      <c r="X116" s="1948"/>
      <c r="Z116" s="1994"/>
      <c r="AA116" s="1920"/>
      <c r="AB116" s="1938"/>
      <c r="AC116" s="1982"/>
      <c r="AD116" s="1994"/>
      <c r="AE116" s="1938"/>
      <c r="AF116" s="1982"/>
      <c r="AG116" s="1994"/>
      <c r="AH116" s="3363"/>
      <c r="AI116" s="1920"/>
      <c r="AJ116" s="2485"/>
      <c r="AL116" s="1414"/>
    </row>
    <row r="117" spans="1:49" ht="15" customHeight="1">
      <c r="A117" s="1987"/>
      <c r="B117" s="2343" t="s">
        <v>1073</v>
      </c>
      <c r="C117" s="1987"/>
      <c r="D117" s="1429">
        <f>ROUND(SUM(D114:D115),1)</f>
        <v>193.3</v>
      </c>
      <c r="F117" s="1429">
        <f>ROUND(SUM(F114:F115),1)</f>
        <v>380.6</v>
      </c>
      <c r="H117" s="1429">
        <f>ROUND(SUM(H114:H115),1)</f>
        <v>0</v>
      </c>
      <c r="J117" s="1429">
        <f>ROUND(SUM(J114:J115),1)</f>
        <v>0</v>
      </c>
      <c r="L117" s="1429">
        <f>ROUND(SUM(L114:L115),1)</f>
        <v>0</v>
      </c>
      <c r="N117" s="1429">
        <f>ROUND(SUM(N114:N115),1)</f>
        <v>0</v>
      </c>
      <c r="P117" s="1429">
        <f>ROUND(SUM(P114:P115),1)</f>
        <v>0</v>
      </c>
      <c r="R117" s="1429">
        <f>ROUND(SUM(R114:R115),1)</f>
        <v>0</v>
      </c>
      <c r="T117" s="1429">
        <f>ROUND(SUM(T114:T115),1)</f>
        <v>0</v>
      </c>
      <c r="V117" s="1429">
        <f>ROUND(SUM(V114:V115),1)</f>
        <v>0</v>
      </c>
      <c r="X117" s="1429">
        <f>ROUND(SUM(X114:X115),1)</f>
        <v>0</v>
      </c>
      <c r="Z117" s="1429">
        <f>ROUND(SUM(Z114:Z115),1)</f>
        <v>0</v>
      </c>
      <c r="AA117" s="1429"/>
      <c r="AB117" s="2478">
        <f>ROUND(SUM(AB114:AB115),1)</f>
        <v>0</v>
      </c>
      <c r="AC117" s="1983"/>
      <c r="AD117" s="1993">
        <f>ROUND(SUM(AD114:AD115),1)</f>
        <v>573.9</v>
      </c>
      <c r="AE117" s="1993"/>
      <c r="AF117" s="2469"/>
      <c r="AG117" s="1993">
        <f>ROUND(SUM(AG114:AG115),1)</f>
        <v>113</v>
      </c>
      <c r="AH117" s="3366"/>
      <c r="AI117" s="1412"/>
      <c r="AJ117" s="1995">
        <f>ROUND(SUM(AD117-AG117),1)</f>
        <v>460.9</v>
      </c>
      <c r="AK117" s="1996"/>
      <c r="AL117" s="1404">
        <f>ROUND(SUM(+AJ117/AG117),3)</f>
        <v>4.0789999999999997</v>
      </c>
    </row>
    <row r="118" spans="1:49" ht="15" customHeight="1">
      <c r="A118" s="1987"/>
      <c r="B118" s="1987"/>
      <c r="C118" s="1987"/>
      <c r="D118" s="1948"/>
      <c r="F118" s="1948"/>
      <c r="H118" s="1948"/>
      <c r="J118" s="1948"/>
      <c r="L118" s="1948"/>
      <c r="N118" s="1948"/>
      <c r="P118" s="1948"/>
      <c r="R118" s="1948"/>
      <c r="T118" s="1948"/>
      <c r="V118" s="1948"/>
      <c r="X118" s="1948"/>
      <c r="Z118" s="1948"/>
      <c r="AA118" s="1950"/>
      <c r="AB118" s="1949"/>
      <c r="AC118" s="1980"/>
      <c r="AD118" s="1994"/>
      <c r="AE118" s="1938"/>
      <c r="AF118" s="1982"/>
      <c r="AG118" s="1994"/>
      <c r="AH118" s="3363"/>
      <c r="AI118" s="1950"/>
      <c r="AJ118" s="1411"/>
      <c r="AL118" s="1400"/>
    </row>
    <row r="119" spans="1:49" ht="15" customHeight="1">
      <c r="A119" s="1987"/>
      <c r="B119" s="2343" t="s">
        <v>162</v>
      </c>
      <c r="C119" s="1987"/>
      <c r="D119" s="1949"/>
      <c r="F119" s="1949"/>
      <c r="H119" s="1949"/>
      <c r="J119" s="1949"/>
      <c r="L119" s="1949"/>
      <c r="N119" s="1949"/>
      <c r="P119" s="1949"/>
      <c r="R119" s="1949"/>
      <c r="T119" s="1949"/>
      <c r="V119" s="1949"/>
      <c r="X119" s="1949"/>
      <c r="Z119" s="1949"/>
      <c r="AA119" s="1949"/>
      <c r="AB119" s="1949"/>
      <c r="AC119" s="1980"/>
      <c r="AD119" s="1938"/>
      <c r="AE119" s="1938"/>
      <c r="AF119" s="1982"/>
      <c r="AG119" s="1938"/>
      <c r="AH119" s="3363"/>
      <c r="AI119" s="1950"/>
      <c r="AJ119" s="1411"/>
      <c r="AL119" s="1400"/>
    </row>
    <row r="120" spans="1:49" ht="15" customHeight="1">
      <c r="A120" s="1987"/>
      <c r="B120" s="2343" t="s">
        <v>163</v>
      </c>
      <c r="C120" s="1987"/>
      <c r="D120" s="1949"/>
      <c r="F120" s="1949"/>
      <c r="H120" s="1949"/>
      <c r="J120" s="1949"/>
      <c r="L120" s="1949"/>
      <c r="N120" s="1949"/>
      <c r="P120" s="1949"/>
      <c r="R120" s="1949"/>
      <c r="T120" s="1949"/>
      <c r="V120" s="1949"/>
      <c r="X120" s="1949"/>
      <c r="Z120" s="1949"/>
      <c r="AA120" s="1949"/>
      <c r="AB120" s="1949"/>
      <c r="AC120" s="1980"/>
      <c r="AD120" s="1938"/>
      <c r="AE120" s="1938"/>
      <c r="AF120" s="1982"/>
      <c r="AG120" s="1938"/>
      <c r="AH120" s="3363"/>
      <c r="AI120" s="1950"/>
      <c r="AJ120" s="1411"/>
      <c r="AL120" s="1400"/>
    </row>
    <row r="121" spans="1:49" ht="15" customHeight="1">
      <c r="A121" s="1987"/>
      <c r="B121" s="2343" t="s">
        <v>1074</v>
      </c>
      <c r="C121" s="1987"/>
      <c r="D121" s="1429">
        <f>ROUND(SUM(D111+D117),1)</f>
        <v>867.5</v>
      </c>
      <c r="F121" s="1429">
        <f>ROUND(SUM(F111+F117),1)</f>
        <v>1226.3</v>
      </c>
      <c r="H121" s="1429">
        <f>ROUND(SUM(H111+H117),1)</f>
        <v>0</v>
      </c>
      <c r="J121" s="1429">
        <f>ROUND(SUM(J111+J117),1)</f>
        <v>0</v>
      </c>
      <c r="L121" s="1429">
        <f>ROUND(SUM(L111+L117),1)</f>
        <v>0</v>
      </c>
      <c r="N121" s="1429">
        <f>ROUND(SUM(N111+N117),1)</f>
        <v>0</v>
      </c>
      <c r="P121" s="1429">
        <f>ROUND(SUM(P111+P117),1)</f>
        <v>0</v>
      </c>
      <c r="R121" s="1429">
        <f>ROUND(SUM(R111+R117),1)</f>
        <v>0</v>
      </c>
      <c r="T121" s="1429">
        <f>ROUND(SUM(T111+T117),1)</f>
        <v>0</v>
      </c>
      <c r="V121" s="1429">
        <f>ROUND(SUM(V111+V117),1)</f>
        <v>0</v>
      </c>
      <c r="X121" s="1429">
        <f>ROUND(SUM(X111+X117),1)</f>
        <v>0</v>
      </c>
      <c r="Z121" s="1429">
        <f>ROUND(SUM(Z111+Z117),1)</f>
        <v>0</v>
      </c>
      <c r="AA121" s="1429"/>
      <c r="AB121" s="2478">
        <f>ROUND(SUM(AB111+AB117),1)</f>
        <v>0</v>
      </c>
      <c r="AC121" s="1983"/>
      <c r="AD121" s="1993">
        <f>ROUND(SUM(AD111+AD117),1)</f>
        <v>2093.8000000000002</v>
      </c>
      <c r="AE121" s="1993"/>
      <c r="AF121" s="2469"/>
      <c r="AG121" s="1993">
        <f>ROUND(SUM(AG111+AG117),1)</f>
        <v>15833.4</v>
      </c>
      <c r="AH121" s="3366"/>
      <c r="AI121" s="1412"/>
      <c r="AJ121" s="1995">
        <f>ROUND(SUM(AD121-AG121),1)</f>
        <v>-13739.6</v>
      </c>
      <c r="AK121" s="2344"/>
      <c r="AL121" s="1810">
        <f>ROUND(SUM(AJ121/ABS(AG121)),3)</f>
        <v>-0.86799999999999999</v>
      </c>
    </row>
    <row r="122" spans="1:49" ht="15" customHeight="1">
      <c r="A122" s="1987"/>
      <c r="B122" s="1987"/>
      <c r="C122" s="1987"/>
      <c r="D122" s="2364"/>
      <c r="F122" s="2364"/>
      <c r="H122" s="2364"/>
      <c r="J122" s="2364"/>
      <c r="L122" s="2364"/>
      <c r="N122" s="2364"/>
      <c r="P122" s="2364"/>
      <c r="R122" s="2364"/>
      <c r="T122" s="2364"/>
      <c r="V122" s="2364"/>
      <c r="X122" s="2364"/>
      <c r="Z122" s="2364"/>
      <c r="AA122" s="1964"/>
      <c r="AC122" s="2455"/>
      <c r="AD122" s="2946"/>
      <c r="AF122" s="3339"/>
      <c r="AG122" s="2946"/>
      <c r="AH122" s="3362"/>
      <c r="AI122" s="1964"/>
      <c r="AJ122" s="1401"/>
      <c r="AL122" s="1400"/>
    </row>
    <row r="123" spans="1:49" ht="15" customHeight="1" thickBot="1">
      <c r="A123" s="1987"/>
      <c r="B123" s="2343" t="s">
        <v>1075</v>
      </c>
      <c r="C123" s="1987"/>
      <c r="D123" s="2371">
        <f>ROUND(SUM(D13+D121),1)</f>
        <v>22805.7</v>
      </c>
      <c r="F123" s="2371">
        <f>ROUND(SUM(F13+F121),1)</f>
        <v>24032</v>
      </c>
      <c r="H123" s="2371">
        <f>ROUND(SUM(H13+H121),1)</f>
        <v>0</v>
      </c>
      <c r="J123" s="2371">
        <f>ROUND(SUM(J13+J121),1)</f>
        <v>0</v>
      </c>
      <c r="L123" s="2371">
        <f>ROUND(SUM(L13+L121),1)</f>
        <v>0</v>
      </c>
      <c r="N123" s="2371">
        <f>ROUND(SUM(N13+N121),1)</f>
        <v>0</v>
      </c>
      <c r="P123" s="2371">
        <f>ROUND(SUM(P13+P121),1)</f>
        <v>0</v>
      </c>
      <c r="R123" s="2371">
        <f>ROUND(SUM(R13+R121),1)</f>
        <v>0</v>
      </c>
      <c r="T123" s="2371">
        <f>ROUND(SUM(T13+T121),1)</f>
        <v>0</v>
      </c>
      <c r="V123" s="2371">
        <f>ROUND(SUM(V13+V121),1)</f>
        <v>0</v>
      </c>
      <c r="X123" s="2371">
        <f>ROUND(SUM(X13+X121),1)</f>
        <v>0</v>
      </c>
      <c r="Z123" s="2371">
        <f>ROUND(SUM(Z13+Z121),1)</f>
        <v>0</v>
      </c>
      <c r="AA123" s="2371"/>
      <c r="AB123" s="2491">
        <f>ROUND(SUM(AB13+AB121),1)</f>
        <v>0</v>
      </c>
      <c r="AC123" s="2452"/>
      <c r="AD123" s="1972">
        <f>ROUND(SUM(AD13+AD121),1)</f>
        <v>24032</v>
      </c>
      <c r="AE123" s="1972"/>
      <c r="AF123" s="3338"/>
      <c r="AG123" s="2428">
        <f>ROUND(SUM(AG13+AG121),1)</f>
        <v>26502.7</v>
      </c>
      <c r="AH123" s="3361"/>
      <c r="AI123" s="1962"/>
      <c r="AJ123" s="2432">
        <f>ROUND(SUM(AD123-AG123),1)</f>
        <v>-2470.6999999999998</v>
      </c>
      <c r="AK123" s="2431"/>
      <c r="AL123" s="2433">
        <f>ROUND(SUM(+AJ123/AG123),3)</f>
        <v>-9.2999999999999999E-2</v>
      </c>
      <c r="AM123" s="1967"/>
      <c r="AN123" s="1967"/>
      <c r="AO123" s="1967"/>
      <c r="AP123" s="1967"/>
      <c r="AQ123" s="1967"/>
      <c r="AR123" s="1967"/>
      <c r="AS123" s="1967"/>
      <c r="AT123" s="1967"/>
      <c r="AU123" s="1967"/>
      <c r="AV123" s="1967"/>
      <c r="AW123" s="1967"/>
    </row>
    <row r="124" spans="1:49" ht="15" customHeight="1" thickTop="1">
      <c r="A124" s="1987"/>
      <c r="B124" s="1987"/>
      <c r="C124" s="1987"/>
      <c r="D124" s="2492"/>
      <c r="F124" s="2492"/>
      <c r="H124" s="2492"/>
      <c r="J124" s="2492"/>
      <c r="L124" s="2492"/>
      <c r="N124" s="2492"/>
      <c r="P124" s="2492"/>
      <c r="R124" s="2492"/>
      <c r="T124" s="2947"/>
      <c r="V124" s="2492"/>
      <c r="X124" s="2492"/>
      <c r="Z124" s="2492"/>
      <c r="AA124" s="2493"/>
      <c r="AB124" s="1967"/>
      <c r="AC124" s="1967"/>
      <c r="AD124" s="2947"/>
      <c r="AE124" s="2130"/>
      <c r="AF124" s="2130"/>
      <c r="AG124" s="2948"/>
      <c r="AH124" s="2948"/>
      <c r="AI124" s="1967"/>
      <c r="AJ124" s="2494"/>
      <c r="AK124" s="1967"/>
      <c r="AL124" s="1400"/>
      <c r="AM124" s="1967"/>
      <c r="AN124" s="1967"/>
      <c r="AO124" s="1967"/>
      <c r="AP124" s="1967"/>
      <c r="AQ124" s="1967"/>
      <c r="AR124" s="1967"/>
      <c r="AS124" s="1967"/>
      <c r="AT124" s="1967"/>
      <c r="AU124" s="1967"/>
      <c r="AV124" s="1967"/>
      <c r="AW124" s="1967"/>
    </row>
    <row r="125" spans="1:49" ht="15" customHeight="1">
      <c r="A125" s="1987"/>
      <c r="B125" s="1987"/>
      <c r="C125" s="1987"/>
      <c r="D125" s="2493"/>
      <c r="F125" s="2493"/>
      <c r="H125" s="2493"/>
      <c r="J125" s="2493"/>
      <c r="L125" s="2493"/>
      <c r="N125" s="2493"/>
      <c r="P125" s="2493"/>
      <c r="R125" s="2493"/>
      <c r="T125" s="2948"/>
      <c r="V125" s="2493"/>
      <c r="X125" s="2493"/>
      <c r="Z125" s="2493"/>
      <c r="AA125" s="2493"/>
      <c r="AB125" s="3645" t="s">
        <v>14</v>
      </c>
      <c r="AC125" s="2493"/>
      <c r="AD125" s="2948"/>
      <c r="AE125" s="2948"/>
      <c r="AF125" s="2948"/>
      <c r="AG125" s="2948"/>
      <c r="AH125" s="2948"/>
      <c r="AI125" s="1967"/>
      <c r="AJ125" s="2494"/>
      <c r="AK125" s="1967"/>
      <c r="AL125" s="1400"/>
      <c r="AM125" s="1967"/>
      <c r="AN125" s="1967"/>
      <c r="AO125" s="1967"/>
      <c r="AP125" s="1967"/>
      <c r="AQ125" s="1967"/>
      <c r="AR125" s="1967"/>
      <c r="AS125" s="1967"/>
      <c r="AT125" s="1967"/>
      <c r="AU125" s="1967"/>
      <c r="AV125" s="1967"/>
      <c r="AW125" s="1967"/>
    </row>
    <row r="126" spans="1:49" ht="15" customHeight="1">
      <c r="A126" s="2442"/>
      <c r="B126" s="1401" t="s">
        <v>1157</v>
      </c>
      <c r="D126" s="1967"/>
      <c r="F126" s="1967"/>
      <c r="H126" s="1967"/>
      <c r="J126" s="1967"/>
      <c r="L126" s="1967"/>
      <c r="N126" s="1967"/>
      <c r="P126" s="1967"/>
      <c r="R126" s="1967"/>
      <c r="T126" s="2130"/>
      <c r="V126" s="1967"/>
      <c r="X126" s="1967"/>
      <c r="Z126" s="1967"/>
      <c r="AA126" s="1967"/>
      <c r="AB126" s="2494" t="s">
        <v>14</v>
      </c>
      <c r="AC126" s="1967"/>
      <c r="AD126" s="2130"/>
      <c r="AE126" s="2130"/>
      <c r="AF126" s="2130"/>
      <c r="AG126" s="2130"/>
      <c r="AH126" s="2130"/>
      <c r="AI126" s="1967"/>
      <c r="AJ126" s="2494"/>
      <c r="AK126" s="1967"/>
      <c r="AL126" s="1400"/>
      <c r="AM126" s="1967"/>
      <c r="AN126" s="1967"/>
      <c r="AO126" s="1967"/>
      <c r="AP126" s="1967"/>
      <c r="AQ126" s="1967"/>
      <c r="AR126" s="1967"/>
      <c r="AS126" s="1967"/>
      <c r="AT126" s="1967"/>
      <c r="AU126" s="1967"/>
      <c r="AV126" s="1967"/>
      <c r="AW126" s="1967"/>
    </row>
    <row r="127" spans="1:49" ht="15" customHeight="1">
      <c r="B127" s="2668"/>
      <c r="D127" s="1967"/>
      <c r="F127" s="1967"/>
      <c r="H127" s="1967"/>
      <c r="J127" s="1967"/>
      <c r="L127" s="1967"/>
      <c r="N127" s="1967"/>
      <c r="P127" s="1967"/>
      <c r="R127" s="1967"/>
      <c r="T127" s="2130"/>
      <c r="V127" s="1967"/>
      <c r="X127" s="1967"/>
      <c r="Z127" s="1967"/>
      <c r="AA127" s="1967"/>
      <c r="AB127" s="1967"/>
      <c r="AC127" s="1967"/>
      <c r="AD127" s="2130"/>
      <c r="AE127" s="2130"/>
      <c r="AF127" s="2130"/>
      <c r="AG127" s="2130"/>
      <c r="AH127" s="2130"/>
      <c r="AI127" s="1967"/>
      <c r="AJ127" s="2494"/>
      <c r="AK127" s="1967"/>
      <c r="AL127" s="1400"/>
      <c r="AM127" s="1967"/>
      <c r="AN127" s="1967"/>
      <c r="AO127" s="1967"/>
      <c r="AP127" s="1967"/>
      <c r="AQ127" s="1967"/>
      <c r="AR127" s="1967"/>
      <c r="AS127" s="1967"/>
      <c r="AT127" s="1967"/>
      <c r="AU127" s="1967"/>
      <c r="AV127" s="1967"/>
      <c r="AW127" s="1967"/>
    </row>
    <row r="128" spans="1:49" ht="15" customHeight="1">
      <c r="AJ128" s="1401"/>
      <c r="AL128" s="1400"/>
    </row>
    <row r="129" spans="36:38" ht="15" customHeight="1">
      <c r="AJ129" s="1401"/>
      <c r="AL129" s="1400"/>
    </row>
    <row r="130" spans="36:38" ht="15" customHeight="1">
      <c r="AJ130" s="1401"/>
      <c r="AL130" s="1400"/>
    </row>
    <row r="131" spans="36:38" ht="15" customHeight="1">
      <c r="AJ131" s="1401"/>
      <c r="AL131" s="1400"/>
    </row>
    <row r="132" spans="36:38" ht="15" customHeight="1">
      <c r="AJ132" s="1401"/>
      <c r="AL132" s="1400"/>
    </row>
    <row r="133" spans="36:38" ht="15" customHeight="1">
      <c r="AJ133" s="1401"/>
      <c r="AL133" s="1400"/>
    </row>
    <row r="134" spans="36:38" ht="15" customHeight="1">
      <c r="AJ134" s="1401"/>
      <c r="AL134" s="1400"/>
    </row>
    <row r="135" spans="36:38" ht="15" customHeight="1">
      <c r="AJ135" s="1401"/>
      <c r="AL135" s="1400"/>
    </row>
    <row r="136" spans="36:38" ht="15" customHeight="1">
      <c r="AJ136" s="1401"/>
      <c r="AL136" s="1400"/>
    </row>
    <row r="137" spans="36:38" ht="15" customHeight="1">
      <c r="AJ137" s="1401"/>
      <c r="AL137" s="1400"/>
    </row>
    <row r="138" spans="36:38" ht="15" customHeight="1">
      <c r="AJ138" s="1401"/>
      <c r="AL138" s="1400"/>
    </row>
    <row r="139" spans="36:38" ht="15" customHeight="1">
      <c r="AJ139" s="1401"/>
      <c r="AL139" s="1400"/>
    </row>
    <row r="140" spans="36:38" ht="15" customHeight="1">
      <c r="AJ140" s="1401"/>
      <c r="AL140" s="1400"/>
    </row>
    <row r="141" spans="36:38" ht="15" customHeight="1">
      <c r="AJ141" s="1401"/>
      <c r="AL141" s="1400"/>
    </row>
    <row r="142" spans="36:38" ht="15" customHeight="1">
      <c r="AJ142" s="1401"/>
      <c r="AL142" s="1400"/>
    </row>
    <row r="143" spans="36:38" ht="15" customHeight="1">
      <c r="AJ143" s="1401"/>
      <c r="AL143" s="1400"/>
    </row>
    <row r="144" spans="36:38" ht="15" customHeight="1">
      <c r="AJ144" s="1401"/>
      <c r="AL144" s="1400"/>
    </row>
    <row r="145" spans="36:38" ht="15" customHeight="1">
      <c r="AJ145" s="1401"/>
      <c r="AL145" s="1400"/>
    </row>
    <row r="146" spans="36:38" ht="15" customHeight="1">
      <c r="AJ146" s="1401"/>
      <c r="AL146" s="1400"/>
    </row>
    <row r="147" spans="36:38" ht="15" customHeight="1">
      <c r="AJ147" s="1401"/>
      <c r="AL147" s="1400"/>
    </row>
    <row r="148" spans="36:38" ht="15" customHeight="1">
      <c r="AJ148" s="1401"/>
      <c r="AL148" s="1400"/>
    </row>
    <row r="149" spans="36:38" ht="15" customHeight="1">
      <c r="AJ149" s="1401"/>
      <c r="AL149" s="1400"/>
    </row>
    <row r="150" spans="36:38" ht="15" customHeight="1">
      <c r="AJ150" s="1401"/>
      <c r="AL150" s="1400"/>
    </row>
    <row r="151" spans="36:38" ht="15" customHeight="1">
      <c r="AJ151" s="1401"/>
      <c r="AL151" s="1400"/>
    </row>
    <row r="152" spans="36:38" ht="15" customHeight="1">
      <c r="AJ152" s="1401"/>
      <c r="AL152" s="1400"/>
    </row>
    <row r="153" spans="36:38" ht="15" customHeight="1">
      <c r="AJ153" s="1401"/>
      <c r="AL153" s="1400"/>
    </row>
    <row r="154" spans="36:38" ht="15" customHeight="1">
      <c r="AJ154" s="1401"/>
      <c r="AL154" s="1400"/>
    </row>
    <row r="155" spans="36:38" ht="15" customHeight="1">
      <c r="AJ155" s="1401"/>
      <c r="AL155" s="1400"/>
    </row>
    <row r="156" spans="36:38" ht="15" customHeight="1">
      <c r="AJ156" s="1401"/>
      <c r="AL156" s="1400"/>
    </row>
    <row r="157" spans="36:38" ht="15" customHeight="1">
      <c r="AJ157" s="1401"/>
      <c r="AL157" s="1400"/>
    </row>
    <row r="158" spans="36:38" ht="15" customHeight="1">
      <c r="AJ158" s="1401"/>
      <c r="AL158" s="1400"/>
    </row>
    <row r="159" spans="36:38" ht="15" customHeight="1">
      <c r="AJ159" s="1401"/>
      <c r="AL159" s="1400"/>
    </row>
    <row r="160" spans="36:38" ht="15" customHeight="1">
      <c r="AJ160" s="1401"/>
      <c r="AL160" s="1400"/>
    </row>
    <row r="161" spans="36:38" ht="15" customHeight="1">
      <c r="AJ161" s="1401"/>
      <c r="AL161" s="1400"/>
    </row>
    <row r="162" spans="36:38" ht="15" customHeight="1">
      <c r="AJ162" s="1401"/>
      <c r="AL162" s="1400"/>
    </row>
    <row r="163" spans="36:38" ht="15" customHeight="1">
      <c r="AJ163" s="1401"/>
      <c r="AL163" s="1400"/>
    </row>
    <row r="164" spans="36:38" ht="15" customHeight="1">
      <c r="AJ164" s="1401"/>
      <c r="AL164" s="1400"/>
    </row>
    <row r="165" spans="36:38" ht="15" customHeight="1">
      <c r="AJ165" s="1401"/>
      <c r="AL165" s="1400"/>
    </row>
    <row r="166" spans="36:38" ht="15" customHeight="1">
      <c r="AJ166" s="1401"/>
      <c r="AL166" s="1400"/>
    </row>
    <row r="167" spans="36:38" ht="15" customHeight="1">
      <c r="AJ167" s="1401"/>
      <c r="AL167" s="1400"/>
    </row>
    <row r="168" spans="36:38" ht="15" customHeight="1">
      <c r="AJ168" s="1401"/>
      <c r="AL168" s="1400"/>
    </row>
    <row r="169" spans="36:38" ht="15" customHeight="1">
      <c r="AJ169" s="1401"/>
      <c r="AL169" s="1400"/>
    </row>
    <row r="170" spans="36:38" ht="15" customHeight="1"/>
    <row r="171" spans="36:38" ht="15" customHeight="1"/>
    <row r="172" spans="36:38" ht="15" customHeight="1"/>
    <row r="173" spans="36:38" ht="15" customHeight="1"/>
    <row r="174" spans="36:38" ht="15" customHeight="1"/>
    <row r="175" spans="36:38" ht="15" customHeight="1"/>
  </sheetData>
  <mergeCells count="1">
    <mergeCell ref="AC9:AL9"/>
  </mergeCells>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6" min="1" max="37" man="1"/>
  </rowBreaks>
  <ignoredErrors>
    <ignoredError sqref="AL109:AL110 AL118:AL120 AL122 AL124 AL49:AL50 AL24:AL25 AL77:AL84 AL86:AL89 AL100:AL103 AL112:AL114 AL19:AL20 AL107 AL65:AL66 AL28:AL32 AL116 AL62 AL91:AL92 AL34:AL45 AL52:AL55 AL67:AL68 AL60 AL94:AL96 AL47" unlockedFormula="1"/>
    <ignoredError sqref="AL74:AL76 AL72 AL57 AL22" formula="1" unlockedFormula="1"/>
    <ignoredError sqref="AJ23:AL23 AL51 AL90 AL70 AL64 AL2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55" workbookViewId="0"/>
  </sheetViews>
  <sheetFormatPr defaultColWidth="8.6640625" defaultRowHeight="11.25"/>
  <cols>
    <col min="1" max="1" width="35.109375" style="2172" customWidth="1"/>
    <col min="2" max="2" width="9.109375" style="2172" customWidth="1"/>
    <col min="3" max="3" width="5.5546875" style="2172" customWidth="1"/>
    <col min="4" max="4" width="12.6640625" style="2173" bestFit="1" customWidth="1"/>
    <col min="5" max="5" width="1.6640625" style="2172" customWidth="1"/>
    <col min="6" max="6" width="13.44140625" style="2172" customWidth="1"/>
    <col min="7" max="7" width="2.109375" style="2172" customWidth="1"/>
    <col min="8" max="8" width="12.6640625" style="2173" bestFit="1" customWidth="1"/>
    <col min="9" max="9" width="1.6640625" style="2172" customWidth="1"/>
    <col min="10" max="10" width="13.6640625" style="2172" customWidth="1"/>
    <col min="11" max="11" width="1.6640625" style="2172" customWidth="1"/>
    <col min="12" max="12" width="11.6640625" style="2173" customWidth="1"/>
    <col min="13" max="13" width="2" style="2172" customWidth="1"/>
    <col min="14" max="14" width="13.6640625" style="2172" customWidth="1"/>
    <col min="15" max="15" width="1.6640625" style="2172" customWidth="1"/>
    <col min="16" max="16" width="13" style="2172" customWidth="1"/>
    <col min="17" max="17" width="1.6640625" style="2172" customWidth="1"/>
    <col min="18" max="18" width="13.109375" style="2172" customWidth="1"/>
    <col min="19" max="21" width="1.109375" style="2172" customWidth="1"/>
    <col min="22" max="22" width="12.6640625" style="2173" bestFit="1" customWidth="1"/>
    <col min="23" max="23" width="1.6640625" style="2172" customWidth="1"/>
    <col min="24" max="24" width="13.6640625" style="2174" customWidth="1"/>
    <col min="25" max="27" width="1.109375" style="2172" customWidth="1"/>
    <col min="28" max="28" width="12.109375" style="3316" customWidth="1"/>
    <col min="29" max="29" width="1.6640625" style="2174" customWidth="1"/>
    <col min="30" max="30" width="13.6640625" style="2174" customWidth="1"/>
    <col min="31" max="31" width="1" style="2174" customWidth="1"/>
    <col min="32" max="32" width="1" style="2172" customWidth="1"/>
    <col min="33" max="33" width="13.109375" style="2172" bestFit="1" customWidth="1"/>
    <col min="34" max="34" width="1.6640625" style="2172" customWidth="1"/>
    <col min="35" max="35" width="12.6640625" style="2175" customWidth="1"/>
    <col min="36" max="36" width="19.109375" style="2172" customWidth="1"/>
    <col min="37" max="16384" width="8.6640625" style="2172"/>
  </cols>
  <sheetData>
    <row r="1" spans="1:38" ht="15">
      <c r="A1" s="2171" t="s">
        <v>870</v>
      </c>
    </row>
    <row r="2" spans="1:38" ht="15">
      <c r="A2" s="2171"/>
    </row>
    <row r="3" spans="1:38" ht="20.25">
      <c r="A3" s="2176" t="s">
        <v>0</v>
      </c>
      <c r="B3" s="2177"/>
      <c r="C3" s="2177"/>
      <c r="D3" s="2177"/>
      <c r="E3" s="2177"/>
      <c r="F3" s="2177"/>
      <c r="G3" s="2177"/>
      <c r="H3" s="2177"/>
      <c r="I3" s="2177"/>
      <c r="J3" s="2177"/>
      <c r="K3" s="2177"/>
      <c r="L3" s="2177"/>
      <c r="M3" s="2177"/>
      <c r="N3" s="2177"/>
      <c r="O3" s="2177"/>
      <c r="P3" s="2177"/>
      <c r="Q3" s="2177"/>
      <c r="R3" s="2177"/>
      <c r="S3" s="2177"/>
      <c r="T3" s="2177"/>
      <c r="U3" s="2177"/>
      <c r="V3" s="2177"/>
      <c r="W3" s="2177"/>
      <c r="X3" s="3275"/>
      <c r="Y3" s="2177"/>
      <c r="Z3" s="2177"/>
      <c r="AA3" s="2177"/>
      <c r="AB3" s="3275"/>
      <c r="AC3" s="3275"/>
      <c r="AD3" s="3275"/>
      <c r="AE3" s="2177"/>
      <c r="AF3" s="2177"/>
      <c r="AG3" s="2177"/>
      <c r="AH3" s="2177"/>
      <c r="AI3" s="2178" t="s">
        <v>1437</v>
      </c>
      <c r="AJ3" s="2179"/>
    </row>
    <row r="4" spans="1:38" ht="20.25" customHeight="1">
      <c r="A4" s="3925" t="s">
        <v>1</v>
      </c>
      <c r="B4" s="3926"/>
      <c r="C4" s="3926"/>
      <c r="D4" s="3926"/>
      <c r="E4" s="3926"/>
      <c r="F4" s="3926"/>
      <c r="G4" s="3926"/>
      <c r="H4" s="3926"/>
      <c r="I4" s="3926"/>
      <c r="J4" s="3926"/>
      <c r="K4" s="3926"/>
      <c r="L4" s="3926"/>
      <c r="M4" s="3926"/>
      <c r="N4" s="3926"/>
      <c r="O4" s="3926"/>
      <c r="P4" s="3926"/>
      <c r="Q4" s="3926"/>
      <c r="R4" s="3926"/>
      <c r="S4" s="3926"/>
      <c r="T4" s="3926"/>
      <c r="U4" s="3926"/>
      <c r="V4" s="3926"/>
      <c r="W4" s="3926"/>
      <c r="X4" s="3926"/>
      <c r="Y4" s="3926"/>
      <c r="Z4" s="3926"/>
      <c r="AA4" s="3926"/>
      <c r="AB4" s="3926"/>
      <c r="AC4" s="3926"/>
      <c r="AD4" s="3926"/>
      <c r="AE4" s="3926"/>
      <c r="AF4" s="3926"/>
      <c r="AG4" s="3926"/>
      <c r="AH4" s="3926"/>
      <c r="AI4" s="3926"/>
      <c r="AJ4" s="2179"/>
    </row>
    <row r="5" spans="1:38" ht="20.25">
      <c r="A5" s="3925" t="s">
        <v>783</v>
      </c>
      <c r="B5" s="3927"/>
      <c r="C5" s="3927"/>
      <c r="D5" s="3927"/>
      <c r="E5" s="3927"/>
      <c r="F5" s="3927"/>
      <c r="G5" s="3927"/>
      <c r="H5" s="3927"/>
      <c r="I5" s="3927"/>
      <c r="J5" s="3927"/>
      <c r="K5" s="3927"/>
      <c r="L5" s="3927"/>
      <c r="M5" s="3927"/>
      <c r="N5" s="3927"/>
      <c r="O5" s="3927"/>
      <c r="P5" s="3927"/>
      <c r="Q5" s="3927"/>
      <c r="R5" s="3927"/>
      <c r="S5" s="3927"/>
      <c r="T5" s="3927"/>
      <c r="U5" s="3927"/>
      <c r="V5" s="3927"/>
      <c r="W5" s="3927"/>
      <c r="X5" s="3927"/>
      <c r="Y5" s="3927"/>
      <c r="Z5" s="3927"/>
      <c r="AA5" s="3927"/>
      <c r="AB5" s="3927"/>
      <c r="AC5" s="3927"/>
      <c r="AD5" s="3927"/>
      <c r="AE5" s="3926"/>
      <c r="AF5" s="3926"/>
      <c r="AG5" s="3926"/>
      <c r="AH5" s="3926"/>
      <c r="AI5" s="3926"/>
      <c r="AJ5" s="2179"/>
    </row>
    <row r="6" spans="1:38" ht="21" customHeight="1">
      <c r="A6" s="3925" t="s">
        <v>1250</v>
      </c>
      <c r="B6" s="3926"/>
      <c r="C6" s="3926"/>
      <c r="D6" s="3926"/>
      <c r="E6" s="3926"/>
      <c r="F6" s="3926"/>
      <c r="G6" s="3926"/>
      <c r="H6" s="3926"/>
      <c r="I6" s="3926"/>
      <c r="J6" s="3926"/>
      <c r="K6" s="3926"/>
      <c r="L6" s="3926"/>
      <c r="M6" s="3926"/>
      <c r="N6" s="3926"/>
      <c r="O6" s="3926"/>
      <c r="P6" s="3926"/>
      <c r="Q6" s="3926"/>
      <c r="R6" s="3926"/>
      <c r="S6" s="3926"/>
      <c r="T6" s="3926"/>
      <c r="U6" s="3926"/>
      <c r="V6" s="3926"/>
      <c r="W6" s="3926"/>
      <c r="X6" s="3926"/>
      <c r="Y6" s="3926"/>
      <c r="Z6" s="3926"/>
      <c r="AA6" s="3926"/>
      <c r="AB6" s="3926"/>
      <c r="AC6" s="3926"/>
      <c r="AD6" s="3926"/>
      <c r="AE6" s="3926"/>
      <c r="AF6" s="3926"/>
      <c r="AG6" s="3926"/>
      <c r="AH6" s="3926"/>
      <c r="AI6" s="3926"/>
      <c r="AJ6" s="2179"/>
    </row>
    <row r="7" spans="1:38" ht="15.75">
      <c r="A7" s="1"/>
      <c r="B7" s="1"/>
      <c r="C7" s="1"/>
      <c r="D7" s="2180"/>
      <c r="E7" s="1"/>
      <c r="F7" s="1"/>
      <c r="G7" s="1"/>
      <c r="H7" s="2181"/>
      <c r="I7" s="2"/>
      <c r="J7" s="2"/>
      <c r="K7" s="2"/>
      <c r="L7" s="2181"/>
      <c r="M7" s="1"/>
      <c r="N7" s="2"/>
      <c r="O7" s="2"/>
      <c r="P7" s="2"/>
      <c r="Q7" s="2"/>
      <c r="R7" s="2"/>
      <c r="S7" s="1"/>
      <c r="T7" s="1"/>
      <c r="U7" s="1"/>
      <c r="V7" s="2180"/>
      <c r="W7" s="1"/>
      <c r="X7" s="2187"/>
      <c r="Y7" s="1"/>
      <c r="Z7" s="1"/>
      <c r="AA7" s="1"/>
      <c r="AB7" s="3317"/>
      <c r="AC7" s="2187"/>
      <c r="AD7" s="2182"/>
      <c r="AE7" s="2182"/>
      <c r="AF7" s="2183"/>
      <c r="AG7" s="2183"/>
      <c r="AJ7" s="2179"/>
      <c r="AK7" s="2179"/>
      <c r="AL7" s="2179"/>
    </row>
    <row r="8" spans="1:38" ht="16.350000000000001" customHeight="1">
      <c r="A8" s="2"/>
      <c r="B8" s="1"/>
      <c r="C8" s="1"/>
      <c r="D8" s="2181"/>
      <c r="E8" s="1"/>
      <c r="F8" s="1"/>
      <c r="G8" s="1"/>
      <c r="H8" s="2181"/>
      <c r="I8" s="2"/>
      <c r="J8" s="2"/>
      <c r="K8" s="2"/>
      <c r="L8" s="2181"/>
      <c r="M8" s="1"/>
      <c r="N8" s="2"/>
      <c r="O8" s="2"/>
      <c r="P8" s="2"/>
      <c r="Q8" s="2"/>
      <c r="R8" s="2"/>
      <c r="S8" s="1"/>
      <c r="T8" s="1"/>
      <c r="U8" s="1"/>
      <c r="V8" s="2180"/>
      <c r="W8" s="1"/>
      <c r="X8" s="2187"/>
      <c r="Y8" s="1"/>
      <c r="Z8" s="1"/>
      <c r="AA8" s="1"/>
      <c r="AB8" s="3317"/>
      <c r="AC8" s="2187"/>
      <c r="AD8" s="2184"/>
      <c r="AE8" s="2184"/>
      <c r="AF8" s="2185"/>
      <c r="AG8" s="2185"/>
      <c r="AI8" s="2179"/>
      <c r="AJ8" s="2179"/>
      <c r="AK8" s="2179"/>
      <c r="AL8" s="2179"/>
    </row>
    <row r="9" spans="1:38" ht="16.350000000000001" customHeight="1">
      <c r="A9" s="1"/>
      <c r="B9" s="1"/>
      <c r="C9" s="1"/>
      <c r="D9" s="1"/>
      <c r="E9" s="1"/>
      <c r="F9" s="1"/>
      <c r="G9" s="1"/>
      <c r="H9" s="2"/>
      <c r="I9" s="2"/>
      <c r="J9" s="2"/>
      <c r="K9" s="2"/>
      <c r="L9" s="2"/>
      <c r="M9" s="1"/>
      <c r="N9" s="2"/>
      <c r="O9" s="2"/>
      <c r="P9" s="2"/>
      <c r="Q9" s="2"/>
      <c r="R9" s="2"/>
      <c r="S9" s="1"/>
      <c r="T9" s="1"/>
      <c r="U9" s="2186"/>
      <c r="V9" s="1"/>
      <c r="W9" s="1"/>
      <c r="X9" s="2187"/>
      <c r="Y9" s="1"/>
      <c r="Z9" s="1"/>
      <c r="AA9" s="1"/>
      <c r="AB9" s="2187"/>
      <c r="AC9" s="2187"/>
      <c r="AD9" s="2188"/>
      <c r="AE9" s="2188"/>
      <c r="AF9" s="2189"/>
      <c r="AG9" s="2189"/>
      <c r="AI9" s="2171"/>
      <c r="AJ9" s="2179"/>
      <c r="AK9" s="2179"/>
      <c r="AL9" s="2179"/>
    </row>
    <row r="10" spans="1:38" ht="16.350000000000001" customHeight="1">
      <c r="A10" s="2190"/>
      <c r="B10" s="2190"/>
      <c r="C10" s="2190"/>
      <c r="D10" s="3" t="s">
        <v>2</v>
      </c>
      <c r="E10" s="3"/>
      <c r="F10" s="3"/>
      <c r="G10" s="2189"/>
      <c r="H10" s="3" t="s">
        <v>3</v>
      </c>
      <c r="I10" s="3"/>
      <c r="J10" s="3"/>
      <c r="K10" s="2189"/>
      <c r="L10" s="3" t="s">
        <v>4</v>
      </c>
      <c r="M10" s="3"/>
      <c r="N10" s="3"/>
      <c r="O10" s="2189"/>
      <c r="P10" s="3" t="s">
        <v>5</v>
      </c>
      <c r="Q10" s="3"/>
      <c r="R10" s="3"/>
      <c r="S10" s="2189"/>
      <c r="T10" s="2191"/>
      <c r="U10" s="2191"/>
      <c r="V10" s="3928" t="s">
        <v>1350</v>
      </c>
      <c r="W10" s="3929"/>
      <c r="X10" s="3929"/>
      <c r="Y10" s="3929"/>
      <c r="Z10" s="3929"/>
      <c r="AA10" s="3929"/>
      <c r="AB10" s="3929"/>
      <c r="AC10" s="3929"/>
      <c r="AD10" s="3929"/>
      <c r="AE10" s="3929"/>
      <c r="AF10" s="3929"/>
      <c r="AG10" s="3929"/>
      <c r="AH10" s="3929"/>
      <c r="AI10" s="3929"/>
      <c r="AJ10" s="1397"/>
      <c r="AK10" s="2179"/>
      <c r="AL10" s="2179"/>
    </row>
    <row r="11" spans="1:38" ht="16.350000000000001" customHeight="1">
      <c r="A11" s="2190"/>
      <c r="B11" s="2190"/>
      <c r="C11" s="2190"/>
      <c r="D11" s="5" t="s">
        <v>6</v>
      </c>
      <c r="E11" s="5"/>
      <c r="F11" s="4" t="s">
        <v>1510</v>
      </c>
      <c r="G11" s="2185"/>
      <c r="H11" s="5" t="s">
        <v>6</v>
      </c>
      <c r="I11" s="5"/>
      <c r="J11" s="5" t="str">
        <f>F11</f>
        <v>2 MOS. ENDED</v>
      </c>
      <c r="K11" s="2185"/>
      <c r="L11" s="5" t="s">
        <v>6</v>
      </c>
      <c r="M11" s="5"/>
      <c r="N11" s="5" t="str">
        <f>F11</f>
        <v>2 MOS. ENDED</v>
      </c>
      <c r="O11" s="2185"/>
      <c r="P11" s="5" t="s">
        <v>6</v>
      </c>
      <c r="Q11" s="5"/>
      <c r="R11" s="5" t="str">
        <f>J11</f>
        <v>2 MOS. ENDED</v>
      </c>
      <c r="S11" s="2185"/>
      <c r="T11" s="2185"/>
      <c r="U11" s="2192"/>
      <c r="V11" s="5" t="s">
        <v>6</v>
      </c>
      <c r="W11" s="5"/>
      <c r="X11" s="3914" t="str">
        <f>F11</f>
        <v>2 MOS. ENDED</v>
      </c>
      <c r="Y11" s="5"/>
      <c r="Z11" s="5"/>
      <c r="AA11" s="5"/>
      <c r="AB11" s="3789" t="s">
        <v>6</v>
      </c>
      <c r="AC11" s="3789"/>
      <c r="AD11" s="3789" t="str">
        <f>F11</f>
        <v>2 MOS. ENDED</v>
      </c>
      <c r="AE11" s="2193"/>
      <c r="AF11" s="5"/>
      <c r="AG11" s="5" t="s">
        <v>7</v>
      </c>
      <c r="AH11" s="2194"/>
      <c r="AI11" s="5" t="s">
        <v>8</v>
      </c>
      <c r="AJ11" s="2179"/>
      <c r="AK11" s="2179"/>
      <c r="AL11" s="2179"/>
    </row>
    <row r="12" spans="1:38" ht="16.350000000000001" customHeight="1">
      <c r="A12" s="2190"/>
      <c r="B12" s="2190"/>
      <c r="C12" s="2190"/>
      <c r="D12" s="881" t="s">
        <v>1504</v>
      </c>
      <c r="E12" s="2185"/>
      <c r="F12" s="881" t="s">
        <v>1505</v>
      </c>
      <c r="G12" s="2185"/>
      <c r="H12" s="6" t="str">
        <f>D12</f>
        <v>MAY 2022</v>
      </c>
      <c r="I12" s="2185"/>
      <c r="J12" s="6" t="str">
        <f>F12</f>
        <v>MAY 31, 2022</v>
      </c>
      <c r="K12" s="2185"/>
      <c r="L12" s="6" t="str">
        <f>D12</f>
        <v>MAY 2022</v>
      </c>
      <c r="M12" s="2185"/>
      <c r="N12" s="6" t="str">
        <f>F12</f>
        <v>MAY 31, 2022</v>
      </c>
      <c r="O12" s="2185"/>
      <c r="P12" s="6" t="str">
        <f>D12</f>
        <v>MAY 2022</v>
      </c>
      <c r="Q12" s="2185"/>
      <c r="R12" s="6" t="str">
        <f>J12</f>
        <v>MAY 31, 2022</v>
      </c>
      <c r="S12" s="2185"/>
      <c r="T12" s="2185"/>
      <c r="U12" s="2195"/>
      <c r="V12" s="6" t="str">
        <f>D12</f>
        <v>MAY 2022</v>
      </c>
      <c r="W12" s="2185"/>
      <c r="X12" s="2291" t="str">
        <f>F12</f>
        <v>MAY 31, 2022</v>
      </c>
      <c r="Y12" s="2185"/>
      <c r="Z12" s="2185"/>
      <c r="AA12" s="2185"/>
      <c r="AB12" s="3314" t="s">
        <v>1506</v>
      </c>
      <c r="AC12" s="2290"/>
      <c r="AD12" s="3314" t="s">
        <v>1507</v>
      </c>
      <c r="AE12" s="4"/>
      <c r="AF12" s="4"/>
      <c r="AG12" s="6" t="s">
        <v>11</v>
      </c>
      <c r="AH12" s="2171"/>
      <c r="AI12" s="881" t="s">
        <v>12</v>
      </c>
      <c r="AJ12" s="1397"/>
      <c r="AK12" s="2179"/>
      <c r="AL12" s="2179"/>
    </row>
    <row r="13" spans="1:38" ht="16.350000000000001" customHeight="1">
      <c r="A13" s="2189" t="s">
        <v>13</v>
      </c>
      <c r="B13" s="2190"/>
      <c r="C13" s="2190"/>
      <c r="D13" s="2196" t="s">
        <v>14</v>
      </c>
      <c r="E13" s="2190"/>
      <c r="F13" s="7"/>
      <c r="G13" s="2190"/>
      <c r="H13" s="2196" t="s">
        <v>14</v>
      </c>
      <c r="I13" s="2190"/>
      <c r="J13" s="7"/>
      <c r="K13" s="2190"/>
      <c r="L13" s="2196" t="s">
        <v>14</v>
      </c>
      <c r="M13" s="2190"/>
      <c r="N13" s="7"/>
      <c r="O13" s="2190"/>
      <c r="P13" s="596" t="s">
        <v>14</v>
      </c>
      <c r="Q13" s="2197"/>
      <c r="R13" s="596"/>
      <c r="S13" s="2198"/>
      <c r="T13" s="2198"/>
      <c r="U13" s="7"/>
      <c r="V13" s="2196"/>
      <c r="W13" s="2190"/>
      <c r="X13" s="2200"/>
      <c r="Y13" s="2198"/>
      <c r="Z13" s="2199"/>
      <c r="AA13" s="7"/>
      <c r="AB13" s="3318"/>
      <c r="AC13" s="2235"/>
      <c r="AD13" s="2200"/>
      <c r="AE13" s="2200"/>
      <c r="AF13" s="2201"/>
      <c r="AG13" s="7"/>
      <c r="AI13" s="1397"/>
      <c r="AJ13" s="1397"/>
      <c r="AK13" s="2179"/>
      <c r="AL13" s="2179"/>
    </row>
    <row r="14" spans="1:38" ht="18" customHeight="1">
      <c r="A14" s="2197" t="s">
        <v>1435</v>
      </c>
      <c r="B14" s="2223"/>
      <c r="C14" s="2190"/>
      <c r="D14" s="1335">
        <f>+'Exhibit F'!F26</f>
        <v>1362.1</v>
      </c>
      <c r="E14" s="2203" t="s">
        <v>14</v>
      </c>
      <c r="F14" s="637">
        <f>+'Exhibit F'!AC26</f>
        <v>8722.9</v>
      </c>
      <c r="G14" s="2203"/>
      <c r="H14" s="1335">
        <f>'Exhibit G'!F17</f>
        <v>0</v>
      </c>
      <c r="I14" s="2204"/>
      <c r="J14" s="637">
        <f>'Exhibit G'!AD17</f>
        <v>0</v>
      </c>
      <c r="K14" s="2203"/>
      <c r="L14" s="1392">
        <f>+'Exhibit H'!D16</f>
        <v>1362.0999999999995</v>
      </c>
      <c r="M14" s="637"/>
      <c r="N14" s="637">
        <f>+'Exhibit H'!AA16</f>
        <v>8722.9</v>
      </c>
      <c r="O14" s="637"/>
      <c r="P14" s="653">
        <v>0</v>
      </c>
      <c r="Q14" s="1335"/>
      <c r="R14" s="653">
        <v>0</v>
      </c>
      <c r="S14" s="2205"/>
      <c r="T14" s="2205"/>
      <c r="U14" s="2206"/>
      <c r="V14" s="1740">
        <f>ROUND(SUM(D14)+SUM(H14)+SUM(L14)+SUM(P14),1)</f>
        <v>2724.2</v>
      </c>
      <c r="W14" s="2298" t="s">
        <v>14</v>
      </c>
      <c r="X14" s="2298">
        <f>ROUND(SUM(F14)+SUM(J14)+SUM(N14)+SUM(R14),1)</f>
        <v>17445.8</v>
      </c>
      <c r="Y14" s="3805"/>
      <c r="Z14" s="2207"/>
      <c r="AA14" s="2208"/>
      <c r="AB14" s="3319">
        <v>9833</v>
      </c>
      <c r="AC14" s="3276"/>
      <c r="AD14" s="1759">
        <f>'Exhibit F'!AF26+'Exhibit G'!AG17+'Exhibit H'!AD16</f>
        <v>16358.8</v>
      </c>
      <c r="AE14" s="1759"/>
      <c r="AF14" s="2209"/>
      <c r="AG14" s="2203">
        <f t="shared" ref="AG14:AG19" si="0">ROUND(SUM(X14-AD14),1)</f>
        <v>1087</v>
      </c>
      <c r="AH14" s="2210"/>
      <c r="AI14" s="1394">
        <f t="shared" ref="AI14:AI19" si="1">ROUND(SUM((+X14-AD14)/ABS(AD14)),3)</f>
        <v>6.6000000000000003E-2</v>
      </c>
      <c r="AJ14" s="3803"/>
      <c r="AK14" s="2179"/>
      <c r="AL14" s="2179"/>
    </row>
    <row r="15" spans="1:38" ht="18" customHeight="1">
      <c r="A15" s="2190" t="s">
        <v>16</v>
      </c>
      <c r="B15" s="2202" t="s">
        <v>14</v>
      </c>
      <c r="C15" s="2190"/>
      <c r="D15" s="598">
        <f>+'Exhibit F'!F36</f>
        <v>374</v>
      </c>
      <c r="E15" s="9"/>
      <c r="F15" s="9">
        <f>+'Exhibit F'!AC36</f>
        <v>744.2</v>
      </c>
      <c r="G15" s="9"/>
      <c r="H15" s="598">
        <f>'Exhibit G'!F28</f>
        <v>148</v>
      </c>
      <c r="I15" s="9"/>
      <c r="J15" s="9">
        <f>+'Exhibit G'!AD28</f>
        <v>349.6</v>
      </c>
      <c r="K15" s="9"/>
      <c r="L15" s="1391">
        <f>'Exhibit H'!D20</f>
        <v>982.2</v>
      </c>
      <c r="M15" s="9"/>
      <c r="N15" s="9">
        <f>+'Exhibit H'!AA20</f>
        <v>1913.8</v>
      </c>
      <c r="O15" s="9"/>
      <c r="P15" s="1391">
        <f>'Exhibit I'!G23</f>
        <v>40.1</v>
      </c>
      <c r="Q15" s="598"/>
      <c r="R15" s="3378">
        <f>+'Exhibit I'!AF23</f>
        <v>82.9</v>
      </c>
      <c r="S15" s="2213"/>
      <c r="T15" s="2213"/>
      <c r="U15" s="14"/>
      <c r="V15" s="602">
        <f>ROUND(SUM(D15)+SUM(H15)+SUM(L15)+SUM(P15),1)</f>
        <v>1544.3</v>
      </c>
      <c r="W15" s="19" t="s">
        <v>14</v>
      </c>
      <c r="X15" s="19">
        <f t="shared" ref="X15:X19" si="2">ROUND(SUM(F15)+SUM(J15)+SUM(N15)+SUM(R15),1)</f>
        <v>3090.5</v>
      </c>
      <c r="Y15" s="2240"/>
      <c r="Z15" s="2214"/>
      <c r="AA15" s="14"/>
      <c r="AB15" s="1984">
        <v>1411.8</v>
      </c>
      <c r="AC15" s="19"/>
      <c r="AD15" s="2200">
        <f>'Exhibit F'!AF36+'Exhibit G'!AG28+'Exhibit H'!AD20+'Exhibit I'!AI23</f>
        <v>2889.5</v>
      </c>
      <c r="AE15" s="1393"/>
      <c r="AF15" s="2215"/>
      <c r="AG15" s="9">
        <f t="shared" si="0"/>
        <v>201</v>
      </c>
      <c r="AI15" s="1394">
        <f t="shared" si="1"/>
        <v>7.0000000000000007E-2</v>
      </c>
      <c r="AJ15" s="3803"/>
      <c r="AK15" s="2179"/>
      <c r="AL15" s="2179"/>
    </row>
    <row r="16" spans="1:38" ht="18" customHeight="1">
      <c r="A16" s="2190" t="s">
        <v>17</v>
      </c>
      <c r="B16" s="2216"/>
      <c r="C16" s="2190"/>
      <c r="D16" s="598">
        <f>+'Exhibit F'!F44</f>
        <v>111.3</v>
      </c>
      <c r="E16" s="9"/>
      <c r="F16" s="9">
        <f>+'Exhibit F'!AC44</f>
        <v>1271.0999999999999</v>
      </c>
      <c r="G16" s="9"/>
      <c r="H16" s="598">
        <f>'Exhibit G'!F35</f>
        <v>87.2</v>
      </c>
      <c r="I16" s="9"/>
      <c r="J16" s="9">
        <f>'Exhibit G'!AD35</f>
        <v>378.1</v>
      </c>
      <c r="K16" s="9"/>
      <c r="L16" s="1391">
        <f>'Exhibit H'!D23</f>
        <v>-24.2</v>
      </c>
      <c r="M16" s="9"/>
      <c r="N16" s="9">
        <f>+'Exhibit H'!AA23</f>
        <v>66.400000000000006</v>
      </c>
      <c r="O16" s="9"/>
      <c r="P16" s="1391">
        <f>'Exhibit I'!G28</f>
        <v>50.2</v>
      </c>
      <c r="Q16" s="598"/>
      <c r="R16" s="1391">
        <f>'Exhibit I'!AF28</f>
        <v>99.3</v>
      </c>
      <c r="S16" s="2213"/>
      <c r="T16" s="2213"/>
      <c r="U16" s="14"/>
      <c r="V16" s="602">
        <f t="shared" ref="V16:V19" si="3">ROUND(SUM(D16)+SUM(H16)+SUM(L16)+SUM(P16),1)</f>
        <v>224.5</v>
      </c>
      <c r="W16" s="19" t="s">
        <v>14</v>
      </c>
      <c r="X16" s="19">
        <f t="shared" si="2"/>
        <v>1814.9</v>
      </c>
      <c r="Y16" s="2240"/>
      <c r="Z16" s="2214"/>
      <c r="AA16" s="14"/>
      <c r="AB16" s="1984">
        <v>234.5</v>
      </c>
      <c r="AC16" s="19"/>
      <c r="AD16" s="2200">
        <f>'Exhibit F'!AF44+'Exhibit G'!AG35+'Exhibit I'!AI28</f>
        <v>1204.3</v>
      </c>
      <c r="AE16" s="1393"/>
      <c r="AF16" s="2215"/>
      <c r="AG16" s="9">
        <f t="shared" si="0"/>
        <v>610.6</v>
      </c>
      <c r="AI16" s="1394">
        <f t="shared" si="1"/>
        <v>0.50700000000000001</v>
      </c>
      <c r="AJ16" s="2211"/>
      <c r="AK16" s="2179"/>
      <c r="AL16" s="2179"/>
    </row>
    <row r="17" spans="1:38" ht="18" customHeight="1">
      <c r="A17" s="2190" t="s">
        <v>18</v>
      </c>
      <c r="B17" s="2202" t="s">
        <v>14</v>
      </c>
      <c r="C17" s="2190"/>
      <c r="D17" s="598">
        <f>+'Exhibit F'!F52</f>
        <v>127.4</v>
      </c>
      <c r="E17" s="9"/>
      <c r="F17" s="9">
        <f>+'Exhibit F'!AC52</f>
        <v>256.39999999999998</v>
      </c>
      <c r="G17" s="9"/>
      <c r="H17" s="598">
        <v>0</v>
      </c>
      <c r="I17" s="9"/>
      <c r="J17" s="9">
        <v>0</v>
      </c>
      <c r="K17" s="9"/>
      <c r="L17" s="1391">
        <f>'Exhibit H'!D27</f>
        <v>130.1</v>
      </c>
      <c r="M17" s="9"/>
      <c r="N17" s="9">
        <f>+'Exhibit H'!AA27</f>
        <v>282.7</v>
      </c>
      <c r="O17" s="9"/>
      <c r="P17" s="1391">
        <f>'Exhibit I'!G31</f>
        <v>0</v>
      </c>
      <c r="Q17" s="598"/>
      <c r="R17" s="1391">
        <f>'Exhibit I'!AF31</f>
        <v>0</v>
      </c>
      <c r="S17" s="2213"/>
      <c r="T17" s="2213"/>
      <c r="U17" s="14"/>
      <c r="V17" s="602">
        <f t="shared" si="3"/>
        <v>257.5</v>
      </c>
      <c r="W17" s="19" t="s">
        <v>14</v>
      </c>
      <c r="X17" s="19">
        <f t="shared" si="2"/>
        <v>539.1</v>
      </c>
      <c r="Y17" s="2240"/>
      <c r="Z17" s="2214"/>
      <c r="AA17" s="14"/>
      <c r="AB17" s="1984">
        <v>228.3</v>
      </c>
      <c r="AC17" s="19"/>
      <c r="AD17" s="1393">
        <f>'Exhibit F'!AF52+'Exhibit H'!AD27+'Exhibit I'!AI31</f>
        <v>447</v>
      </c>
      <c r="AE17" s="1393"/>
      <c r="AF17" s="2215"/>
      <c r="AG17" s="9">
        <f t="shared" si="0"/>
        <v>92.1</v>
      </c>
      <c r="AI17" s="1394">
        <f t="shared" si="1"/>
        <v>0.20599999999999999</v>
      </c>
      <c r="AJ17" s="3803" t="s">
        <v>14</v>
      </c>
      <c r="AK17" s="2179"/>
      <c r="AL17" s="2179"/>
    </row>
    <row r="18" spans="1:38" ht="18" customHeight="1">
      <c r="A18" s="2190" t="s">
        <v>19</v>
      </c>
      <c r="B18" s="2202" t="s">
        <v>14</v>
      </c>
      <c r="C18" s="2190"/>
      <c r="D18" s="598">
        <f>+'Exhibit F'!F95</f>
        <v>101</v>
      </c>
      <c r="E18" s="9"/>
      <c r="F18" s="9">
        <f>+'Exhibit F'!AC95</f>
        <v>298.89999999999998</v>
      </c>
      <c r="G18" s="9"/>
      <c r="H18" s="598">
        <f>'Exhibit G'!F81</f>
        <v>1366.9</v>
      </c>
      <c r="I18" s="9"/>
      <c r="J18" s="19">
        <f>+'Exhibit G'!AD81</f>
        <v>2845.4</v>
      </c>
      <c r="K18" s="19"/>
      <c r="L18" s="3378">
        <f>+'Exhibit H'!D50</f>
        <v>25.9</v>
      </c>
      <c r="M18" s="19"/>
      <c r="N18" s="19">
        <f>+'Exhibit H'!AA50</f>
        <v>84.5</v>
      </c>
      <c r="O18" s="19"/>
      <c r="P18" s="3378">
        <f>+'Exhibit I'!G61</f>
        <v>1067.4000000000001</v>
      </c>
      <c r="Q18" s="602"/>
      <c r="R18" s="602">
        <f>+'Exhibit I'!AF61</f>
        <v>2040.3</v>
      </c>
      <c r="S18" s="2240"/>
      <c r="T18" s="2240"/>
      <c r="U18" s="1393"/>
      <c r="V18" s="602">
        <f>ROUND(SUM(D18)+SUM(H18)+SUM(L18)+SUM(P18),1)</f>
        <v>2561.1999999999998</v>
      </c>
      <c r="W18" s="19" t="s">
        <v>14</v>
      </c>
      <c r="X18" s="19">
        <f t="shared" si="2"/>
        <v>5269.1</v>
      </c>
      <c r="Y18" s="2240"/>
      <c r="Z18" s="2241"/>
      <c r="AA18" s="1393"/>
      <c r="AB18" s="1984">
        <v>1568.7</v>
      </c>
      <c r="AC18" s="19"/>
      <c r="AD18" s="1393">
        <f>'Exhibit F'!AF95+'Exhibit G'!AG81+'Exhibit H'!AD50+'Exhibit I'!AI61</f>
        <v>3298.2000000000003</v>
      </c>
      <c r="AE18" s="1393"/>
      <c r="AF18" s="2215"/>
      <c r="AG18" s="9">
        <f t="shared" si="0"/>
        <v>1970.9</v>
      </c>
      <c r="AI18" s="1394">
        <f t="shared" si="1"/>
        <v>0.59799999999999998</v>
      </c>
      <c r="AJ18" s="3803"/>
      <c r="AK18" s="2171"/>
      <c r="AL18" s="2179"/>
    </row>
    <row r="19" spans="1:38" ht="18" customHeight="1">
      <c r="A19" s="2190" t="s">
        <v>20</v>
      </c>
      <c r="B19" s="2217"/>
      <c r="C19" s="2190"/>
      <c r="D19" s="598">
        <f>+'Exhibit F'!F97</f>
        <v>0.2</v>
      </c>
      <c r="E19" s="14"/>
      <c r="F19" s="9">
        <f>+'Exhibit F'!AC97</f>
        <v>0.2</v>
      </c>
      <c r="G19" s="9"/>
      <c r="H19" s="598">
        <f>'Exhibit G'!F83</f>
        <v>7336.9000000000005</v>
      </c>
      <c r="I19" s="9"/>
      <c r="J19" s="19">
        <f>+'Exhibit G'!AD83</f>
        <v>13954.2</v>
      </c>
      <c r="K19" s="19"/>
      <c r="L19" s="3378">
        <f>+'Exhibit H'!D52</f>
        <v>0</v>
      </c>
      <c r="M19" s="1393"/>
      <c r="N19" s="19">
        <f>+'Exhibit H'!AA52</f>
        <v>0</v>
      </c>
      <c r="O19" s="19"/>
      <c r="P19" s="3378">
        <f>+'Exhibit I'!G63</f>
        <v>166.20000000000002</v>
      </c>
      <c r="Q19" s="602"/>
      <c r="R19" s="602">
        <f>+'Exhibit I'!AF63</f>
        <v>300.60000000000002</v>
      </c>
      <c r="S19" s="2240"/>
      <c r="T19" s="2240"/>
      <c r="U19" s="1393"/>
      <c r="V19" s="1390">
        <f t="shared" si="3"/>
        <v>7503.3</v>
      </c>
      <c r="W19" s="19" t="s">
        <v>14</v>
      </c>
      <c r="X19" s="1393">
        <f t="shared" si="2"/>
        <v>14255</v>
      </c>
      <c r="Y19" s="2240"/>
      <c r="Z19" s="2241"/>
      <c r="AA19" s="1393"/>
      <c r="AB19" s="1984">
        <v>18246.199999999997</v>
      </c>
      <c r="AC19" s="19"/>
      <c r="AD19" s="1393">
        <f>'Exhibit F'!AF97+'Exhibit G'!AG83+'Exhibit H'!AD52+'Exhibit I'!AI63</f>
        <v>25410.400000000001</v>
      </c>
      <c r="AE19" s="1393"/>
      <c r="AF19" s="2215"/>
      <c r="AG19" s="9">
        <f t="shared" si="0"/>
        <v>-11155.4</v>
      </c>
      <c r="AI19" s="1394">
        <f t="shared" si="1"/>
        <v>-0.439</v>
      </c>
      <c r="AJ19" s="2211"/>
      <c r="AK19" s="2179"/>
      <c r="AL19" s="2179"/>
    </row>
    <row r="20" spans="1:38" ht="18" customHeight="1">
      <c r="A20" s="2189" t="s">
        <v>21</v>
      </c>
      <c r="B20" s="2190"/>
      <c r="C20" s="2190"/>
      <c r="D20" s="11">
        <f>ROUND(SUM(D14:D19),1)</f>
        <v>2076</v>
      </c>
      <c r="E20" s="2218"/>
      <c r="F20" s="11">
        <f>ROUND(SUM(F14:F19),1)</f>
        <v>11293.7</v>
      </c>
      <c r="G20" s="1336"/>
      <c r="H20" s="1516">
        <f>ROUND(SUM(H14:H19),1)</f>
        <v>8939</v>
      </c>
      <c r="I20" s="1336"/>
      <c r="J20" s="1516">
        <f>ROUND(SUM(J14:J19),1)</f>
        <v>17527.3</v>
      </c>
      <c r="K20" s="20"/>
      <c r="L20" s="3810">
        <f>ROUND(SUM(L14:L19),1)</f>
        <v>2476.1</v>
      </c>
      <c r="M20" s="20"/>
      <c r="N20" s="1516">
        <f>ROUND(SUM(N14:N19),1)</f>
        <v>11070.3</v>
      </c>
      <c r="O20" s="20"/>
      <c r="P20" s="1516">
        <f>ROUND(SUM(P14:P19),1)</f>
        <v>1323.9</v>
      </c>
      <c r="Q20" s="20"/>
      <c r="R20" s="1516">
        <f>ROUND(SUM(R14:R19),1)</f>
        <v>2523.1</v>
      </c>
      <c r="S20" s="2244"/>
      <c r="T20" s="2244"/>
      <c r="U20" s="1442"/>
      <c r="V20" s="1516">
        <f>ROUND(SUM(V14:V19),1)</f>
        <v>14815</v>
      </c>
      <c r="W20" s="20"/>
      <c r="X20" s="1516">
        <f>ROUND(SUM(X14:X19),1)</f>
        <v>42414.400000000001</v>
      </c>
      <c r="Y20" s="2244"/>
      <c r="Z20" s="2245"/>
      <c r="AA20" s="1442"/>
      <c r="AB20" s="1516">
        <f>ROUND(SUM(AB14:AB19),1)</f>
        <v>31522.5</v>
      </c>
      <c r="AC20" s="20"/>
      <c r="AD20" s="1516">
        <f>ROUND(SUM(AD14:AD19),1)</f>
        <v>49608.2</v>
      </c>
      <c r="AE20" s="1442"/>
      <c r="AF20" s="2220"/>
      <c r="AG20" s="12">
        <f>ROUND(SUM(AG14:AG19),1)</f>
        <v>-7193.8</v>
      </c>
      <c r="AH20" s="2221"/>
      <c r="AI20" s="1410">
        <f>(+X20-AD20)/ABS(AD20)</f>
        <v>-0.14501231651218943</v>
      </c>
      <c r="AJ20" s="2222" t="s">
        <v>14</v>
      </c>
      <c r="AK20" s="2179"/>
      <c r="AL20" s="2179"/>
    </row>
    <row r="21" spans="1:38" ht="16.350000000000001" customHeight="1">
      <c r="A21" s="2189"/>
      <c r="B21" s="2190"/>
      <c r="C21" s="2190"/>
      <c r="D21" s="599"/>
      <c r="E21" s="14"/>
      <c r="F21" s="14"/>
      <c r="G21" s="9"/>
      <c r="H21" s="599"/>
      <c r="I21" s="9"/>
      <c r="J21" s="1393"/>
      <c r="K21" s="19"/>
      <c r="L21" s="1390"/>
      <c r="M21" s="19"/>
      <c r="N21" s="1393"/>
      <c r="O21" s="19"/>
      <c r="P21" s="1390"/>
      <c r="Q21" s="602"/>
      <c r="R21" s="1390" t="s">
        <v>14</v>
      </c>
      <c r="S21" s="2240"/>
      <c r="T21" s="2240"/>
      <c r="U21" s="1393"/>
      <c r="V21" s="1390"/>
      <c r="W21" s="19"/>
      <c r="X21" s="1390"/>
      <c r="Y21" s="2240"/>
      <c r="Z21" s="2241"/>
      <c r="AA21" s="1393"/>
      <c r="AB21" s="1390"/>
      <c r="AC21" s="19"/>
      <c r="AD21" s="1393"/>
      <c r="AE21" s="1393"/>
      <c r="AF21" s="2215"/>
      <c r="AG21" s="14"/>
      <c r="AI21" s="1397"/>
      <c r="AJ21" s="7"/>
      <c r="AK21" s="2179"/>
      <c r="AL21" s="2179"/>
    </row>
    <row r="22" spans="1:38" ht="16.350000000000001" customHeight="1">
      <c r="A22" s="2189" t="s">
        <v>22</v>
      </c>
      <c r="B22" s="2190"/>
      <c r="C22" s="2190"/>
      <c r="D22" s="598"/>
      <c r="E22" s="9"/>
      <c r="F22" s="9"/>
      <c r="G22" s="9"/>
      <c r="H22" s="598"/>
      <c r="I22" s="9"/>
      <c r="J22" s="19"/>
      <c r="K22" s="19"/>
      <c r="L22" s="602"/>
      <c r="M22" s="19"/>
      <c r="N22" s="19"/>
      <c r="O22" s="19"/>
      <c r="P22" s="602"/>
      <c r="Q22" s="602"/>
      <c r="R22" s="602" t="s">
        <v>14</v>
      </c>
      <c r="S22" s="2240"/>
      <c r="T22" s="2240"/>
      <c r="U22" s="1393"/>
      <c r="V22" s="602"/>
      <c r="W22" s="19"/>
      <c r="X22" s="602" t="s">
        <v>14</v>
      </c>
      <c r="Y22" s="2240"/>
      <c r="Z22" s="2241"/>
      <c r="AA22" s="1393"/>
      <c r="AB22" s="602"/>
      <c r="AC22" s="19"/>
      <c r="AD22" s="1393"/>
      <c r="AE22" s="1393"/>
      <c r="AF22" s="2215"/>
      <c r="AG22" s="9"/>
      <c r="AI22" s="1397"/>
      <c r="AJ22" s="7"/>
      <c r="AK22" s="2179"/>
      <c r="AL22" s="2179"/>
    </row>
    <row r="23" spans="1:38" ht="16.350000000000001" customHeight="1">
      <c r="A23" s="2190" t="s">
        <v>23</v>
      </c>
      <c r="B23" s="2223" t="s">
        <v>14</v>
      </c>
      <c r="C23" s="2190"/>
      <c r="D23" s="601" t="s">
        <v>14</v>
      </c>
      <c r="E23" s="9"/>
      <c r="F23" s="10" t="s">
        <v>14</v>
      </c>
      <c r="G23" s="9"/>
      <c r="H23" s="600"/>
      <c r="I23" s="9"/>
      <c r="J23" s="2309"/>
      <c r="K23" s="19"/>
      <c r="L23" s="1742"/>
      <c r="M23" s="19"/>
      <c r="N23" s="2309"/>
      <c r="O23" s="19"/>
      <c r="P23" s="1742"/>
      <c r="Q23" s="602"/>
      <c r="R23" s="1742"/>
      <c r="S23" s="2240"/>
      <c r="T23" s="2240"/>
      <c r="U23" s="1393"/>
      <c r="V23" s="1742"/>
      <c r="W23" s="19"/>
      <c r="X23" s="2309"/>
      <c r="Y23" s="2240"/>
      <c r="Z23" s="2241"/>
      <c r="AA23" s="1393"/>
      <c r="AB23" s="1742"/>
      <c r="AC23" s="19"/>
      <c r="AD23" s="2309"/>
      <c r="AE23" s="1393"/>
      <c r="AF23" s="2215"/>
      <c r="AG23" s="15"/>
      <c r="AI23" s="2224"/>
      <c r="AJ23" s="7"/>
      <c r="AK23" s="2179"/>
      <c r="AL23" s="2179"/>
    </row>
    <row r="24" spans="1:38" ht="18" customHeight="1">
      <c r="A24" s="2225" t="s">
        <v>24</v>
      </c>
      <c r="B24" s="2190"/>
      <c r="C24" s="2190"/>
      <c r="D24" s="1339">
        <f>+'Exhibit F'!F103</f>
        <v>4347</v>
      </c>
      <c r="E24" s="9"/>
      <c r="F24" s="9">
        <f>+'Exhibit F'!AC103</f>
        <v>5783</v>
      </c>
      <c r="G24" s="9"/>
      <c r="H24" s="1391">
        <f>'Exhibit G'!F89</f>
        <v>758.80000000000007</v>
      </c>
      <c r="I24" s="9"/>
      <c r="J24" s="19">
        <f>+'Exhibit G'!AD89</f>
        <v>1304.3</v>
      </c>
      <c r="K24" s="19"/>
      <c r="L24" s="1743">
        <v>0</v>
      </c>
      <c r="M24" s="1393"/>
      <c r="N24" s="3713">
        <v>0</v>
      </c>
      <c r="O24" s="19"/>
      <c r="P24" s="3378">
        <f>'Exhibit I'!G69</f>
        <v>7.5999999999999979</v>
      </c>
      <c r="Q24" s="3378"/>
      <c r="R24" s="602">
        <f>+'Exhibit I'!AF69</f>
        <v>26.2</v>
      </c>
      <c r="S24" s="2240"/>
      <c r="T24" s="2240"/>
      <c r="U24" s="1393"/>
      <c r="V24" s="602">
        <f>ROUND(SUM(D24)+SUM(H24)+SUM(L24)+SUM(P24),1)</f>
        <v>5113.3999999999996</v>
      </c>
      <c r="W24" s="19" t="s">
        <v>14</v>
      </c>
      <c r="X24" s="19">
        <f>ROUND(SUM(F24)+SUM(J24)+SUM(N24)+SUM(R24),1)</f>
        <v>7113.5</v>
      </c>
      <c r="Y24" s="2240"/>
      <c r="Z24" s="2241"/>
      <c r="AA24" s="1393"/>
      <c r="AB24" s="1984">
        <v>4402.4000000000005</v>
      </c>
      <c r="AC24" s="19"/>
      <c r="AD24" s="1393">
        <f>'Exhibit F'!AF103+'Exhibit G'!AG89+'Exhibit I'!AI69</f>
        <v>5213</v>
      </c>
      <c r="AE24" s="3811"/>
      <c r="AF24" s="2226"/>
      <c r="AG24" s="9">
        <f>ROUND(SUM(X24-AD24),1)</f>
        <v>1900.5</v>
      </c>
      <c r="AI24" s="1394">
        <f>ROUND(SUM((+X24-AD24)/ABS(AD24)),3)</f>
        <v>0.36499999999999999</v>
      </c>
      <c r="AJ24" s="596"/>
      <c r="AK24" s="2179"/>
      <c r="AL24" s="2179"/>
    </row>
    <row r="25" spans="1:38" ht="18" customHeight="1">
      <c r="A25" s="2225" t="s">
        <v>25</v>
      </c>
      <c r="B25" s="2227"/>
      <c r="C25" s="2190"/>
      <c r="D25" s="1339">
        <f>+'Exhibit F'!F104</f>
        <v>0</v>
      </c>
      <c r="E25" s="9"/>
      <c r="F25" s="9">
        <f>+'Exhibit F'!AC104</f>
        <v>0.1</v>
      </c>
      <c r="G25" s="9"/>
      <c r="H25" s="1391">
        <f>'Exhibit G'!F90</f>
        <v>0.2</v>
      </c>
      <c r="I25" s="9"/>
      <c r="J25" s="19">
        <f>+'Exhibit G'!AD90</f>
        <v>0.2</v>
      </c>
      <c r="K25" s="19"/>
      <c r="L25" s="1743">
        <v>0</v>
      </c>
      <c r="M25" s="1393"/>
      <c r="N25" s="3713">
        <v>0</v>
      </c>
      <c r="O25" s="19"/>
      <c r="P25" s="3378">
        <f>'Exhibit I'!G70</f>
        <v>8.8999999999999986</v>
      </c>
      <c r="Q25" s="3378"/>
      <c r="R25" s="602">
        <f>+'Exhibit I'!AF70</f>
        <v>13.2</v>
      </c>
      <c r="S25" s="2240"/>
      <c r="T25" s="2240"/>
      <c r="U25" s="1393"/>
      <c r="V25" s="602">
        <f t="shared" ref="V25:V32" si="4">ROUND(SUM(D25)+SUM(H25)+SUM(L25)+SUM(P25),1)</f>
        <v>9.1</v>
      </c>
      <c r="W25" s="19" t="s">
        <v>14</v>
      </c>
      <c r="X25" s="19">
        <f t="shared" ref="X25:X32" si="5">ROUND(SUM(F25)+SUM(J25)+SUM(N25)+SUM(R25),1)</f>
        <v>13.5</v>
      </c>
      <c r="Y25" s="2240"/>
      <c r="Z25" s="2241"/>
      <c r="AA25" s="1393"/>
      <c r="AB25" s="1984">
        <v>9.6</v>
      </c>
      <c r="AC25" s="3277"/>
      <c r="AD25" s="1393">
        <f>'Exhibit F'!AF104+'Exhibit G'!AG90+'Exhibit I'!AI70</f>
        <v>39</v>
      </c>
      <c r="AE25" s="1393"/>
      <c r="AF25" s="2215"/>
      <c r="AG25" s="9">
        <f t="shared" ref="AG25:AG33" si="6">ROUND(SUM(X25-AD25),1)</f>
        <v>-25.5</v>
      </c>
      <c r="AI25" s="1394">
        <f t="shared" ref="AI25:AI32" si="7">ROUND(SUM((+X25-AD25)/ABS(AD25)),3)</f>
        <v>-0.65400000000000003</v>
      </c>
      <c r="AJ25" s="7"/>
      <c r="AK25" s="2179"/>
      <c r="AL25" s="2179"/>
    </row>
    <row r="26" spans="1:38" ht="18" customHeight="1">
      <c r="A26" s="2225" t="s">
        <v>26</v>
      </c>
      <c r="B26" s="2228"/>
      <c r="C26" s="2190"/>
      <c r="D26" s="1339">
        <f>+'Exhibit F'!F105</f>
        <v>41.7</v>
      </c>
      <c r="E26" s="9"/>
      <c r="F26" s="9">
        <f>+'Exhibit F'!AC105</f>
        <v>51.6</v>
      </c>
      <c r="G26" s="9"/>
      <c r="H26" s="1391">
        <f>'Exhibit G'!F91</f>
        <v>41.799999999999983</v>
      </c>
      <c r="I26" s="9"/>
      <c r="J26" s="19">
        <f>+'Exhibit G'!AD91</f>
        <v>174.8</v>
      </c>
      <c r="K26" s="19"/>
      <c r="L26" s="1743">
        <v>0</v>
      </c>
      <c r="M26" s="1393"/>
      <c r="N26" s="3713">
        <v>0</v>
      </c>
      <c r="O26" s="19"/>
      <c r="P26" s="3378">
        <f>'Exhibit I'!G71</f>
        <v>116.7</v>
      </c>
      <c r="Q26" s="3378"/>
      <c r="R26" s="602">
        <f>+'Exhibit I'!AF71</f>
        <v>129</v>
      </c>
      <c r="S26" s="2240"/>
      <c r="T26" s="2240"/>
      <c r="U26" s="1393"/>
      <c r="V26" s="602">
        <f t="shared" si="4"/>
        <v>200.2</v>
      </c>
      <c r="W26" s="19" t="s">
        <v>14</v>
      </c>
      <c r="X26" s="19">
        <f t="shared" si="5"/>
        <v>355.4</v>
      </c>
      <c r="Y26" s="2240"/>
      <c r="Z26" s="2241"/>
      <c r="AA26" s="1393"/>
      <c r="AB26" s="1984">
        <v>130.19999999999999</v>
      </c>
      <c r="AC26" s="19"/>
      <c r="AD26" s="1393">
        <f>'Exhibit F'!AF105+'Exhibit G'!AG91+'Exhibit I'!AI71</f>
        <v>167.1</v>
      </c>
      <c r="AE26" s="1393"/>
      <c r="AF26" s="2215"/>
      <c r="AG26" s="9">
        <f t="shared" si="6"/>
        <v>188.3</v>
      </c>
      <c r="AI26" s="1394">
        <f t="shared" si="7"/>
        <v>1.127</v>
      </c>
      <c r="AJ26" s="596"/>
      <c r="AK26" s="2179"/>
      <c r="AL26" s="2179"/>
    </row>
    <row r="27" spans="1:38" ht="18" customHeight="1">
      <c r="A27" s="2225" t="s">
        <v>27</v>
      </c>
      <c r="B27" s="2229"/>
      <c r="C27" s="2190"/>
      <c r="D27" s="598"/>
      <c r="E27" s="9"/>
      <c r="F27" s="9"/>
      <c r="G27" s="9"/>
      <c r="H27" s="1391"/>
      <c r="I27" s="9"/>
      <c r="J27" s="19" t="s">
        <v>14</v>
      </c>
      <c r="K27" s="19"/>
      <c r="L27" s="3812" t="s">
        <v>14</v>
      </c>
      <c r="M27" s="1393"/>
      <c r="N27" s="2305" t="s">
        <v>14</v>
      </c>
      <c r="O27" s="19"/>
      <c r="P27" s="3378"/>
      <c r="Q27" s="3378"/>
      <c r="R27" s="602"/>
      <c r="S27" s="2240"/>
      <c r="T27" s="2240"/>
      <c r="U27" s="1393"/>
      <c r="V27" s="602" t="s">
        <v>14</v>
      </c>
      <c r="W27" s="19"/>
      <c r="X27" s="602" t="s">
        <v>14</v>
      </c>
      <c r="Y27" s="2240"/>
      <c r="Z27" s="2241"/>
      <c r="AA27" s="1393"/>
      <c r="AB27" s="602"/>
      <c r="AC27" s="19"/>
      <c r="AD27" s="19"/>
      <c r="AE27" s="1393"/>
      <c r="AF27" s="2215"/>
      <c r="AG27" s="9"/>
      <c r="AI27" s="1406" t="s">
        <v>14</v>
      </c>
      <c r="AJ27" s="7"/>
      <c r="AK27" s="2179"/>
      <c r="AL27" s="2179"/>
    </row>
    <row r="28" spans="1:38" ht="18" customHeight="1">
      <c r="A28" s="2230" t="s">
        <v>28</v>
      </c>
      <c r="B28" s="2212"/>
      <c r="C28" s="2190"/>
      <c r="D28" s="1339">
        <f>+'Exhibit F'!F107</f>
        <v>1920.1</v>
      </c>
      <c r="E28" s="9"/>
      <c r="F28" s="9">
        <f>+'Exhibit F'!AC107</f>
        <v>3938.5</v>
      </c>
      <c r="G28" s="9"/>
      <c r="H28" s="1391">
        <f>'Exhibit G'!F93</f>
        <v>4446.7999999999993</v>
      </c>
      <c r="I28" s="9"/>
      <c r="J28" s="19">
        <f>+'Exhibit G'!AD93</f>
        <v>9692.7000000000007</v>
      </c>
      <c r="K28" s="19"/>
      <c r="L28" s="1743">
        <v>0</v>
      </c>
      <c r="M28" s="1393"/>
      <c r="N28" s="3713">
        <v>0</v>
      </c>
      <c r="O28" s="19"/>
      <c r="P28" s="3378">
        <f>'Exhibit I'!G73</f>
        <v>0</v>
      </c>
      <c r="Q28" s="3378"/>
      <c r="R28" s="1742">
        <f>+'Exhibit I'!AF73</f>
        <v>0</v>
      </c>
      <c r="S28" s="2240"/>
      <c r="T28" s="2240"/>
      <c r="U28" s="1393"/>
      <c r="V28" s="602">
        <f t="shared" si="4"/>
        <v>6366.9</v>
      </c>
      <c r="W28" s="19" t="s">
        <v>14</v>
      </c>
      <c r="X28" s="19">
        <f t="shared" si="5"/>
        <v>13631.2</v>
      </c>
      <c r="Y28" s="2240"/>
      <c r="Z28" s="2241"/>
      <c r="AA28" s="1393"/>
      <c r="AB28" s="1984">
        <v>5695.1</v>
      </c>
      <c r="AC28" s="19"/>
      <c r="AD28" s="1393">
        <f>'Exhibit F'!AF107+'Exhibit G'!AG93+'Exhibit I'!AI73</f>
        <v>12194.2</v>
      </c>
      <c r="AE28" s="1393"/>
      <c r="AF28" s="2215"/>
      <c r="AG28" s="9">
        <f t="shared" si="6"/>
        <v>1437</v>
      </c>
      <c r="AI28" s="1394">
        <f t="shared" si="7"/>
        <v>0.11799999999999999</v>
      </c>
      <c r="AJ28" s="596"/>
      <c r="AK28" s="2231"/>
      <c r="AL28" s="2179"/>
    </row>
    <row r="29" spans="1:38" ht="18" customHeight="1">
      <c r="A29" s="2225" t="s">
        <v>29</v>
      </c>
      <c r="B29" s="2212"/>
      <c r="C29" s="2190"/>
      <c r="D29" s="1339">
        <f>+'Exhibit F'!F108</f>
        <v>139.9</v>
      </c>
      <c r="E29" s="9"/>
      <c r="F29" s="9">
        <f>+'Exhibit F'!AC108</f>
        <v>206.3</v>
      </c>
      <c r="G29" s="9"/>
      <c r="H29" s="1391">
        <f>'Exhibit G'!F94</f>
        <v>669.09999999999991</v>
      </c>
      <c r="I29" s="9"/>
      <c r="J29" s="19">
        <f>+'Exhibit G'!AD94</f>
        <v>1196.5999999999999</v>
      </c>
      <c r="K29" s="19"/>
      <c r="L29" s="1743">
        <v>0</v>
      </c>
      <c r="M29" s="1393"/>
      <c r="N29" s="3713">
        <v>0</v>
      </c>
      <c r="O29" s="19"/>
      <c r="P29" s="3378">
        <f>'Exhibit I'!G74</f>
        <v>16.399999999999999</v>
      </c>
      <c r="Q29" s="3378"/>
      <c r="R29" s="602">
        <f>+'Exhibit I'!AF74</f>
        <v>60.3</v>
      </c>
      <c r="S29" s="2240"/>
      <c r="T29" s="2240"/>
      <c r="U29" s="1393"/>
      <c r="V29" s="602">
        <f t="shared" si="4"/>
        <v>825.4</v>
      </c>
      <c r="W29" s="19" t="s">
        <v>14</v>
      </c>
      <c r="X29" s="19">
        <f t="shared" si="5"/>
        <v>1463.2</v>
      </c>
      <c r="Y29" s="2240"/>
      <c r="Z29" s="2241"/>
      <c r="AA29" s="1393"/>
      <c r="AB29" s="1984">
        <v>688.7</v>
      </c>
      <c r="AC29" s="19"/>
      <c r="AD29" s="1393">
        <f>'Exhibit F'!AF108+'Exhibit G'!AG94+'Exhibit I'!AI74</f>
        <v>1340.6</v>
      </c>
      <c r="AE29" s="1393"/>
      <c r="AF29" s="2215"/>
      <c r="AG29" s="9">
        <f t="shared" si="6"/>
        <v>122.6</v>
      </c>
      <c r="AI29" s="1394">
        <f t="shared" si="7"/>
        <v>9.0999999999999998E-2</v>
      </c>
      <c r="AJ29" s="7"/>
      <c r="AK29" s="2179"/>
      <c r="AL29" s="2179"/>
    </row>
    <row r="30" spans="1:38" ht="18" customHeight="1">
      <c r="A30" s="2225" t="s">
        <v>30</v>
      </c>
      <c r="B30" s="2229"/>
      <c r="C30" s="2190"/>
      <c r="D30" s="1339">
        <f>+'Exhibit F'!F109</f>
        <v>14.000000000000002</v>
      </c>
      <c r="E30" s="9"/>
      <c r="F30" s="9">
        <f>+'Exhibit F'!AC109</f>
        <v>21.6</v>
      </c>
      <c r="G30" s="9"/>
      <c r="H30" s="1391">
        <f>'Exhibit G'!F95</f>
        <v>119.29999999999998</v>
      </c>
      <c r="I30" s="9"/>
      <c r="J30" s="19">
        <f>+'Exhibit G'!AD95</f>
        <v>193.1</v>
      </c>
      <c r="K30" s="19"/>
      <c r="L30" s="1743">
        <v>0</v>
      </c>
      <c r="M30" s="1393"/>
      <c r="N30" s="3713">
        <v>0</v>
      </c>
      <c r="O30" s="19"/>
      <c r="P30" s="3378">
        <f>'Exhibit I'!G75</f>
        <v>1</v>
      </c>
      <c r="Q30" s="3378"/>
      <c r="R30" s="1742">
        <f>+'Exhibit I'!AF75</f>
        <v>12.7</v>
      </c>
      <c r="S30" s="2240"/>
      <c r="T30" s="2240"/>
      <c r="U30" s="1393"/>
      <c r="V30" s="602">
        <f t="shared" si="4"/>
        <v>134.30000000000001</v>
      </c>
      <c r="W30" s="19" t="s">
        <v>14</v>
      </c>
      <c r="X30" s="19">
        <f t="shared" si="5"/>
        <v>227.4</v>
      </c>
      <c r="Y30" s="2240"/>
      <c r="Z30" s="2241"/>
      <c r="AA30" s="1393"/>
      <c r="AB30" s="1984">
        <v>139.4</v>
      </c>
      <c r="AC30" s="19"/>
      <c r="AD30" s="1393">
        <f>'Exhibit F'!AF109+'Exhibit G'!AG95+'Exhibit I'!AI75</f>
        <v>267.5</v>
      </c>
      <c r="AE30" s="1393"/>
      <c r="AF30" s="2215"/>
      <c r="AG30" s="9">
        <f t="shared" si="6"/>
        <v>-40.1</v>
      </c>
      <c r="AI30" s="1394">
        <f t="shared" si="7"/>
        <v>-0.15</v>
      </c>
      <c r="AJ30" s="7"/>
      <c r="AK30" s="2179"/>
      <c r="AL30" s="2179"/>
    </row>
    <row r="31" spans="1:38" ht="18" customHeight="1">
      <c r="A31" s="2225" t="s">
        <v>31</v>
      </c>
      <c r="B31" s="2190"/>
      <c r="C31" s="2190"/>
      <c r="D31" s="1339">
        <f>+'Exhibit F'!F110</f>
        <v>218.4</v>
      </c>
      <c r="E31" s="9"/>
      <c r="F31" s="9">
        <f>+'Exhibit F'!AC110</f>
        <v>319.5</v>
      </c>
      <c r="G31" s="9"/>
      <c r="H31" s="1391">
        <f>'Exhibit G'!F96</f>
        <v>545.70000000000005</v>
      </c>
      <c r="I31" s="9"/>
      <c r="J31" s="19">
        <f>+'Exhibit G'!AD96</f>
        <v>988.1</v>
      </c>
      <c r="K31" s="19"/>
      <c r="L31" s="1743">
        <v>0</v>
      </c>
      <c r="M31" s="1393"/>
      <c r="N31" s="3713">
        <v>0</v>
      </c>
      <c r="O31" s="19"/>
      <c r="P31" s="3378">
        <f>'Exhibit I'!G76</f>
        <v>40.799999999999997</v>
      </c>
      <c r="Q31" s="3378"/>
      <c r="R31" s="602">
        <f>+'Exhibit I'!AF76</f>
        <v>89.5</v>
      </c>
      <c r="S31" s="2240"/>
      <c r="T31" s="2240"/>
      <c r="U31" s="1393"/>
      <c r="V31" s="602">
        <f t="shared" si="4"/>
        <v>804.9</v>
      </c>
      <c r="W31" s="19" t="s">
        <v>14</v>
      </c>
      <c r="X31" s="19">
        <f t="shared" si="5"/>
        <v>1397.1</v>
      </c>
      <c r="Y31" s="2240"/>
      <c r="Z31" s="2241"/>
      <c r="AA31" s="1393"/>
      <c r="AB31" s="1984">
        <v>356.70000000000005</v>
      </c>
      <c r="AC31" s="19"/>
      <c r="AD31" s="1393">
        <f>'Exhibit F'!AF110+'Exhibit G'!AG96+'Exhibit I'!AI76</f>
        <v>586.9</v>
      </c>
      <c r="AE31" s="1393"/>
      <c r="AF31" s="2215"/>
      <c r="AG31" s="9">
        <f t="shared" si="6"/>
        <v>810.2</v>
      </c>
      <c r="AI31" s="1394">
        <f t="shared" si="7"/>
        <v>1.38</v>
      </c>
      <c r="AJ31" s="7"/>
      <c r="AK31" s="2179"/>
      <c r="AL31" s="2179"/>
    </row>
    <row r="32" spans="1:38" ht="18" customHeight="1">
      <c r="A32" s="2225" t="s">
        <v>32</v>
      </c>
      <c r="B32" s="2229"/>
      <c r="C32" s="2190"/>
      <c r="D32" s="1339">
        <f>+'Exhibit F'!F111</f>
        <v>11.5</v>
      </c>
      <c r="E32" s="9"/>
      <c r="F32" s="9">
        <f>+'Exhibit F'!AC111</f>
        <v>17.7</v>
      </c>
      <c r="G32" s="9"/>
      <c r="H32" s="1391">
        <f>'Exhibit G'!F97</f>
        <v>2.1000000000000005</v>
      </c>
      <c r="I32" s="9"/>
      <c r="J32" s="19">
        <f>+'Exhibit G'!AD97</f>
        <v>4.4000000000000004</v>
      </c>
      <c r="K32" s="19"/>
      <c r="L32" s="1743">
        <v>0</v>
      </c>
      <c r="M32" s="1393" t="s">
        <v>14</v>
      </c>
      <c r="N32" s="3713">
        <v>0</v>
      </c>
      <c r="O32" s="19"/>
      <c r="P32" s="3378">
        <f>'Exhibit I'!G77</f>
        <v>19.199999999999996</v>
      </c>
      <c r="Q32" s="3378"/>
      <c r="R32" s="602">
        <f>+'Exhibit I'!AF77</f>
        <v>36.299999999999997</v>
      </c>
      <c r="S32" s="2240"/>
      <c r="T32" s="2240"/>
      <c r="U32" s="1393"/>
      <c r="V32" s="602">
        <f t="shared" si="4"/>
        <v>32.799999999999997</v>
      </c>
      <c r="W32" s="19" t="s">
        <v>14</v>
      </c>
      <c r="X32" s="19">
        <f t="shared" si="5"/>
        <v>58.4</v>
      </c>
      <c r="Y32" s="2240"/>
      <c r="Z32" s="2241"/>
      <c r="AA32" s="1393"/>
      <c r="AB32" s="1984">
        <v>63.5</v>
      </c>
      <c r="AC32" s="19"/>
      <c r="AD32" s="1393">
        <f>'Exhibit F'!AF111+'Exhibit G'!AG97+'Exhibit I'!AI77</f>
        <v>90.2</v>
      </c>
      <c r="AE32" s="1393"/>
      <c r="AF32" s="2215"/>
      <c r="AG32" s="9">
        <f t="shared" si="6"/>
        <v>-31.8</v>
      </c>
      <c r="AI32" s="1394">
        <f t="shared" si="7"/>
        <v>-0.35299999999999998</v>
      </c>
      <c r="AJ32" s="596"/>
      <c r="AK32" s="2179"/>
      <c r="AL32" s="2179"/>
    </row>
    <row r="33" spans="1:38" ht="18" customHeight="1">
      <c r="A33" s="2225" t="s">
        <v>33</v>
      </c>
      <c r="B33" s="2190"/>
      <c r="C33" s="2190"/>
      <c r="D33" s="1339">
        <f>+'Exhibit F'!F112</f>
        <v>32.6</v>
      </c>
      <c r="E33" s="9"/>
      <c r="F33" s="9">
        <f>+'Exhibit F'!AC112</f>
        <v>32.6</v>
      </c>
      <c r="G33" s="9"/>
      <c r="H33" s="1391">
        <f>'Exhibit G'!F98</f>
        <v>555.9</v>
      </c>
      <c r="I33" s="9"/>
      <c r="J33" s="19">
        <f>+'Exhibit G'!AD98</f>
        <v>619</v>
      </c>
      <c r="K33" s="19"/>
      <c r="L33" s="1743">
        <v>0</v>
      </c>
      <c r="M33" s="1393"/>
      <c r="N33" s="3713">
        <v>0</v>
      </c>
      <c r="O33" s="19"/>
      <c r="P33" s="3378">
        <f>'Exhibit I'!G78</f>
        <v>70.700000000000017</v>
      </c>
      <c r="Q33" s="3378"/>
      <c r="R33" s="602">
        <f>+'Exhibit I'!AF78</f>
        <v>103.6</v>
      </c>
      <c r="S33" s="2240"/>
      <c r="T33" s="2240"/>
      <c r="U33" s="1393"/>
      <c r="V33" s="602">
        <f>ROUND(SUM(D33)+SUM(H33)+SUM(L33)+SUM(P33),1)</f>
        <v>659.2</v>
      </c>
      <c r="W33" s="19" t="s">
        <v>14</v>
      </c>
      <c r="X33" s="19">
        <f>ROUND(SUM(F33)+SUM(J33)+SUM(N33)+SUM(R33),1)</f>
        <v>755.2</v>
      </c>
      <c r="Y33" s="2240"/>
      <c r="Z33" s="2241"/>
      <c r="AA33" s="1393"/>
      <c r="AB33" s="1984">
        <v>471.29999999999995</v>
      </c>
      <c r="AC33" s="19"/>
      <c r="AD33" s="1393">
        <f>'Exhibit F'!AF112+'Exhibit G'!AG98+'Exhibit I'!AI78</f>
        <v>863.89999999999986</v>
      </c>
      <c r="AE33" s="1393"/>
      <c r="AF33" s="2215"/>
      <c r="AG33" s="9">
        <f t="shared" si="6"/>
        <v>-108.7</v>
      </c>
      <c r="AI33" s="1394">
        <f>ROUND(SUM((+X33-AD33)/ABS(AD33)),3)</f>
        <v>-0.126</v>
      </c>
      <c r="AJ33" s="596"/>
      <c r="AK33" s="2179"/>
      <c r="AL33" s="2179"/>
    </row>
    <row r="34" spans="1:38" ht="18" customHeight="1">
      <c r="A34" s="2189" t="s">
        <v>34</v>
      </c>
      <c r="B34" s="2190"/>
      <c r="C34" s="2190"/>
      <c r="D34" s="12">
        <f>ROUND(SUM(D24:D33),1)</f>
        <v>6725.2</v>
      </c>
      <c r="E34" s="2219"/>
      <c r="F34" s="12">
        <f>ROUND(SUM(F24:F33),1)</f>
        <v>10370.9</v>
      </c>
      <c r="G34" s="1336"/>
      <c r="H34" s="12">
        <f>ROUND(SUM(H24:H33),1)</f>
        <v>7139.7</v>
      </c>
      <c r="I34" s="1336"/>
      <c r="J34" s="1516">
        <f>ROUND(SUM(J24:J33),1)</f>
        <v>14173.2</v>
      </c>
      <c r="K34" s="20"/>
      <c r="L34" s="1516">
        <f>ROUND(SUM(L24:L33),1)</f>
        <v>0</v>
      </c>
      <c r="M34" s="20"/>
      <c r="N34" s="3813">
        <f>ROUND(SUM(N24:N33),1)</f>
        <v>0</v>
      </c>
      <c r="O34" s="20"/>
      <c r="P34" s="3810">
        <f>ROUND(SUM(P24:P33),1)</f>
        <v>281.3</v>
      </c>
      <c r="Q34" s="20"/>
      <c r="R34" s="3810">
        <f>ROUND(SUM(R24:R33),1)</f>
        <v>470.8</v>
      </c>
      <c r="S34" s="2244"/>
      <c r="T34" s="2244"/>
      <c r="U34" s="1442"/>
      <c r="V34" s="1516">
        <f>ROUND(SUM(V24:V33),1)</f>
        <v>14146.2</v>
      </c>
      <c r="W34" s="20"/>
      <c r="X34" s="1516">
        <f>ROUND(SUM(X24:X33),1)</f>
        <v>25014.9</v>
      </c>
      <c r="Y34" s="2244"/>
      <c r="Z34" s="2245"/>
      <c r="AA34" s="1442"/>
      <c r="AB34" s="1516">
        <f>ROUND(SUM(AB23:AB33),1)</f>
        <v>11956.9</v>
      </c>
      <c r="AC34" s="20"/>
      <c r="AD34" s="1516">
        <f>ROUND(SUM(AD23:AD33),1)</f>
        <v>20762.400000000001</v>
      </c>
      <c r="AE34" s="1442"/>
      <c r="AF34" s="2220"/>
      <c r="AG34" s="12">
        <f>ROUND(SUM(AG24:AG33),1)</f>
        <v>4252.5</v>
      </c>
      <c r="AH34" s="2221"/>
      <c r="AI34" s="1410">
        <f>ROUND(SUM((+X34-AD34)/ABS(AD34)),3)</f>
        <v>0.20499999999999999</v>
      </c>
      <c r="AJ34" s="2191"/>
      <c r="AK34" s="2179"/>
      <c r="AL34" s="2179"/>
    </row>
    <row r="35" spans="1:38" ht="18" customHeight="1">
      <c r="A35" s="2190" t="s">
        <v>35</v>
      </c>
      <c r="B35" s="2228"/>
      <c r="C35" s="2190"/>
      <c r="D35" s="598"/>
      <c r="E35" s="9"/>
      <c r="F35" s="9"/>
      <c r="G35" s="9"/>
      <c r="H35" s="598"/>
      <c r="I35" s="9"/>
      <c r="J35" s="19"/>
      <c r="K35" s="19"/>
      <c r="L35" s="602"/>
      <c r="M35" s="19"/>
      <c r="N35" s="19"/>
      <c r="O35" s="19"/>
      <c r="P35" s="602"/>
      <c r="Q35" s="602"/>
      <c r="R35" s="602"/>
      <c r="S35" s="2240"/>
      <c r="T35" s="2240"/>
      <c r="U35" s="1393"/>
      <c r="V35" s="602"/>
      <c r="W35" s="19"/>
      <c r="X35" s="602" t="s">
        <v>14</v>
      </c>
      <c r="Y35" s="2240"/>
      <c r="Z35" s="2241"/>
      <c r="AA35" s="1393"/>
      <c r="AB35" s="602"/>
      <c r="AC35" s="19"/>
      <c r="AD35" s="1393"/>
      <c r="AE35" s="1393"/>
      <c r="AF35" s="2215"/>
      <c r="AG35" s="9"/>
      <c r="AI35" s="1397"/>
      <c r="AJ35" s="7"/>
      <c r="AK35" s="2179"/>
      <c r="AL35" s="2179"/>
    </row>
    <row r="36" spans="1:38" ht="18" customHeight="1">
      <c r="A36" s="2190" t="s">
        <v>36</v>
      </c>
      <c r="B36" s="2227"/>
      <c r="C36" s="2190"/>
      <c r="D36" s="598">
        <f>+'Exhibit F'!F115</f>
        <v>695.2</v>
      </c>
      <c r="E36" s="9"/>
      <c r="F36" s="9">
        <f>+'Exhibit F'!AC115</f>
        <v>1435.7</v>
      </c>
      <c r="G36" s="9"/>
      <c r="H36" s="1391">
        <f>'Exhibit G'!F101</f>
        <v>458</v>
      </c>
      <c r="I36" s="9"/>
      <c r="J36" s="19">
        <f>+'Exhibit G'!AD101</f>
        <v>926.6</v>
      </c>
      <c r="K36" s="19"/>
      <c r="L36" s="1389">
        <v>0</v>
      </c>
      <c r="M36" s="19"/>
      <c r="N36" s="18">
        <v>0</v>
      </c>
      <c r="O36" s="19"/>
      <c r="P36" s="1389">
        <f>'Exhibit I'!G81</f>
        <v>0</v>
      </c>
      <c r="Q36" s="602"/>
      <c r="R36" s="1389">
        <f>+'Exhibit I'!AF81</f>
        <v>0</v>
      </c>
      <c r="S36" s="2240"/>
      <c r="T36" s="2240"/>
      <c r="U36" s="1393"/>
      <c r="V36" s="602">
        <f>ROUND(SUM(D36)+SUM(H36)+SUM(L36)+SUM(P36),1)</f>
        <v>1153.2</v>
      </c>
      <c r="W36" s="19" t="s">
        <v>14</v>
      </c>
      <c r="X36" s="19">
        <f>ROUND(SUM(F36)+SUM(J36)+SUM(N36)+SUM(R36),1)</f>
        <v>2362.3000000000002</v>
      </c>
      <c r="Y36" s="2240"/>
      <c r="Z36" s="2241"/>
      <c r="AA36" s="1393"/>
      <c r="AB36" s="1984">
        <v>1182.3000000000002</v>
      </c>
      <c r="AC36" s="3278"/>
      <c r="AD36" s="19">
        <f>'Exhibit F'!AF115+'Exhibit G'!AG101+'Exhibit I'!AI81</f>
        <v>2340.5</v>
      </c>
      <c r="AE36" s="1393"/>
      <c r="AF36" s="2215"/>
      <c r="AG36" s="9">
        <f>ROUND(SUM(X36-AD36),1)</f>
        <v>21.8</v>
      </c>
      <c r="AI36" s="1394">
        <f>ROUND(SUM((+X36-AD36)/ABS(AD36)),3)</f>
        <v>8.9999999999999993E-3</v>
      </c>
      <c r="AJ36" s="7"/>
      <c r="AK36" s="2179"/>
      <c r="AL36" s="2179"/>
    </row>
    <row r="37" spans="1:38" ht="18" customHeight="1">
      <c r="A37" s="2190" t="s">
        <v>37</v>
      </c>
      <c r="B37" s="2228"/>
      <c r="C37" s="2190"/>
      <c r="D37" s="598">
        <f>+'Exhibit F'!F116</f>
        <v>224.7</v>
      </c>
      <c r="E37" s="9"/>
      <c r="F37" s="9">
        <f>+'Exhibit F'!AC116</f>
        <v>373.7</v>
      </c>
      <c r="G37" s="9"/>
      <c r="H37" s="1391">
        <f>'Exhibit G'!F102</f>
        <v>401.7</v>
      </c>
      <c r="I37" s="9"/>
      <c r="J37" s="19">
        <f>+'Exhibit G'!AD102</f>
        <v>721.4</v>
      </c>
      <c r="K37" s="19"/>
      <c r="L37" s="3378">
        <f>+'Exhibit H'!D58</f>
        <v>1.5</v>
      </c>
      <c r="M37" s="19"/>
      <c r="N37" s="19">
        <f>+'Exhibit H'!AA58</f>
        <v>1.5</v>
      </c>
      <c r="O37" s="19" t="s">
        <v>14</v>
      </c>
      <c r="P37" s="1389">
        <f>'Exhibit I'!G82</f>
        <v>0</v>
      </c>
      <c r="Q37" s="602"/>
      <c r="R37" s="1389">
        <f>+'Exhibit I'!AF82</f>
        <v>0</v>
      </c>
      <c r="S37" s="2240"/>
      <c r="T37" s="2240"/>
      <c r="U37" s="1393"/>
      <c r="V37" s="602">
        <f>ROUND(SUM(D37)+SUM(H37)+SUM(L37)+SUM(P37),1)</f>
        <v>627.9</v>
      </c>
      <c r="W37" s="19" t="s">
        <v>14</v>
      </c>
      <c r="X37" s="19">
        <f>ROUND(SUM(F37)+SUM(J37)+SUM(N37)+SUM(R37),1)</f>
        <v>1096.5999999999999</v>
      </c>
      <c r="Y37" s="2240"/>
      <c r="Z37" s="2241"/>
      <c r="AA37" s="1393"/>
      <c r="AB37" s="1984">
        <v>576</v>
      </c>
      <c r="AC37" s="3278"/>
      <c r="AD37" s="19">
        <f>'Exhibit F'!AF116+'Exhibit G'!AG102+'Exhibit I'!AI82+'Exhibit H'!AD58</f>
        <v>1095.4000000000001</v>
      </c>
      <c r="AE37" s="1393"/>
      <c r="AF37" s="2215"/>
      <c r="AG37" s="9">
        <f>ROUND(SUM(X37-AD37),1)</f>
        <v>1.2</v>
      </c>
      <c r="AI37" s="1394">
        <f>ROUND(SUM((+X37-AD37)/ABS(AD37)),3)</f>
        <v>1E-3</v>
      </c>
      <c r="AJ37" s="596"/>
      <c r="AK37" s="2171"/>
      <c r="AL37" s="2179"/>
    </row>
    <row r="38" spans="1:38" ht="18" customHeight="1">
      <c r="A38" s="2190" t="s">
        <v>38</v>
      </c>
      <c r="B38" s="2229"/>
      <c r="C38" s="2190"/>
      <c r="D38" s="598">
        <f>+'Exhibit F'!F117</f>
        <v>1999.8999999999999</v>
      </c>
      <c r="E38" s="9"/>
      <c r="F38" s="9">
        <f>+'Exhibit F'!AC117</f>
        <v>2779.6</v>
      </c>
      <c r="G38" s="2232"/>
      <c r="H38" s="1391">
        <f>'Exhibit G'!F103</f>
        <v>93.9</v>
      </c>
      <c r="I38" s="9"/>
      <c r="J38" s="19">
        <f>+'Exhibit G'!AD103</f>
        <v>186.2</v>
      </c>
      <c r="K38" s="19"/>
      <c r="L38" s="1389">
        <v>0</v>
      </c>
      <c r="M38" s="19"/>
      <c r="N38" s="18">
        <v>0</v>
      </c>
      <c r="O38" s="19"/>
      <c r="P38" s="1389">
        <f>'Exhibit I'!G83</f>
        <v>0</v>
      </c>
      <c r="Q38" s="602"/>
      <c r="R38" s="1389">
        <f>+'Exhibit I'!AF83</f>
        <v>0</v>
      </c>
      <c r="S38" s="2240"/>
      <c r="T38" s="2240"/>
      <c r="U38" s="1393"/>
      <c r="V38" s="602">
        <f>ROUND(SUM(D38)+SUM(H38)+SUM(L38)+SUM(P38),1)</f>
        <v>2093.8000000000002</v>
      </c>
      <c r="W38" s="19" t="s">
        <v>14</v>
      </c>
      <c r="X38" s="19">
        <f>ROUND(SUM(F38)+SUM(J38)+SUM(N38)+SUM(R38),1)</f>
        <v>2965.8</v>
      </c>
      <c r="Y38" s="2240"/>
      <c r="Z38" s="2241"/>
      <c r="AA38" s="1393"/>
      <c r="AB38" s="1984">
        <v>2367</v>
      </c>
      <c r="AC38" s="19"/>
      <c r="AD38" s="19">
        <f>'Exhibit F'!AF117+'Exhibit G'!AG103+'Exhibit I'!AI83</f>
        <v>3262.5</v>
      </c>
      <c r="AE38" s="1393"/>
      <c r="AF38" s="2215"/>
      <c r="AG38" s="9">
        <f>ROUND(SUM(X38-AD38),1)</f>
        <v>-296.7</v>
      </c>
      <c r="AI38" s="1394">
        <f>ROUND(SUM((+X38-AD38)/ABS(AD38)),3)</f>
        <v>-9.0999999999999998E-2</v>
      </c>
      <c r="AJ38" s="7"/>
      <c r="AK38" s="2179"/>
      <c r="AL38" s="2179"/>
    </row>
    <row r="39" spans="1:38" ht="18" customHeight="1">
      <c r="A39" s="2190" t="s">
        <v>39</v>
      </c>
      <c r="B39" s="2190"/>
      <c r="C39" s="2190"/>
      <c r="D39" s="598"/>
      <c r="E39" s="9"/>
      <c r="F39" s="9"/>
      <c r="G39" s="9"/>
      <c r="H39" s="598"/>
      <c r="I39" s="9"/>
      <c r="J39" s="3814"/>
      <c r="K39" s="19"/>
      <c r="L39" s="602"/>
      <c r="M39" s="19"/>
      <c r="N39" s="19"/>
      <c r="O39" s="19"/>
      <c r="P39" s="1389"/>
      <c r="Q39" s="602"/>
      <c r="R39" s="602"/>
      <c r="S39" s="2240"/>
      <c r="T39" s="2240"/>
      <c r="U39" s="1393"/>
      <c r="V39" s="602"/>
      <c r="W39" s="19"/>
      <c r="X39" s="19"/>
      <c r="Y39" s="2240"/>
      <c r="Z39" s="2241"/>
      <c r="AA39" s="1393"/>
      <c r="AB39" s="602"/>
      <c r="AC39" s="19"/>
      <c r="AD39" s="1393"/>
      <c r="AE39" s="1393"/>
      <c r="AF39" s="2215"/>
      <c r="AG39" s="9"/>
      <c r="AI39" s="1394"/>
      <c r="AJ39" s="7"/>
      <c r="AK39" s="2179"/>
      <c r="AL39" s="2179"/>
    </row>
    <row r="40" spans="1:38" ht="18" customHeight="1">
      <c r="A40" s="2190" t="s">
        <v>40</v>
      </c>
      <c r="B40" s="2223"/>
      <c r="C40" s="2190"/>
      <c r="D40" s="601">
        <v>0</v>
      </c>
      <c r="E40" s="9"/>
      <c r="F40" s="10">
        <v>0</v>
      </c>
      <c r="G40" s="9"/>
      <c r="H40" s="1391">
        <f>'Exhibit G'!F105</f>
        <v>0</v>
      </c>
      <c r="I40" s="9"/>
      <c r="J40" s="18">
        <f>'Exhibit G'!AD105</f>
        <v>0</v>
      </c>
      <c r="K40" s="19"/>
      <c r="L40" s="602">
        <f>+'Exhibit H'!D60</f>
        <v>29.500000000000014</v>
      </c>
      <c r="M40" s="19"/>
      <c r="N40" s="19">
        <f>+'Exhibit H'!AA60</f>
        <v>145.30000000000001</v>
      </c>
      <c r="O40" s="19" t="s">
        <v>14</v>
      </c>
      <c r="P40" s="1389">
        <v>0</v>
      </c>
      <c r="Q40" s="602"/>
      <c r="R40" s="1389">
        <v>0</v>
      </c>
      <c r="S40" s="2240"/>
      <c r="T40" s="2240"/>
      <c r="U40" s="1393"/>
      <c r="V40" s="602">
        <f>ROUND(SUM(D40)+SUM(H40)+SUM(L40)+SUM(P40),1)</f>
        <v>29.5</v>
      </c>
      <c r="W40" s="19" t="s">
        <v>14</v>
      </c>
      <c r="X40" s="19">
        <f>ROUND(SUM(F40)+SUM(J40)+SUM(N40)+SUM(R40),1)</f>
        <v>145.30000000000001</v>
      </c>
      <c r="Y40" s="2240"/>
      <c r="Z40" s="2241"/>
      <c r="AA40" s="1393"/>
      <c r="AB40" s="1984">
        <v>40.5</v>
      </c>
      <c r="AC40" s="19"/>
      <c r="AD40" s="1393">
        <f>'Exhibit H'!AD60+'Exhibit G Federal'!AG76</f>
        <v>162.9</v>
      </c>
      <c r="AE40" s="1393"/>
      <c r="AF40" s="2215"/>
      <c r="AG40" s="9">
        <f>ROUND(SUM(X40-AD40),1)</f>
        <v>-17.600000000000001</v>
      </c>
      <c r="AI40" s="1394">
        <f>ROUND(SUM((+X40-AD40)/ABS(AD40)),3)</f>
        <v>-0.108</v>
      </c>
      <c r="AJ40" s="2233"/>
      <c r="AK40" s="2179"/>
      <c r="AL40" s="2179"/>
    </row>
    <row r="41" spans="1:38" ht="18" customHeight="1">
      <c r="A41" s="2190" t="s">
        <v>41</v>
      </c>
      <c r="B41" s="2229" t="s">
        <v>856</v>
      </c>
      <c r="C41" s="2190"/>
      <c r="D41" s="1388">
        <v>0</v>
      </c>
      <c r="E41" s="9"/>
      <c r="F41" s="16">
        <v>0</v>
      </c>
      <c r="G41" s="9"/>
      <c r="H41" s="1391">
        <f>'Exhibit G'!F106</f>
        <v>0</v>
      </c>
      <c r="I41" s="9"/>
      <c r="J41" s="19">
        <f>+'Exhibit G'!AD106</f>
        <v>0</v>
      </c>
      <c r="K41" s="19"/>
      <c r="L41" s="3812">
        <v>0</v>
      </c>
      <c r="M41" s="19"/>
      <c r="N41" s="2305">
        <v>0</v>
      </c>
      <c r="O41" s="19"/>
      <c r="P41" s="3378">
        <f>'Exhibit I'!G84</f>
        <v>537.10000000000014</v>
      </c>
      <c r="Q41" s="602"/>
      <c r="R41" s="3815">
        <f>+'Exhibit I'!AF84</f>
        <v>1026.4000000000001</v>
      </c>
      <c r="S41" s="2240"/>
      <c r="T41" s="2240"/>
      <c r="U41" s="1393"/>
      <c r="V41" s="602">
        <f>ROUND(SUM(D41)+SUM(H41)+SUM(L41)+SUM(P41),1)</f>
        <v>537.1</v>
      </c>
      <c r="W41" s="19" t="s">
        <v>14</v>
      </c>
      <c r="X41" s="19">
        <f>ROUND(SUM(F41)+SUM(J41)+SUM(N41)+SUM(R41),1)</f>
        <v>1026.4000000000001</v>
      </c>
      <c r="Y41" s="2240"/>
      <c r="Z41" s="2241"/>
      <c r="AA41" s="1393"/>
      <c r="AB41" s="1984">
        <v>514.1</v>
      </c>
      <c r="AC41" s="19"/>
      <c r="AD41" s="1393">
        <f>'Exhibit G'!AG106+'Exhibit I'!AI84</f>
        <v>912.30000000000007</v>
      </c>
      <c r="AE41" s="1393"/>
      <c r="AF41" s="2215"/>
      <c r="AG41" s="9">
        <f>ROUND(SUM(X41-AD41),1)</f>
        <v>114.1</v>
      </c>
      <c r="AI41" s="1394">
        <f>ROUND(SUM((+X41-AD41)/ABS(AD41)),3)</f>
        <v>0.125</v>
      </c>
      <c r="AJ41" s="2192"/>
      <c r="AK41" s="2171" t="s">
        <v>14</v>
      </c>
      <c r="AL41" s="2179"/>
    </row>
    <row r="42" spans="1:38" ht="18" customHeight="1">
      <c r="A42" s="2189" t="s">
        <v>42</v>
      </c>
      <c r="B42" s="2190"/>
      <c r="C42" s="2190"/>
      <c r="D42" s="12">
        <f>ROUND(SUM(D34:D41),1)</f>
        <v>9645</v>
      </c>
      <c r="E42" s="1336"/>
      <c r="F42" s="12">
        <f>ROUND(SUM(F34:F41),1)</f>
        <v>14959.9</v>
      </c>
      <c r="G42" s="1336"/>
      <c r="H42" s="1516">
        <f>ROUND(SUM(H34:H41),1)</f>
        <v>8093.3</v>
      </c>
      <c r="I42" s="1336"/>
      <c r="J42" s="1516">
        <f>ROUND(SUM(J34:J41),1)</f>
        <v>16007.4</v>
      </c>
      <c r="K42" s="20"/>
      <c r="L42" s="1516">
        <f>ROUND(SUM(L34:L41),1)</f>
        <v>31</v>
      </c>
      <c r="M42" s="20"/>
      <c r="N42" s="1516">
        <f>ROUND(SUM(N34:N41),1)</f>
        <v>146.80000000000001</v>
      </c>
      <c r="O42" s="20"/>
      <c r="P42" s="1516">
        <f>ROUND(SUM(P34:P41),1)</f>
        <v>818.4</v>
      </c>
      <c r="Q42" s="20"/>
      <c r="R42" s="1516">
        <f>ROUND(SUM(R34:R41),1)</f>
        <v>1497.2</v>
      </c>
      <c r="S42" s="2244"/>
      <c r="T42" s="2244"/>
      <c r="U42" s="1442"/>
      <c r="V42" s="1516">
        <f>ROUND(SUM(V34:V41),1)</f>
        <v>18587.7</v>
      </c>
      <c r="W42" s="20"/>
      <c r="X42" s="1516">
        <f>ROUND(SUM(X34:X41),1)</f>
        <v>32611.3</v>
      </c>
      <c r="Y42" s="2244"/>
      <c r="Z42" s="2245"/>
      <c r="AA42" s="1442"/>
      <c r="AB42" s="1516">
        <f>ROUND(SUM(AB34:AB41),1)</f>
        <v>16636.8</v>
      </c>
      <c r="AC42" s="20"/>
      <c r="AD42" s="1516">
        <f>ROUND(SUM(AD34:AD41),1)</f>
        <v>28536</v>
      </c>
      <c r="AE42" s="1442"/>
      <c r="AF42" s="2220"/>
      <c r="AG42" s="12">
        <f>ROUND(SUM(AG34:AG41),1)</f>
        <v>4075.3</v>
      </c>
      <c r="AH42" s="2221"/>
      <c r="AI42" s="1410">
        <f>ROUND(SUM((+X42-AD42)/ABS(AD42)),3)</f>
        <v>0.14299999999999999</v>
      </c>
      <c r="AJ42" s="2191"/>
      <c r="AK42" s="2179"/>
      <c r="AL42" s="2179"/>
    </row>
    <row r="43" spans="1:38" ht="16.350000000000001" customHeight="1">
      <c r="A43" s="2189"/>
      <c r="B43" s="2190"/>
      <c r="C43" s="2190"/>
      <c r="D43" s="599"/>
      <c r="E43" s="9"/>
      <c r="F43" s="14"/>
      <c r="G43" s="9"/>
      <c r="H43" s="599"/>
      <c r="I43" s="9"/>
      <c r="J43" s="1393"/>
      <c r="K43" s="19"/>
      <c r="L43" s="1390"/>
      <c r="M43" s="19"/>
      <c r="N43" s="1393"/>
      <c r="O43" s="19"/>
      <c r="P43" s="3487"/>
      <c r="Q43" s="602"/>
      <c r="R43" s="1390"/>
      <c r="S43" s="2240"/>
      <c r="T43" s="2240"/>
      <c r="U43" s="1393"/>
      <c r="V43" s="1390"/>
      <c r="W43" s="19"/>
      <c r="X43" s="1393"/>
      <c r="Y43" s="2240"/>
      <c r="Z43" s="2241"/>
      <c r="AA43" s="1393"/>
      <c r="AB43" s="1390" t="s">
        <v>14</v>
      </c>
      <c r="AC43" s="19"/>
      <c r="AD43" s="1393"/>
      <c r="AE43" s="1393"/>
      <c r="AF43" s="2215"/>
      <c r="AG43" s="14"/>
      <c r="AI43" s="1397"/>
      <c r="AJ43" s="7"/>
      <c r="AK43" s="2179"/>
      <c r="AL43" s="2179"/>
    </row>
    <row r="44" spans="1:38" ht="16.350000000000001" customHeight="1">
      <c r="A44" s="2189" t="s">
        <v>43</v>
      </c>
      <c r="B44" s="2189"/>
      <c r="C44" s="2190"/>
      <c r="D44" s="598"/>
      <c r="E44" s="9"/>
      <c r="F44" s="9"/>
      <c r="G44" s="9"/>
      <c r="H44" s="598"/>
      <c r="I44" s="9"/>
      <c r="J44" s="19"/>
      <c r="K44" s="19"/>
      <c r="L44" s="602" t="s">
        <v>14</v>
      </c>
      <c r="M44" s="19"/>
      <c r="N44" s="19"/>
      <c r="O44" s="19"/>
      <c r="P44" s="3378"/>
      <c r="Q44" s="602"/>
      <c r="R44" s="602"/>
      <c r="S44" s="2240"/>
      <c r="T44" s="2240"/>
      <c r="U44" s="1393"/>
      <c r="V44" s="602"/>
      <c r="W44" s="19"/>
      <c r="X44" s="19"/>
      <c r="Y44" s="2240"/>
      <c r="Z44" s="2241"/>
      <c r="AA44" s="1393"/>
      <c r="AB44" s="602"/>
      <c r="AC44" s="19"/>
      <c r="AD44" s="1393"/>
      <c r="AE44" s="1393"/>
      <c r="AF44" s="2215"/>
      <c r="AG44" s="9"/>
      <c r="AI44" s="1397"/>
      <c r="AJ44" s="7"/>
      <c r="AK44" s="2179"/>
      <c r="AL44" s="2179"/>
    </row>
    <row r="45" spans="1:38" ht="16.350000000000001" customHeight="1">
      <c r="A45" s="2189" t="s">
        <v>44</v>
      </c>
      <c r="B45" s="2189"/>
      <c r="C45" s="2190"/>
      <c r="D45" s="17">
        <f>ROUND(SUM(D20-D42),1)</f>
        <v>-7569</v>
      </c>
      <c r="E45" s="1336"/>
      <c r="F45" s="17">
        <f>ROUND(SUM(F20-F42),1)</f>
        <v>-3666.2</v>
      </c>
      <c r="G45" s="1336"/>
      <c r="H45" s="17">
        <f>ROUND(SUM(H20-H42),1)</f>
        <v>845.7</v>
      </c>
      <c r="I45" s="1336"/>
      <c r="J45" s="1605">
        <f>ROUND(SUM(J20-J42),1)</f>
        <v>1519.9</v>
      </c>
      <c r="K45" s="20"/>
      <c r="L45" s="1605">
        <f>ROUND(SUM(L20-L42),1)</f>
        <v>2445.1</v>
      </c>
      <c r="M45" s="20" t="s">
        <v>14</v>
      </c>
      <c r="N45" s="1605">
        <f>ROUND(SUM(N20-N42),1)</f>
        <v>10923.5</v>
      </c>
      <c r="O45" s="20" t="s">
        <v>14</v>
      </c>
      <c r="P45" s="3816">
        <f>ROUND(SUM(P20-P42),1)</f>
        <v>505.5</v>
      </c>
      <c r="Q45" s="20" t="s">
        <v>14</v>
      </c>
      <c r="R45" s="3816">
        <f>ROUND(SUM(R20-R42),1)</f>
        <v>1025.9000000000001</v>
      </c>
      <c r="S45" s="2244"/>
      <c r="T45" s="2244"/>
      <c r="U45" s="1442"/>
      <c r="V45" s="1605">
        <f>ROUND(SUM(V20-V42),1)</f>
        <v>-3772.7</v>
      </c>
      <c r="W45" s="20" t="s">
        <v>14</v>
      </c>
      <c r="X45" s="1605">
        <f>ROUND(SUM(X20-X42),1)</f>
        <v>9803.1</v>
      </c>
      <c r="Y45" s="2244"/>
      <c r="Z45" s="2245"/>
      <c r="AA45" s="1442"/>
      <c r="AB45" s="1605">
        <f>ROUND(SUM(AB20-AB42),1)</f>
        <v>14885.7</v>
      </c>
      <c r="AC45" s="20"/>
      <c r="AD45" s="1605">
        <f>ROUND(SUM(AD20-AD42),1)</f>
        <v>21072.2</v>
      </c>
      <c r="AE45" s="1442"/>
      <c r="AF45" s="2220"/>
      <c r="AG45" s="17">
        <f>ROUND(SUM(X45-AD45),1)</f>
        <v>-11269.1</v>
      </c>
      <c r="AH45" s="2234"/>
      <c r="AI45" s="1396">
        <f>ROUND(SUM((+X45-AD45)/ABS(AD45)),3)</f>
        <v>-0.53500000000000003</v>
      </c>
      <c r="AJ45" s="2191"/>
      <c r="AK45" s="2179"/>
      <c r="AL45" s="2179"/>
    </row>
    <row r="46" spans="1:38" ht="16.350000000000001" customHeight="1">
      <c r="A46" s="2190"/>
      <c r="B46" s="2190"/>
      <c r="C46" s="2190"/>
      <c r="D46" s="599"/>
      <c r="E46" s="9"/>
      <c r="F46" s="14"/>
      <c r="G46" s="9"/>
      <c r="H46" s="1390"/>
      <c r="I46" s="9"/>
      <c r="J46" s="1393"/>
      <c r="K46" s="19"/>
      <c r="L46" s="1390"/>
      <c r="M46" s="19"/>
      <c r="N46" s="1393"/>
      <c r="O46" s="19"/>
      <c r="P46" s="3487"/>
      <c r="Q46" s="602"/>
      <c r="R46" s="1390"/>
      <c r="S46" s="2240"/>
      <c r="T46" s="2240"/>
      <c r="U46" s="1393"/>
      <c r="V46" s="1390"/>
      <c r="W46" s="19"/>
      <c r="X46" s="1393"/>
      <c r="Y46" s="2240"/>
      <c r="Z46" s="2241"/>
      <c r="AA46" s="1393"/>
      <c r="AB46" s="1390"/>
      <c r="AC46" s="19"/>
      <c r="AD46" s="1393"/>
      <c r="AE46" s="1393"/>
      <c r="AF46" s="2215"/>
      <c r="AG46" s="14"/>
      <c r="AI46" s="1397"/>
      <c r="AJ46" s="7"/>
      <c r="AK46" s="2179"/>
      <c r="AL46" s="2179"/>
    </row>
    <row r="47" spans="1:38" ht="16.350000000000001" customHeight="1">
      <c r="A47" s="2189" t="s">
        <v>45</v>
      </c>
      <c r="B47" s="2189"/>
      <c r="C47" s="2190"/>
      <c r="D47" s="598"/>
      <c r="E47" s="9"/>
      <c r="F47" s="19"/>
      <c r="G47" s="19"/>
      <c r="H47" s="602"/>
      <c r="I47" s="19"/>
      <c r="J47" s="19"/>
      <c r="K47" s="19"/>
      <c r="L47" s="602"/>
      <c r="M47" s="19"/>
      <c r="N47" s="19"/>
      <c r="O47" s="19"/>
      <c r="P47" s="3378"/>
      <c r="Q47" s="602"/>
      <c r="R47" s="1390"/>
      <c r="S47" s="2240"/>
      <c r="T47" s="2240"/>
      <c r="U47" s="1393"/>
      <c r="V47" s="602"/>
      <c r="W47" s="19"/>
      <c r="X47" s="19"/>
      <c r="Y47" s="2240"/>
      <c r="Z47" s="2241"/>
      <c r="AA47" s="1393"/>
      <c r="AB47" s="602"/>
      <c r="AC47" s="19"/>
      <c r="AD47" s="1393"/>
      <c r="AE47" s="1393"/>
      <c r="AF47" s="2215"/>
      <c r="AG47" s="9"/>
      <c r="AI47" s="1397"/>
      <c r="AJ47" s="7"/>
      <c r="AK47" s="2179"/>
      <c r="AL47" s="2179"/>
    </row>
    <row r="48" spans="1:38" ht="18" customHeight="1">
      <c r="A48" s="3564" t="s">
        <v>1338</v>
      </c>
      <c r="B48" s="2190"/>
      <c r="C48" s="2190"/>
      <c r="D48" s="1389">
        <v>0</v>
      </c>
      <c r="E48" s="9"/>
      <c r="F48" s="18">
        <v>0</v>
      </c>
      <c r="G48" s="19"/>
      <c r="H48" s="1389">
        <v>0</v>
      </c>
      <c r="I48" s="19"/>
      <c r="J48" s="18">
        <v>0</v>
      </c>
      <c r="K48" s="19"/>
      <c r="L48" s="1389">
        <v>0</v>
      </c>
      <c r="M48" s="1393"/>
      <c r="N48" s="18">
        <v>0</v>
      </c>
      <c r="O48" s="1393"/>
      <c r="P48" s="1389">
        <f>+'Exhibit I'!G92</f>
        <v>0</v>
      </c>
      <c r="Q48" s="1390"/>
      <c r="R48" s="1389">
        <f>'Exhibit I'!AF92</f>
        <v>0</v>
      </c>
      <c r="S48" s="2240"/>
      <c r="T48" s="2240"/>
      <c r="U48" s="1393"/>
      <c r="V48" s="602">
        <f>ROUND(SUM(D48)+SUM(H48)+SUM(L48)+SUM(P48),1)</f>
        <v>0</v>
      </c>
      <c r="W48" s="2305"/>
      <c r="X48" s="19">
        <f>ROUND(SUM(F48)+SUM(J48)+SUM(N48)+SUM(R48),1)</f>
        <v>0</v>
      </c>
      <c r="Y48" s="2240"/>
      <c r="Z48" s="2241"/>
      <c r="AA48" s="1393"/>
      <c r="AB48" s="1984">
        <v>0</v>
      </c>
      <c r="AC48" s="18"/>
      <c r="AD48" s="3713">
        <f>'Exhibit I'!AI92</f>
        <v>0</v>
      </c>
      <c r="AE48" s="2305"/>
      <c r="AF48" s="2236"/>
      <c r="AG48" s="14">
        <f>X48-AD48</f>
        <v>0</v>
      </c>
      <c r="AH48" s="2237"/>
      <c r="AI48" s="1394">
        <f>ROUND(IF(AD48=0,0,AG48/ABS(AD48)),3)</f>
        <v>0</v>
      </c>
      <c r="AJ48" s="2238"/>
      <c r="AK48" s="2179"/>
      <c r="AL48" s="2179"/>
    </row>
    <row r="49" spans="1:40" ht="18" customHeight="1">
      <c r="A49" s="2235" t="s">
        <v>46</v>
      </c>
      <c r="B49" s="2239" t="s">
        <v>1139</v>
      </c>
      <c r="C49" s="2235"/>
      <c r="D49" s="602">
        <f>+'Exhibit F'!F126+'Exhibit F'!F127+'Exhibit F'!F128+'Exhibit F'!F129</f>
        <v>2406.2999999999993</v>
      </c>
      <c r="E49" s="9"/>
      <c r="F49" s="19">
        <f>+'Exhibit F'!AC126+'Exhibit F'!AC127+'Exhibit F'!AC128+'Exhibit F'!AC129</f>
        <v>11064.999999999998</v>
      </c>
      <c r="G49" s="19"/>
      <c r="H49" s="602">
        <f>'Exhibit G'!F114-124</f>
        <v>398.79999999999995</v>
      </c>
      <c r="I49" s="19"/>
      <c r="J49" s="19">
        <f>+'Exhibit G'!AD114</f>
        <v>825.2</v>
      </c>
      <c r="K49" s="1393"/>
      <c r="L49" s="1390">
        <f>+'Exhibit H'!D68</f>
        <v>20.599999999999966</v>
      </c>
      <c r="M49" s="1393"/>
      <c r="N49" s="19">
        <f>+'Exhibit H'!AA68</f>
        <v>373.59999999999997</v>
      </c>
      <c r="O49" s="1393"/>
      <c r="P49" s="1389">
        <f>'Exhibit I'!G93</f>
        <v>-172.10000000000002</v>
      </c>
      <c r="Q49" s="1390"/>
      <c r="R49" s="1390">
        <f>+'Exhibit I'!AF93</f>
        <v>-783.2</v>
      </c>
      <c r="S49" s="2240"/>
      <c r="T49" s="2240"/>
      <c r="U49" s="1393"/>
      <c r="V49" s="602">
        <f>ROUND(SUM(D49)+SUM(H49)+SUM(L49)+SUM(P49),1)</f>
        <v>2653.6</v>
      </c>
      <c r="W49" s="19" t="s">
        <v>14</v>
      </c>
      <c r="X49" s="19">
        <f>ROUND(SUM(F49)+SUM(J49)+SUM(N49)+SUM(R49),1)</f>
        <v>11480.6</v>
      </c>
      <c r="Y49" s="2240"/>
      <c r="Z49" s="2241"/>
      <c r="AA49" s="1393"/>
      <c r="AB49" s="1984">
        <v>6200.6</v>
      </c>
      <c r="AC49" s="19"/>
      <c r="AD49" s="1393">
        <f>'Exhibit F'!AF126+'Exhibit F'!AF127+'Exhibit F'!AF128+'Exhibit F'!AF129+'Exhibit G'!AG114+'Exhibit H'!AD68+'Exhibit I'!AI93</f>
        <v>11545.4</v>
      </c>
      <c r="AE49" s="1393"/>
      <c r="AF49" s="2215"/>
      <c r="AG49" s="14">
        <f>ROUND(SUM(X49-AD49),1)</f>
        <v>-64.8</v>
      </c>
      <c r="AH49" s="2237"/>
      <c r="AI49" s="1394">
        <f>ROUND(SUM((+X49-AD49)/ABS(AD49)),3)</f>
        <v>-6.0000000000000001E-3</v>
      </c>
      <c r="AJ49" s="596"/>
      <c r="AK49" s="2179"/>
      <c r="AL49" s="2179"/>
    </row>
    <row r="50" spans="1:40" ht="18" customHeight="1">
      <c r="A50" s="2235" t="s">
        <v>47</v>
      </c>
      <c r="B50" s="2239" t="s">
        <v>1139</v>
      </c>
      <c r="C50" s="2235"/>
      <c r="D50" s="1390">
        <f>+'Exhibit F'!F130+'Exhibit F'!F132+'Exhibit F'!F133+'Exhibit F'!F131</f>
        <v>-219.39999999999989</v>
      </c>
      <c r="E50" s="19"/>
      <c r="F50" s="19">
        <f>+'Exhibit F'!AC130+'Exhibit F'!AC132+'Exhibit F'!AC133+'Exhibit F'!AC131</f>
        <v>-140.1999999999999</v>
      </c>
      <c r="G50" s="19"/>
      <c r="H50" s="602">
        <f>'Exhibit G'!F115+124</f>
        <v>-18.19999999999996</v>
      </c>
      <c r="I50" s="19"/>
      <c r="J50" s="19">
        <f>+'Exhibit G'!AD115</f>
        <v>-251.3</v>
      </c>
      <c r="K50" s="19"/>
      <c r="L50" s="1390">
        <f>+'Exhibit H'!D69</f>
        <v>-2411.3999999999996</v>
      </c>
      <c r="M50" s="1393"/>
      <c r="N50" s="19">
        <f>+'Exhibit H'!AA69</f>
        <v>-11078.9</v>
      </c>
      <c r="O50" s="1393"/>
      <c r="P50" s="1389">
        <f>'Exhibit I'!G94</f>
        <v>-9.5000000000000018</v>
      </c>
      <c r="Q50" s="602"/>
      <c r="R50" s="1390">
        <f>+'Exhibit I'!AF94</f>
        <v>-18.600000000000001</v>
      </c>
      <c r="S50" s="2240"/>
      <c r="T50" s="2240"/>
      <c r="U50" s="1393"/>
      <c r="V50" s="602">
        <f>ROUND(SUM(D50)+SUM(H50)+SUM(L50)+SUM(P50),1)</f>
        <v>-2658.5</v>
      </c>
      <c r="W50" s="19" t="s">
        <v>14</v>
      </c>
      <c r="X50" s="19">
        <f>ROUND(SUM(F50)+SUM(J50)+SUM(N50)+SUM(R50),1)</f>
        <v>-11489</v>
      </c>
      <c r="Y50" s="2240"/>
      <c r="Z50" s="2241"/>
      <c r="AA50" s="1393"/>
      <c r="AB50" s="1984">
        <v>-6203.3</v>
      </c>
      <c r="AC50" s="19"/>
      <c r="AD50" s="1393">
        <f>'Exhibit F'!AF130+'Exhibit F'!AF131+'Exhibit F'!AF132+'Exhibit F'!AF133+'Exhibit G'!AG115+'Exhibit H'!AD69+'Exhibit I'!AI94</f>
        <v>-11553.5</v>
      </c>
      <c r="AE50" s="1393"/>
      <c r="AF50" s="2215"/>
      <c r="AG50" s="2242">
        <f>ROUND(SUM(X50-AD50),1)*-1</f>
        <v>-64.5</v>
      </c>
      <c r="AI50" s="1395">
        <f>-ROUND(SUM((+X50-AD50)/ABS(AD50)),3)</f>
        <v>-6.0000000000000001E-3</v>
      </c>
      <c r="AJ50" s="596"/>
      <c r="AK50" s="2179"/>
      <c r="AL50" s="2179"/>
    </row>
    <row r="51" spans="1:40" ht="18" customHeight="1">
      <c r="A51" s="2189" t="s">
        <v>48</v>
      </c>
      <c r="B51" s="2189"/>
      <c r="C51" s="2190"/>
      <c r="D51" s="12">
        <f>ROUND(SUM(D48:D50),1)</f>
        <v>2186.9</v>
      </c>
      <c r="E51" s="9"/>
      <c r="F51" s="1516">
        <f>ROUND(SUM(F48:F50),1)</f>
        <v>10924.8</v>
      </c>
      <c r="G51" s="20"/>
      <c r="H51" s="1516">
        <f>ROUND(SUM(H48:H50),1)</f>
        <v>380.6</v>
      </c>
      <c r="I51" s="20"/>
      <c r="J51" s="1516">
        <f>ROUND(SUM(J48:J50),1)</f>
        <v>573.9</v>
      </c>
      <c r="K51" s="20"/>
      <c r="L51" s="1516">
        <f>ROUND(SUM(L48:L50),1)</f>
        <v>-2390.8000000000002</v>
      </c>
      <c r="M51" s="20"/>
      <c r="N51" s="1516">
        <f>ROUND(SUM(N48:N50),1)</f>
        <v>-10705.3</v>
      </c>
      <c r="O51" s="20"/>
      <c r="P51" s="1516">
        <f>ROUND(SUM(P48:P50),1)</f>
        <v>-181.6</v>
      </c>
      <c r="Q51" s="20"/>
      <c r="R51" s="1516">
        <f>ROUND(SUM(R48:R50),1)</f>
        <v>-801.8</v>
      </c>
      <c r="S51" s="2244"/>
      <c r="T51" s="2244"/>
      <c r="U51" s="1442"/>
      <c r="V51" s="2243">
        <f>ROUND(SUM(V48+V49+V50),1)</f>
        <v>-4.9000000000000004</v>
      </c>
      <c r="W51" s="20"/>
      <c r="X51" s="2243">
        <f>ROUND(SUM(+X48+X49+X50),1)</f>
        <v>-8.4</v>
      </c>
      <c r="Y51" s="2244"/>
      <c r="Z51" s="2245"/>
      <c r="AA51" s="1442"/>
      <c r="AB51" s="2243">
        <f>ROUND(SUM(+AB48+AB49+AB50),1)</f>
        <v>-2.7</v>
      </c>
      <c r="AC51" s="20"/>
      <c r="AD51" s="2243">
        <f>ROUND(SUM(+AD48+AD49+AD50),1)</f>
        <v>-8.1</v>
      </c>
      <c r="AE51" s="3817"/>
      <c r="AF51" s="2220"/>
      <c r="AG51" s="11">
        <f>ROUND(SUM(+AG49-AG50+AG48),1)</f>
        <v>-0.3</v>
      </c>
      <c r="AH51" s="2221"/>
      <c r="AI51" s="1396">
        <f>-ROUND(SUM(AG51/AD51),3)</f>
        <v>-3.6999999999999998E-2</v>
      </c>
      <c r="AJ51" s="2191" t="s">
        <v>14</v>
      </c>
      <c r="AK51" s="2179"/>
      <c r="AL51" s="2179"/>
    </row>
    <row r="52" spans="1:40" ht="16.350000000000001" customHeight="1">
      <c r="A52" s="2190"/>
      <c r="B52" s="2190"/>
      <c r="C52" s="2190"/>
      <c r="D52" s="599"/>
      <c r="E52" s="9"/>
      <c r="F52" s="1390" t="s">
        <v>14</v>
      </c>
      <c r="G52" s="19"/>
      <c r="H52" s="1390" t="s">
        <v>14</v>
      </c>
      <c r="I52" s="19"/>
      <c r="J52" s="1393"/>
      <c r="K52" s="19"/>
      <c r="L52" s="1390" t="s">
        <v>14</v>
      </c>
      <c r="M52" s="19"/>
      <c r="N52" s="1393"/>
      <c r="O52" s="19"/>
      <c r="P52" s="1390" t="s">
        <v>14</v>
      </c>
      <c r="Q52" s="602"/>
      <c r="R52" s="1390" t="s">
        <v>14</v>
      </c>
      <c r="S52" s="2240"/>
      <c r="T52" s="2240"/>
      <c r="U52" s="1393"/>
      <c r="V52" s="1390"/>
      <c r="W52" s="19"/>
      <c r="X52" s="1393"/>
      <c r="Y52" s="2240"/>
      <c r="Z52" s="2241"/>
      <c r="AA52" s="1393"/>
      <c r="AB52" s="1390"/>
      <c r="AC52" s="19"/>
      <c r="AD52" s="1393"/>
      <c r="AE52" s="1393"/>
      <c r="AF52" s="2215"/>
      <c r="AG52" s="14"/>
      <c r="AI52" s="1397"/>
      <c r="AJ52" s="7"/>
      <c r="AK52" s="2179"/>
      <c r="AL52" s="2179"/>
    </row>
    <row r="53" spans="1:40" ht="18" customHeight="1">
      <c r="A53" s="2188" t="s">
        <v>43</v>
      </c>
      <c r="B53" s="2189"/>
      <c r="C53" s="2190"/>
      <c r="D53" s="598" t="s">
        <v>14</v>
      </c>
      <c r="E53" s="9"/>
      <c r="F53" s="598" t="s">
        <v>14</v>
      </c>
      <c r="G53" s="9"/>
      <c r="H53" s="598" t="s">
        <v>14</v>
      </c>
      <c r="I53" s="9"/>
      <c r="J53" s="19"/>
      <c r="K53" s="19"/>
      <c r="L53" s="602" t="s">
        <v>14</v>
      </c>
      <c r="M53" s="19"/>
      <c r="N53" s="19"/>
      <c r="O53" s="19"/>
      <c r="P53" s="602" t="s">
        <v>14</v>
      </c>
      <c r="Q53" s="602"/>
      <c r="R53" s="602"/>
      <c r="S53" s="2240"/>
      <c r="T53" s="2240"/>
      <c r="U53" s="1393"/>
      <c r="V53" s="602" t="s">
        <v>14</v>
      </c>
      <c r="W53" s="19"/>
      <c r="X53" s="19"/>
      <c r="Y53" s="2240"/>
      <c r="Z53" s="2241"/>
      <c r="AA53" s="1393"/>
      <c r="AB53" s="602"/>
      <c r="AC53" s="19"/>
      <c r="AD53" s="1393"/>
      <c r="AE53" s="1393"/>
      <c r="AF53" s="2215"/>
      <c r="AG53" s="9"/>
      <c r="AI53" s="1398"/>
      <c r="AJ53" s="7"/>
      <c r="AK53" s="2179"/>
      <c r="AL53" s="2179"/>
    </row>
    <row r="54" spans="1:40" ht="18" customHeight="1">
      <c r="A54" s="2188" t="s">
        <v>49</v>
      </c>
      <c r="B54" s="2188"/>
      <c r="C54" s="2235"/>
      <c r="D54" s="602"/>
      <c r="E54" s="19"/>
      <c r="F54" s="19"/>
      <c r="G54" s="19"/>
      <c r="H54" s="598"/>
      <c r="I54" s="9"/>
      <c r="J54" s="19"/>
      <c r="K54" s="19"/>
      <c r="L54" s="602"/>
      <c r="M54" s="19"/>
      <c r="N54" s="19"/>
      <c r="O54" s="19"/>
      <c r="P54" s="602"/>
      <c r="Q54" s="602"/>
      <c r="R54" s="602"/>
      <c r="S54" s="2240"/>
      <c r="T54" s="2240"/>
      <c r="U54" s="1393"/>
      <c r="V54" s="602" t="s">
        <v>14</v>
      </c>
      <c r="W54" s="19"/>
      <c r="X54" s="19"/>
      <c r="Y54" s="2240"/>
      <c r="Z54" s="2241"/>
      <c r="AA54" s="1393"/>
      <c r="AB54" s="602"/>
      <c r="AC54" s="19"/>
      <c r="AD54" s="1393"/>
      <c r="AE54" s="1393"/>
      <c r="AF54" s="2215"/>
      <c r="AG54" s="9"/>
      <c r="AI54" s="1397"/>
      <c r="AJ54" s="7"/>
      <c r="AK54" s="2179"/>
      <c r="AL54" s="2179"/>
    </row>
    <row r="55" spans="1:40" ht="18" customHeight="1">
      <c r="A55" s="2188" t="s">
        <v>50</v>
      </c>
      <c r="B55" s="2188"/>
      <c r="C55" s="2235"/>
      <c r="D55" s="20">
        <f>ROUND(SUM(D45+D51),1)</f>
        <v>-5382.1</v>
      </c>
      <c r="E55" s="20"/>
      <c r="F55" s="20">
        <f>ROUND(SUM(F45)+SUM(F51),1)</f>
        <v>7258.6</v>
      </c>
      <c r="G55" s="20"/>
      <c r="H55" s="20">
        <f>ROUND(SUM(H45+H51),1)</f>
        <v>1226.3</v>
      </c>
      <c r="I55" s="20"/>
      <c r="J55" s="20">
        <f>ROUND(SUM(J45)+SUM(J51),1)</f>
        <v>2093.8000000000002</v>
      </c>
      <c r="K55" s="20"/>
      <c r="L55" s="20">
        <f>ROUND(SUM(L45+L51),1)</f>
        <v>54.3</v>
      </c>
      <c r="M55" s="20"/>
      <c r="N55" s="20">
        <f>ROUND(SUM(N45+N51),1)</f>
        <v>218.2</v>
      </c>
      <c r="O55" s="20"/>
      <c r="P55" s="20">
        <f>ROUND(SUM(P45+P51),1)</f>
        <v>323.89999999999998</v>
      </c>
      <c r="Q55" s="20"/>
      <c r="R55" s="20">
        <f>ROUND(SUM(R45+R51),1)</f>
        <v>224.1</v>
      </c>
      <c r="S55" s="2244"/>
      <c r="T55" s="2244"/>
      <c r="U55" s="1442"/>
      <c r="V55" s="20">
        <f>ROUND(SUM(V45)+SUM(V51),1)</f>
        <v>-3777.6</v>
      </c>
      <c r="W55" s="20"/>
      <c r="X55" s="20">
        <f>ROUND(SUM(X45)+SUM(X51),1)</f>
        <v>9794.7000000000007</v>
      </c>
      <c r="Y55" s="2244"/>
      <c r="Z55" s="2245"/>
      <c r="AA55" s="1442"/>
      <c r="AB55" s="20">
        <f>ROUND(SUM(AB45)+SUM(AB51),1)</f>
        <v>14883</v>
      </c>
      <c r="AC55" s="20"/>
      <c r="AD55" s="20">
        <f>ROUND(SUM(AD45)+SUM(AD51),1)</f>
        <v>21064.1</v>
      </c>
      <c r="AE55" s="1442"/>
      <c r="AF55" s="2220"/>
      <c r="AG55" s="2219">
        <f>ROUND(SUM(+AG45+AG51),1)</f>
        <v>-11269.4</v>
      </c>
      <c r="AH55" s="2221"/>
      <c r="AI55" s="1452">
        <f>ROUND(SUM((+X55-AD55)/ABS(AD55)),3)</f>
        <v>-0.53500000000000003</v>
      </c>
      <c r="AJ55" s="2246"/>
      <c r="AK55" s="2247"/>
      <c r="AL55" s="2179"/>
    </row>
    <row r="56" spans="1:40" ht="16.350000000000001" customHeight="1">
      <c r="A56" s="2189"/>
      <c r="B56" s="2188"/>
      <c r="C56" s="2235"/>
      <c r="D56" s="602"/>
      <c r="E56" s="19"/>
      <c r="F56" s="1393"/>
      <c r="G56" s="19"/>
      <c r="H56" s="602"/>
      <c r="I56" s="19"/>
      <c r="J56" s="19"/>
      <c r="K56" s="19"/>
      <c r="L56" s="602"/>
      <c r="M56" s="19"/>
      <c r="N56" s="19"/>
      <c r="O56" s="19"/>
      <c r="P56" s="1390"/>
      <c r="Q56" s="602"/>
      <c r="R56" s="602"/>
      <c r="S56" s="2240"/>
      <c r="T56" s="2240"/>
      <c r="U56" s="1393"/>
      <c r="V56" s="602"/>
      <c r="W56" s="19"/>
      <c r="X56" s="19"/>
      <c r="Y56" s="2240"/>
      <c r="Z56" s="2241"/>
      <c r="AA56" s="1393"/>
      <c r="AB56" s="602"/>
      <c r="AC56" s="19"/>
      <c r="AD56" s="1393"/>
      <c r="AE56" s="1393"/>
      <c r="AF56" s="2215"/>
      <c r="AG56" s="9"/>
      <c r="AI56" s="1397"/>
      <c r="AJ56" s="7"/>
      <c r="AK56" s="2179"/>
      <c r="AL56" s="2179"/>
    </row>
    <row r="57" spans="1:40" s="2174" customFormat="1" ht="18" customHeight="1">
      <c r="A57" s="2249" t="s">
        <v>51</v>
      </c>
      <c r="B57" s="2997"/>
      <c r="C57" s="2235"/>
      <c r="D57" s="1605">
        <f>+'Exhibit F'!F12</f>
        <v>45693.4</v>
      </c>
      <c r="E57" s="20"/>
      <c r="F57" s="1605">
        <f>'Exhibit F'!D12</f>
        <v>33052.699999999997</v>
      </c>
      <c r="G57" s="20"/>
      <c r="H57" s="1605">
        <f>+'Exhibit G'!F13</f>
        <v>22805.7</v>
      </c>
      <c r="I57" s="20"/>
      <c r="J57" s="1605">
        <f>'Exhibit G'!D13</f>
        <v>21938.2</v>
      </c>
      <c r="K57" s="20"/>
      <c r="L57" s="1605">
        <f>'Exhibit H'!D12</f>
        <v>265.89999999999998</v>
      </c>
      <c r="M57" s="20"/>
      <c r="N57" s="1605">
        <f>'Exhibit H'!B12</f>
        <v>102</v>
      </c>
      <c r="O57" s="1442"/>
      <c r="P57" s="1605">
        <f>+'Exhibit I'!G15</f>
        <v>-1643.7</v>
      </c>
      <c r="Q57" s="1442"/>
      <c r="R57" s="1605">
        <f>'Exhibit I'!E15</f>
        <v>-1543.9</v>
      </c>
      <c r="S57" s="2244"/>
      <c r="T57" s="2244"/>
      <c r="U57" s="1442"/>
      <c r="V57" s="1605">
        <f>D57+H57+L57+P57</f>
        <v>67121.3</v>
      </c>
      <c r="W57" s="20"/>
      <c r="X57" s="1605">
        <f>F57+J57+N57+R57</f>
        <v>53548.999999999993</v>
      </c>
      <c r="Y57" s="2244"/>
      <c r="Z57" s="2245"/>
      <c r="AA57" s="1442"/>
      <c r="AB57" s="3756">
        <v>24932.199999999997</v>
      </c>
      <c r="AC57" s="20"/>
      <c r="AD57" s="1605">
        <f>'Exhibit F'!AF12+'Exhibit G'!AG13+'Exhibit H'!AD12+'Exhibit I'!AI15</f>
        <v>18751.099999999999</v>
      </c>
      <c r="AE57" s="1442"/>
      <c r="AF57" s="2973"/>
      <c r="AG57" s="1605">
        <f>ROUND(SUM(X57-AD57),1)</f>
        <v>34797.9</v>
      </c>
      <c r="AH57" s="2964"/>
      <c r="AI57" s="2974">
        <f>ROUND(SUM((+X57-AD57)/ABS(AD57)),3)</f>
        <v>1.8560000000000001</v>
      </c>
      <c r="AJ57" s="2246"/>
      <c r="AK57" s="2971"/>
      <c r="AL57" s="2971"/>
    </row>
    <row r="58" spans="1:40" s="2174" customFormat="1" ht="16.350000000000001" customHeight="1">
      <c r="A58" s="2235"/>
      <c r="B58" s="2235"/>
      <c r="C58" s="2235"/>
      <c r="D58" s="1390"/>
      <c r="E58" s="19"/>
      <c r="F58" s="1393"/>
      <c r="G58" s="19"/>
      <c r="H58" s="1390"/>
      <c r="I58" s="19"/>
      <c r="J58" s="1393"/>
      <c r="K58" s="19"/>
      <c r="L58" s="1390"/>
      <c r="M58" s="19"/>
      <c r="N58" s="1393"/>
      <c r="O58" s="19"/>
      <c r="P58" s="1390"/>
      <c r="Q58" s="602"/>
      <c r="R58" s="1390"/>
      <c r="S58" s="2240"/>
      <c r="T58" s="2240"/>
      <c r="U58" s="1393"/>
      <c r="V58" s="1390"/>
      <c r="W58" s="19"/>
      <c r="X58" s="1393"/>
      <c r="Y58" s="2240"/>
      <c r="Z58" s="2241"/>
      <c r="AA58" s="1393"/>
      <c r="AB58" s="1390"/>
      <c r="AC58" s="19"/>
      <c r="AD58" s="1393"/>
      <c r="AE58" s="1393"/>
      <c r="AF58" s="2972"/>
      <c r="AG58" s="1393"/>
      <c r="AI58" s="2970"/>
      <c r="AJ58" s="2200"/>
      <c r="AK58" s="2971"/>
      <c r="AL58" s="2971"/>
    </row>
    <row r="59" spans="1:40" s="2174" customFormat="1" ht="18" customHeight="1" thickBot="1">
      <c r="A59" s="2249" t="s">
        <v>52</v>
      </c>
      <c r="B59" s="2250"/>
      <c r="C59" s="2962"/>
      <c r="D59" s="22">
        <f>ROUND(SUM(D55+D57),1)</f>
        <v>40311.300000000003</v>
      </c>
      <c r="E59" s="2251"/>
      <c r="F59" s="22">
        <f>ROUND(SUM(F55+F57),1)</f>
        <v>40311.300000000003</v>
      </c>
      <c r="G59" s="2251"/>
      <c r="H59" s="22">
        <f>ROUND(SUM(H55+H57),1)</f>
        <v>24032</v>
      </c>
      <c r="I59" s="2251"/>
      <c r="J59" s="22">
        <f>ROUND(SUM(J55)+SUM(J57),1)</f>
        <v>24032</v>
      </c>
      <c r="K59" s="2251"/>
      <c r="L59" s="22">
        <f>ROUND(SUM(L55+L57),1)</f>
        <v>320.2</v>
      </c>
      <c r="M59" s="2251"/>
      <c r="N59" s="22">
        <f>ROUND(SUM(N55+N57),1)</f>
        <v>320.2</v>
      </c>
      <c r="O59" s="2251"/>
      <c r="P59" s="22">
        <f>ROUND(SUM(P55+P57),1)</f>
        <v>-1319.8</v>
      </c>
      <c r="Q59" s="2251"/>
      <c r="R59" s="22">
        <f>ROUND(SUM(R55+R57),1)</f>
        <v>-1319.8</v>
      </c>
      <c r="S59" s="2252"/>
      <c r="T59" s="2252"/>
      <c r="U59" s="2253"/>
      <c r="V59" s="22">
        <f>ROUND(SUM(V55+V57),1)</f>
        <v>63343.7</v>
      </c>
      <c r="W59" s="2251"/>
      <c r="X59" s="22">
        <f>ROUND(SUM(X55+X57),1)</f>
        <v>63343.7</v>
      </c>
      <c r="Y59" s="2252"/>
      <c r="Z59" s="2254"/>
      <c r="AA59" s="2253"/>
      <c r="AB59" s="22">
        <f>ROUND(SUM(AB55+AB57),1)</f>
        <v>39815.199999999997</v>
      </c>
      <c r="AC59" s="2251"/>
      <c r="AD59" s="22">
        <f>ROUND(SUM(AD55+AD57),1)</f>
        <v>39815.199999999997</v>
      </c>
      <c r="AE59" s="2253"/>
      <c r="AF59" s="2963"/>
      <c r="AG59" s="22">
        <f>ROUND(SUM(AG55+AG57),1)</f>
        <v>23528.5</v>
      </c>
      <c r="AH59" s="2964"/>
      <c r="AI59" s="2965">
        <f>ROUND(SUM((+X59-AD59)/ABS(AD59)),3)</f>
        <v>0.59099999999999997</v>
      </c>
      <c r="AJ59" s="2256"/>
      <c r="AK59" s="2966"/>
      <c r="AL59" s="2966"/>
      <c r="AM59" s="2967"/>
      <c r="AN59" s="2964"/>
    </row>
    <row r="60" spans="1:40" s="2174" customFormat="1" ht="15.75" thickTop="1">
      <c r="A60" s="2968"/>
      <c r="B60" s="2968"/>
      <c r="C60" s="2968"/>
      <c r="D60" s="3318"/>
      <c r="E60" s="2322"/>
      <c r="F60" s="2322"/>
      <c r="G60" s="2322"/>
      <c r="H60" s="3318"/>
      <c r="I60" s="2322"/>
      <c r="J60" s="2322"/>
      <c r="K60" s="2322"/>
      <c r="L60" s="3318"/>
      <c r="M60" s="2322"/>
      <c r="N60" s="2322"/>
      <c r="O60" s="2322"/>
      <c r="P60" s="2322"/>
      <c r="Q60" s="2322"/>
      <c r="R60" s="2322"/>
      <c r="S60" s="2260"/>
      <c r="T60" s="2260"/>
      <c r="U60" s="2260"/>
      <c r="V60" s="2259"/>
      <c r="W60" s="2260"/>
      <c r="X60" s="2322"/>
      <c r="Y60" s="2260"/>
      <c r="Z60" s="2260"/>
      <c r="AA60" s="2260"/>
      <c r="AB60" s="2259"/>
      <c r="AC60" s="3279"/>
      <c r="AD60" s="2260"/>
      <c r="AE60" s="2260"/>
      <c r="AF60" s="2260"/>
      <c r="AG60" s="2260"/>
      <c r="AI60" s="2969"/>
      <c r="AJ60" s="2970"/>
      <c r="AK60" s="2971"/>
      <c r="AL60" s="2971"/>
    </row>
    <row r="61" spans="1:40" ht="15.75">
      <c r="A61" s="2262"/>
      <c r="B61" s="3714"/>
      <c r="C61" s="3714"/>
      <c r="D61" s="2264"/>
      <c r="E61" s="2273"/>
      <c r="F61" s="2273" t="s">
        <v>14</v>
      </c>
      <c r="G61" s="2273"/>
      <c r="H61" s="2264"/>
      <c r="I61" s="2273"/>
      <c r="J61" s="2273"/>
      <c r="K61" s="2273"/>
      <c r="L61" s="2264"/>
      <c r="M61" s="2273"/>
      <c r="N61" s="2273"/>
      <c r="O61" s="2273"/>
      <c r="P61" s="3263"/>
      <c r="Q61" s="2273"/>
      <c r="R61" s="2273"/>
      <c r="S61" s="2273"/>
      <c r="T61" s="2273" t="s">
        <v>14</v>
      </c>
      <c r="U61" s="2273"/>
      <c r="V61" s="2264" t="s">
        <v>14</v>
      </c>
      <c r="W61" s="2273"/>
      <c r="X61" s="2273"/>
      <c r="Y61" s="2273"/>
      <c r="Z61" s="2273"/>
      <c r="AA61" s="2273"/>
      <c r="AB61" s="2264"/>
      <c r="AC61" s="2273"/>
      <c r="AI61" s="2261"/>
      <c r="AJ61" s="1397"/>
      <c r="AK61" s="2179"/>
      <c r="AL61" s="2179"/>
    </row>
    <row r="62" spans="1:40" ht="15">
      <c r="A62" s="2237"/>
      <c r="B62" s="2273"/>
      <c r="C62" s="2273"/>
      <c r="D62" s="2264"/>
      <c r="E62" s="2273"/>
      <c r="F62" s="2273"/>
      <c r="G62" s="2273"/>
      <c r="H62" s="2264"/>
      <c r="I62" s="2273"/>
      <c r="J62" s="2273"/>
      <c r="K62" s="2273"/>
      <c r="L62" s="2264"/>
      <c r="M62" s="2273"/>
      <c r="N62" s="2273"/>
      <c r="O62" s="2273"/>
      <c r="P62" s="2273"/>
      <c r="Q62" s="2273"/>
      <c r="R62" s="2273"/>
      <c r="S62" s="2273"/>
      <c r="T62" s="2273"/>
      <c r="U62" s="2273"/>
      <c r="V62" s="2264" t="s">
        <v>14</v>
      </c>
      <c r="W62" s="2273"/>
      <c r="X62" s="2273"/>
      <c r="Y62" s="2273"/>
      <c r="Z62" s="2273"/>
      <c r="AA62" s="2273"/>
      <c r="AB62" s="3320"/>
      <c r="AC62" s="2273"/>
      <c r="AD62" s="2265"/>
      <c r="AI62" s="2261"/>
      <c r="AJ62" s="1397"/>
      <c r="AK62" s="2179"/>
      <c r="AL62" s="2179"/>
    </row>
    <row r="63" spans="1:40" ht="15">
      <c r="A63" s="2237"/>
      <c r="B63" s="2273"/>
      <c r="C63" s="2273"/>
      <c r="D63" s="2264"/>
      <c r="E63" s="2273"/>
      <c r="F63" s="2273"/>
      <c r="G63" s="2273"/>
      <c r="H63" s="2264"/>
      <c r="I63" s="2273"/>
      <c r="J63" s="2273"/>
      <c r="K63" s="2273"/>
      <c r="L63" s="2264"/>
      <c r="M63" s="2273"/>
      <c r="N63" s="2273"/>
      <c r="O63" s="2273"/>
      <c r="P63" s="2273"/>
      <c r="Q63" s="2273"/>
      <c r="R63" s="2273"/>
      <c r="S63" s="2273"/>
      <c r="T63" s="2273"/>
      <c r="U63" s="2273"/>
      <c r="V63" s="2264" t="s">
        <v>14</v>
      </c>
      <c r="W63" s="2273"/>
      <c r="X63" s="2273"/>
      <c r="Y63" s="2273"/>
      <c r="Z63" s="2273"/>
      <c r="AA63" s="2273"/>
      <c r="AB63" s="3320"/>
      <c r="AC63" s="2273"/>
      <c r="AI63" s="2266"/>
      <c r="AJ63" s="1397"/>
      <c r="AK63" s="2179"/>
      <c r="AL63" s="2179"/>
    </row>
    <row r="64" spans="1:40" ht="15.75">
      <c r="A64" s="2267"/>
      <c r="B64" s="2273"/>
      <c r="C64" s="2273"/>
      <c r="D64" s="2264"/>
      <c r="E64" s="2273"/>
      <c r="F64" s="2273"/>
      <c r="G64" s="2273"/>
      <c r="H64" s="2264"/>
      <c r="I64" s="2273"/>
      <c r="J64" s="2273"/>
      <c r="K64" s="2273"/>
      <c r="L64" s="2264"/>
      <c r="M64" s="2273"/>
      <c r="N64" s="2273"/>
      <c r="O64" s="2273"/>
      <c r="P64" s="2273"/>
      <c r="Q64" s="2273"/>
      <c r="R64" s="2273"/>
      <c r="S64" s="2273"/>
      <c r="T64" s="2273"/>
      <c r="U64" s="2273"/>
      <c r="V64" s="2264"/>
      <c r="W64" s="2273"/>
      <c r="X64" s="2273"/>
      <c r="Y64" s="2273"/>
      <c r="Z64" s="2273"/>
      <c r="AA64" s="2273"/>
      <c r="AB64" s="2264"/>
      <c r="AC64" s="2273"/>
      <c r="AI64" s="2266"/>
      <c r="AJ64" s="2179"/>
      <c r="AK64" s="2179"/>
      <c r="AL64" s="2179"/>
    </row>
    <row r="65" spans="1:38" ht="15.75">
      <c r="A65" s="2267"/>
      <c r="B65" s="2273"/>
      <c r="C65" s="2273"/>
      <c r="D65" s="2264"/>
      <c r="E65" s="2273"/>
      <c r="F65" s="2273"/>
      <c r="G65" s="2273"/>
      <c r="H65" s="2264"/>
      <c r="I65" s="2273"/>
      <c r="J65" s="2273"/>
      <c r="K65" s="2273"/>
      <c r="L65" s="2264"/>
      <c r="M65" s="2273"/>
      <c r="N65" s="2273"/>
      <c r="O65" s="2273"/>
      <c r="P65" s="2273"/>
      <c r="Q65" s="2273"/>
      <c r="R65" s="2273"/>
      <c r="S65" s="2273"/>
      <c r="T65" s="2273"/>
      <c r="U65" s="2273"/>
      <c r="V65" s="2264"/>
      <c r="W65" s="2273"/>
      <c r="X65" s="2273"/>
      <c r="Y65" s="2273"/>
      <c r="Z65" s="2273"/>
      <c r="AA65" s="2273"/>
      <c r="AB65" s="3320"/>
      <c r="AC65" s="2273"/>
      <c r="AI65" s="2266"/>
      <c r="AJ65" s="2179"/>
      <c r="AK65" s="2179"/>
      <c r="AL65" s="2179"/>
    </row>
    <row r="66" spans="1:38" ht="15.75">
      <c r="A66" s="2268"/>
      <c r="B66" s="3715"/>
      <c r="C66" s="3263"/>
      <c r="D66" s="3716"/>
      <c r="E66" s="3717"/>
      <c r="F66" s="3717"/>
      <c r="G66" s="3717"/>
      <c r="H66" s="3716"/>
      <c r="I66" s="3717"/>
      <c r="J66" s="3717"/>
      <c r="K66" s="3717"/>
      <c r="L66" s="3716"/>
      <c r="M66" s="2273"/>
      <c r="N66" s="2273"/>
      <c r="O66" s="2273"/>
      <c r="P66" s="2273"/>
      <c r="Q66" s="2273"/>
      <c r="R66" s="2273"/>
      <c r="S66" s="2273"/>
      <c r="T66" s="2273"/>
      <c r="U66" s="2273"/>
      <c r="V66" s="2264"/>
      <c r="W66" s="2273"/>
      <c r="X66" s="2273"/>
      <c r="Y66" s="2273"/>
      <c r="Z66" s="2273"/>
      <c r="AA66" s="2273"/>
      <c r="AB66" s="2264"/>
      <c r="AC66" s="2273"/>
      <c r="AI66" s="2266"/>
      <c r="AJ66" s="2179"/>
      <c r="AK66" s="2179"/>
      <c r="AL66" s="2179"/>
    </row>
    <row r="67" spans="1:38" ht="15">
      <c r="A67" s="1397"/>
      <c r="B67" s="1397"/>
      <c r="C67" s="1397"/>
      <c r="D67" s="2272"/>
      <c r="E67" s="1397"/>
      <c r="F67" s="1397"/>
      <c r="G67" s="1397"/>
      <c r="H67" s="2272"/>
      <c r="I67" s="1397"/>
      <c r="J67" s="1397"/>
      <c r="K67" s="1397"/>
      <c r="L67" s="2272"/>
      <c r="M67" s="2237"/>
      <c r="N67" s="2237" t="s">
        <v>14</v>
      </c>
      <c r="O67" s="2237"/>
      <c r="P67" s="2237"/>
      <c r="Q67" s="2237"/>
      <c r="R67" s="2237"/>
      <c r="S67" s="2237"/>
      <c r="T67" s="2237"/>
      <c r="U67" s="2237"/>
      <c r="V67" s="2263"/>
      <c r="W67" s="2237"/>
      <c r="X67" s="2273"/>
      <c r="Y67" s="2237"/>
      <c r="Z67" s="2237"/>
      <c r="AA67" s="2237"/>
      <c r="AB67" s="2264"/>
      <c r="AC67" s="2273"/>
      <c r="AI67" s="2266"/>
      <c r="AJ67" s="2179"/>
      <c r="AK67" s="2179"/>
      <c r="AL67" s="2179"/>
    </row>
    <row r="68" spans="1:38" ht="15">
      <c r="A68" s="1397"/>
      <c r="B68" s="1397"/>
      <c r="C68" s="1397"/>
      <c r="D68" s="2272"/>
      <c r="E68" s="1397"/>
      <c r="F68" s="1397"/>
      <c r="G68" s="1397"/>
      <c r="H68" s="2272"/>
      <c r="I68" s="1397"/>
      <c r="J68" s="1397"/>
      <c r="K68" s="1397"/>
      <c r="L68" s="2272"/>
      <c r="M68" s="2237"/>
      <c r="N68" s="2237" t="s">
        <v>14</v>
      </c>
      <c r="O68" s="2237"/>
      <c r="P68" s="2237"/>
      <c r="Q68" s="2237"/>
      <c r="R68" s="2237"/>
      <c r="S68" s="2237"/>
      <c r="T68" s="2237"/>
      <c r="U68" s="2237"/>
      <c r="V68" s="2263"/>
      <c r="W68" s="2237"/>
      <c r="X68" s="2273"/>
      <c r="Y68" s="2237"/>
      <c r="Z68" s="2237"/>
      <c r="AA68" s="2237"/>
      <c r="AB68" s="2264"/>
      <c r="AC68" s="2273"/>
      <c r="AI68" s="2266"/>
      <c r="AJ68" s="2179"/>
      <c r="AK68" s="2179"/>
      <c r="AL68" s="2179"/>
    </row>
    <row r="69" spans="1:38" ht="15">
      <c r="A69" s="1397"/>
      <c r="B69" s="1397"/>
      <c r="C69" s="1397"/>
      <c r="D69" s="2272"/>
      <c r="E69" s="1397"/>
      <c r="F69" s="1397"/>
      <c r="G69" s="1397"/>
      <c r="H69" s="2272"/>
      <c r="I69" s="1397"/>
      <c r="J69" s="1397"/>
      <c r="K69" s="1397"/>
      <c r="L69" s="2272"/>
      <c r="M69" s="2237"/>
      <c r="N69" s="2237"/>
      <c r="O69" s="2237"/>
      <c r="P69" s="2237"/>
      <c r="Q69" s="2237"/>
      <c r="R69" s="2237"/>
      <c r="S69" s="2237"/>
      <c r="T69" s="2237"/>
      <c r="U69" s="2237"/>
      <c r="V69" s="2263"/>
      <c r="W69" s="2237"/>
      <c r="X69" s="2273"/>
      <c r="Y69" s="2237"/>
      <c r="Z69" s="2237"/>
      <c r="AA69" s="2237"/>
      <c r="AB69" s="2264"/>
      <c r="AI69" s="2266"/>
      <c r="AJ69" s="2179"/>
      <c r="AK69" s="2179"/>
      <c r="AL69" s="2179"/>
    </row>
    <row r="70" spans="1:38" ht="15">
      <c r="AI70" s="2266"/>
      <c r="AJ70" s="2179"/>
      <c r="AK70" s="2179"/>
      <c r="AL70" s="2179"/>
    </row>
    <row r="71" spans="1:38" ht="15">
      <c r="AI71" s="2266"/>
      <c r="AJ71" s="2179"/>
      <c r="AK71" s="2179"/>
      <c r="AL71" s="2179"/>
    </row>
    <row r="72" spans="1:38" ht="15">
      <c r="AI72" s="2266"/>
      <c r="AJ72" s="2179"/>
      <c r="AK72" s="2179"/>
      <c r="AL72" s="2179"/>
    </row>
    <row r="73" spans="1:38" ht="15">
      <c r="AI73" s="2266"/>
      <c r="AJ73" s="2179"/>
      <c r="AK73" s="2179"/>
      <c r="AL73" s="2179"/>
    </row>
    <row r="74" spans="1:38" ht="15">
      <c r="AI74" s="2266"/>
      <c r="AJ74" s="2179"/>
      <c r="AK74" s="2179"/>
      <c r="AL74" s="2179"/>
    </row>
    <row r="75" spans="1:38" ht="15">
      <c r="AI75" s="2266"/>
      <c r="AJ75" s="2179"/>
      <c r="AK75" s="2179"/>
      <c r="AL75" s="2179"/>
    </row>
    <row r="76" spans="1:38" ht="15">
      <c r="AI76" s="2266"/>
      <c r="AJ76" s="2179"/>
      <c r="AK76" s="2179"/>
      <c r="AL76" s="2179"/>
    </row>
    <row r="77" spans="1:38" ht="15">
      <c r="AI77" s="2266"/>
      <c r="AJ77" s="2179"/>
      <c r="AK77" s="2179"/>
      <c r="AL77" s="2179"/>
    </row>
    <row r="78" spans="1:38" ht="15">
      <c r="AI78" s="2266"/>
      <c r="AJ78" s="2179"/>
      <c r="AK78" s="2179"/>
      <c r="AL78" s="2179"/>
    </row>
    <row r="79" spans="1:38" ht="15">
      <c r="AI79" s="2266"/>
      <c r="AJ79" s="2179"/>
      <c r="AK79" s="2179"/>
      <c r="AL79" s="2179"/>
    </row>
    <row r="80" spans="1:38" ht="15">
      <c r="AI80" s="2266"/>
      <c r="AJ80" s="2179"/>
      <c r="AK80" s="2179"/>
      <c r="AL80" s="2179"/>
    </row>
    <row r="81" spans="35:38" ht="15">
      <c r="AI81" s="2266"/>
      <c r="AJ81" s="2179"/>
      <c r="AK81" s="2179"/>
      <c r="AL81" s="2179"/>
    </row>
    <row r="82" spans="35:38" ht="15">
      <c r="AI82" s="2266"/>
      <c r="AJ82" s="2179"/>
      <c r="AK82" s="2179"/>
      <c r="AL82" s="2179"/>
    </row>
    <row r="83" spans="35:38" ht="15">
      <c r="AI83" s="2266"/>
      <c r="AJ83" s="2179"/>
      <c r="AK83" s="2179"/>
      <c r="AL83" s="2179"/>
    </row>
    <row r="84" spans="35:38" ht="15">
      <c r="AI84" s="2266"/>
      <c r="AJ84" s="2179"/>
      <c r="AK84" s="2179"/>
      <c r="AL84" s="2179"/>
    </row>
    <row r="85" spans="35:38" ht="15">
      <c r="AI85" s="2266"/>
      <c r="AJ85" s="2179"/>
      <c r="AK85" s="2179"/>
      <c r="AL85" s="2179"/>
    </row>
    <row r="86" spans="35:38" ht="15">
      <c r="AI86" s="2266"/>
      <c r="AJ86" s="2179"/>
      <c r="AK86" s="2179"/>
      <c r="AL86" s="2179"/>
    </row>
    <row r="87" spans="35:38" ht="15">
      <c r="AI87" s="2266"/>
      <c r="AJ87" s="2179"/>
      <c r="AK87" s="2179"/>
      <c r="AL87" s="2179"/>
    </row>
    <row r="88" spans="35:38" ht="15">
      <c r="AI88" s="2266"/>
      <c r="AJ88" s="2179"/>
      <c r="AK88" s="2179"/>
      <c r="AL88" s="2179"/>
    </row>
    <row r="89" spans="35:38" ht="15">
      <c r="AI89" s="2266"/>
      <c r="AJ89" s="2179"/>
      <c r="AK89" s="2179"/>
      <c r="AL89" s="2179"/>
    </row>
    <row r="90" spans="35:38" ht="15">
      <c r="AI90" s="2266"/>
      <c r="AJ90" s="2179"/>
      <c r="AK90" s="2179"/>
      <c r="AL90" s="2179"/>
    </row>
    <row r="91" spans="35:38" ht="15">
      <c r="AI91" s="2266"/>
      <c r="AJ91" s="2179"/>
      <c r="AK91" s="2179"/>
      <c r="AL91" s="2179"/>
    </row>
    <row r="92" spans="35:38" ht="15">
      <c r="AI92" s="2266"/>
      <c r="AJ92" s="2179"/>
      <c r="AK92" s="2179"/>
      <c r="AL92" s="2179"/>
    </row>
    <row r="93" spans="35:38" ht="15">
      <c r="AI93" s="2266"/>
      <c r="AJ93" s="2179"/>
      <c r="AK93" s="2179"/>
      <c r="AL93" s="2179"/>
    </row>
    <row r="94" spans="35:38" ht="15">
      <c r="AI94" s="2266"/>
      <c r="AJ94" s="2179"/>
      <c r="AK94" s="2179"/>
      <c r="AL94" s="2179"/>
    </row>
    <row r="95" spans="35:38" ht="15">
      <c r="AI95" s="2266"/>
      <c r="AJ95" s="2179"/>
      <c r="AK95" s="2179"/>
      <c r="AL95" s="2179"/>
    </row>
    <row r="96" spans="35:38" ht="15">
      <c r="AI96" s="2266"/>
      <c r="AJ96" s="2179"/>
      <c r="AK96" s="2179"/>
      <c r="AL96" s="2179"/>
    </row>
    <row r="97" spans="35:38" ht="15">
      <c r="AI97" s="2266"/>
      <c r="AJ97" s="2179"/>
      <c r="AK97" s="2179"/>
      <c r="AL97" s="2179"/>
    </row>
    <row r="98" spans="35:38" ht="15">
      <c r="AI98" s="2266"/>
      <c r="AJ98" s="2179"/>
      <c r="AK98" s="2179"/>
      <c r="AL98" s="2179"/>
    </row>
    <row r="99" spans="35:38" ht="15">
      <c r="AI99" s="2266"/>
      <c r="AJ99" s="2179"/>
      <c r="AK99" s="2179"/>
      <c r="AL99" s="2179"/>
    </row>
    <row r="100" spans="35:38" ht="15">
      <c r="AI100" s="2266"/>
      <c r="AJ100" s="2179"/>
      <c r="AK100" s="2179"/>
      <c r="AL100" s="2179"/>
    </row>
    <row r="101" spans="35:38" ht="15">
      <c r="AI101" s="2266"/>
      <c r="AJ101" s="2179"/>
      <c r="AK101" s="2179"/>
      <c r="AL101" s="2179"/>
    </row>
    <row r="102" spans="35:38" ht="15">
      <c r="AI102" s="2266"/>
      <c r="AJ102" s="2179"/>
      <c r="AK102" s="2179"/>
      <c r="AL102" s="2179"/>
    </row>
    <row r="103" spans="35:38" ht="15">
      <c r="AI103" s="2266"/>
      <c r="AJ103" s="2179"/>
      <c r="AK103" s="2179"/>
      <c r="AL103" s="2179"/>
    </row>
    <row r="104" spans="35:38" ht="15">
      <c r="AI104" s="2266"/>
      <c r="AJ104" s="2179"/>
      <c r="AK104" s="2179"/>
      <c r="AL104" s="2179"/>
    </row>
    <row r="105" spans="35:38" ht="15">
      <c r="AI105" s="2266"/>
      <c r="AJ105" s="2179"/>
      <c r="AK105" s="2179"/>
      <c r="AL105" s="2179"/>
    </row>
    <row r="106" spans="35:38" ht="15">
      <c r="AI106" s="2266"/>
      <c r="AJ106" s="2179"/>
      <c r="AK106" s="2179"/>
      <c r="AL106" s="2179"/>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AH34 S20:AF20 S56:AI56 S52:W52 S46:AI47 S44:AI44 S23:AI23 S35:W35 G12 AE14:AG14 AE19:AH19 AE24:AH24 AE25:AH25 AE26:AH26 AE28:AH28 AE29:AH29 AE30:AH30 AE31:AH31 AE32:AH32 S39:AA39 AE36:AH36 AE37:AH37 AE38:AH38 AE40:AH40 W14 S58:AI58 AE49:AF49 S14:U14 S40:AA40 S15:U15 S16:AA16 S18:U18 S19:AA19 S24:AA24 S25:AA25 S26:AA26 S29:AA29 S31:AA31 S32:AA32 S33:W33 S41:AA41 S49:U49 S50:U50 S57:U57 S27:AA27 S28:AA28 S30:AA30 S36:AA36 S38:AA38 S37:AA37 S48:AA48 R17:AA17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W43 AC43:AI43 Y49:AA49 AH57 W50:AA50 K12 O12 Q12 S12:U12 W12 W18:AA18 AC51 AE51:AF51 E48 E41:F41 I52:K52 M52:O52 I53:K53 M53:O53 AC59:AH59 W55:AA55 K40 D52:E52 E53 Q52 Q53:R53 S54:AI54 S53:U53 W53:AI53 K32:O32 Q21 Q22 K50 O50 AC55 AE55:AH55 Y52:AI52 S21:W21 Y21:AI21 S22:W22 Y22:AI22 Y43:AA43 Y33:AA33 Y35:AI35"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1"/>
  <sheetViews>
    <sheetView showGridLines="0" zoomScale="80" zoomScaleNormal="55" workbookViewId="0"/>
  </sheetViews>
  <sheetFormatPr defaultColWidth="8.6640625" defaultRowHeight="12.75"/>
  <cols>
    <col min="1" max="1" width="1.6640625" style="241" customWidth="1"/>
    <col min="2" max="2" width="40.6640625" style="241" customWidth="1"/>
    <col min="3" max="3" width="1.6640625" style="241" customWidth="1"/>
    <col min="4" max="4" width="12.109375" style="241" customWidth="1"/>
    <col min="5" max="5" width="1.6640625" style="241" customWidth="1"/>
    <col min="6" max="6" width="12" style="241" customWidth="1"/>
    <col min="7" max="7" width="1.6640625" style="241" customWidth="1"/>
    <col min="8" max="8" width="13.109375" style="241" customWidth="1"/>
    <col min="9" max="9" width="1.6640625" style="241" customWidth="1"/>
    <col min="10" max="10" width="13.109375" style="241" customWidth="1"/>
    <col min="11" max="11" width="1.6640625" style="241" customWidth="1"/>
    <col min="12" max="12" width="13.109375" style="241" customWidth="1"/>
    <col min="13" max="13" width="1.6640625" style="241" customWidth="1"/>
    <col min="14" max="14" width="14" style="241" customWidth="1"/>
    <col min="15" max="15" width="1.6640625" style="241" customWidth="1"/>
    <col min="16" max="16" width="11.6640625" style="241" customWidth="1"/>
    <col min="17" max="17" width="1.6640625" style="241" customWidth="1"/>
    <col min="18" max="18" width="11.5546875" style="241" customWidth="1"/>
    <col min="19" max="19" width="1.6640625" style="241" customWidth="1"/>
    <col min="20" max="20" width="12.109375" style="241" customWidth="1"/>
    <col min="21" max="21" width="1.6640625" style="241" customWidth="1"/>
    <col min="22" max="22" width="13" style="241" customWidth="1"/>
    <col min="23" max="23" width="1.6640625" style="241" customWidth="1"/>
    <col min="24" max="24" width="12.109375" style="241" customWidth="1"/>
    <col min="25" max="25" width="1.6640625" style="241" customWidth="1"/>
    <col min="26" max="26" width="11.44140625" style="241" customWidth="1"/>
    <col min="27" max="27" width="1.109375" style="241" customWidth="1"/>
    <col min="28" max="29" width="1.6640625" style="241" customWidth="1"/>
    <col min="30" max="30" width="15.6640625" style="864" customWidth="1"/>
    <col min="31" max="32" width="1.44140625" style="864" customWidth="1"/>
    <col min="33" max="33" width="12.6640625" style="864" bestFit="1" customWidth="1"/>
    <col min="34" max="34" width="1.5546875" style="241" customWidth="1"/>
    <col min="35" max="35" width="0.6640625" style="241" customWidth="1"/>
    <col min="36" max="36" width="14.6640625" style="241" customWidth="1"/>
    <col min="37" max="37" width="0.6640625" style="241" customWidth="1"/>
    <col min="38" max="38" width="12.109375" style="241" customWidth="1"/>
    <col min="39" max="16384" width="8.6640625" style="241"/>
  </cols>
  <sheetData>
    <row r="1" spans="1:40" ht="15">
      <c r="B1" s="625" t="s">
        <v>870</v>
      </c>
    </row>
    <row r="2" spans="1:40" ht="15.75">
      <c r="A2" s="240"/>
      <c r="M2" s="26"/>
      <c r="N2" s="26"/>
      <c r="O2" s="259"/>
    </row>
    <row r="3" spans="1:40" ht="20.25" customHeight="1">
      <c r="A3" s="240"/>
      <c r="B3" s="243" t="s">
        <v>0</v>
      </c>
      <c r="M3" s="26"/>
      <c r="N3" s="26"/>
      <c r="O3" s="259"/>
      <c r="AF3" s="3336"/>
      <c r="AG3" s="3337"/>
      <c r="AH3" s="282"/>
      <c r="AI3" s="282"/>
      <c r="AJ3" s="282"/>
      <c r="AK3" s="282"/>
      <c r="AL3" s="383" t="s">
        <v>165</v>
      </c>
    </row>
    <row r="4" spans="1:40" ht="18">
      <c r="A4" s="240"/>
      <c r="B4" s="243" t="s">
        <v>172</v>
      </c>
      <c r="L4" s="26"/>
      <c r="M4" s="26"/>
      <c r="O4" s="259"/>
    </row>
    <row r="5" spans="1:40" ht="18">
      <c r="A5" s="240"/>
      <c r="B5" s="314" t="s">
        <v>145</v>
      </c>
      <c r="L5" s="259"/>
      <c r="M5" s="259"/>
      <c r="O5" s="259"/>
      <c r="X5" s="283"/>
    </row>
    <row r="6" spans="1:40" ht="20.25">
      <c r="A6" s="240"/>
      <c r="B6" s="1492" t="str">
        <f>'Cashflow Governmental'!A6</f>
        <v xml:space="preserve">FISCAL YEAR 2022-2023   </v>
      </c>
      <c r="L6" s="259"/>
      <c r="M6" s="259"/>
      <c r="O6" s="259"/>
      <c r="AL6" s="263"/>
    </row>
    <row r="7" spans="1:40" ht="18">
      <c r="A7" s="240"/>
      <c r="B7" s="243" t="s">
        <v>1253</v>
      </c>
      <c r="AI7" s="144"/>
      <c r="AJ7" s="144"/>
      <c r="AK7" s="144"/>
      <c r="AL7" s="144"/>
    </row>
    <row r="8" spans="1:40" ht="13.5" customHeight="1">
      <c r="A8" s="240"/>
      <c r="D8" s="2081"/>
      <c r="L8" s="259"/>
      <c r="M8" s="259"/>
      <c r="N8" s="259"/>
      <c r="O8" s="259"/>
      <c r="AC8" s="144"/>
      <c r="AD8" s="3051"/>
      <c r="AE8" s="3051"/>
      <c r="AF8" s="1047"/>
      <c r="AG8" s="1047"/>
      <c r="AH8" s="144"/>
      <c r="AI8" s="259"/>
      <c r="AJ8" s="259"/>
      <c r="AK8" s="259"/>
      <c r="AL8" s="259"/>
    </row>
    <row r="9" spans="1:40" ht="20.25" customHeight="1">
      <c r="A9" s="240"/>
      <c r="M9" s="259"/>
      <c r="N9" s="259"/>
      <c r="O9" s="259"/>
      <c r="AC9" s="3953" t="str">
        <f>'Exhibit G'!AC9:AL9</f>
        <v>2 Months Ended May 31</v>
      </c>
      <c r="AD9" s="3953"/>
      <c r="AE9" s="3953"/>
      <c r="AF9" s="3953"/>
      <c r="AG9" s="3953"/>
      <c r="AH9" s="3953"/>
      <c r="AI9" s="3953"/>
      <c r="AJ9" s="3953"/>
      <c r="AK9" s="3953"/>
      <c r="AL9" s="3953"/>
    </row>
    <row r="10" spans="1:40" ht="15.75">
      <c r="A10" s="240"/>
      <c r="B10" s="27"/>
      <c r="C10" s="27"/>
      <c r="D10" s="725" t="str">
        <f>'Cashflow Governmental'!C13</f>
        <v>2022</v>
      </c>
      <c r="E10" s="26"/>
      <c r="F10" s="26"/>
      <c r="G10" s="26"/>
      <c r="H10" s="26"/>
      <c r="I10" s="26"/>
      <c r="J10" s="26"/>
      <c r="K10" s="26"/>
      <c r="L10" s="26"/>
      <c r="M10" s="26"/>
      <c r="N10" s="26"/>
      <c r="O10" s="26"/>
      <c r="P10" s="26"/>
      <c r="Q10" s="26"/>
      <c r="R10" s="26"/>
      <c r="S10" s="26"/>
      <c r="T10" s="26"/>
      <c r="U10" s="26"/>
      <c r="V10" s="725">
        <f>'Cashflow Governmental'!U13</f>
        <v>2023</v>
      </c>
      <c r="W10" s="26"/>
      <c r="X10" s="26"/>
      <c r="Y10" s="26"/>
      <c r="Z10" s="26"/>
      <c r="AA10" s="26"/>
      <c r="AB10" s="26"/>
      <c r="AC10" s="26"/>
      <c r="AD10" s="3052"/>
      <c r="AE10" s="3052"/>
      <c r="AF10" s="3052"/>
      <c r="AG10" s="3052"/>
      <c r="AH10" s="204"/>
      <c r="AI10" s="203"/>
      <c r="AJ10" s="729" t="s">
        <v>7</v>
      </c>
      <c r="AK10" s="729"/>
      <c r="AL10" s="729" t="s">
        <v>8</v>
      </c>
      <c r="AM10" s="732"/>
      <c r="AN10" s="732"/>
    </row>
    <row r="11" spans="1:40" ht="15.75">
      <c r="A11" s="240"/>
      <c r="B11" s="27"/>
      <c r="C11" s="27"/>
      <c r="D11" s="1034" t="s">
        <v>122</v>
      </c>
      <c r="E11" s="26"/>
      <c r="F11" s="1034" t="s">
        <v>123</v>
      </c>
      <c r="G11" s="26"/>
      <c r="H11" s="1034" t="s">
        <v>124</v>
      </c>
      <c r="I11" s="26"/>
      <c r="J11" s="1034" t="s">
        <v>125</v>
      </c>
      <c r="K11" s="26"/>
      <c r="L11" s="1034" t="s">
        <v>126</v>
      </c>
      <c r="M11" s="26"/>
      <c r="N11" s="1034" t="s">
        <v>141</v>
      </c>
      <c r="O11" s="26"/>
      <c r="P11" s="1034" t="s">
        <v>142</v>
      </c>
      <c r="Q11" s="26"/>
      <c r="R11" s="1034" t="s">
        <v>129</v>
      </c>
      <c r="S11" s="26"/>
      <c r="T11" s="1034" t="s">
        <v>130</v>
      </c>
      <c r="U11" s="26"/>
      <c r="V11" s="1034" t="s">
        <v>131</v>
      </c>
      <c r="W11" s="26"/>
      <c r="X11" s="1034" t="s">
        <v>132</v>
      </c>
      <c r="Y11" s="26"/>
      <c r="Z11" s="1034" t="s">
        <v>182</v>
      </c>
      <c r="AA11" s="733"/>
      <c r="AB11" s="26"/>
      <c r="AC11" s="26"/>
      <c r="AD11" s="3053">
        <f>'Cashflow Governmental'!AB14</f>
        <v>2022</v>
      </c>
      <c r="AE11" s="720"/>
      <c r="AF11" s="719" t="s">
        <v>14</v>
      </c>
      <c r="AG11" s="3053">
        <f>'Cashflow Governmental'!AE14</f>
        <v>2021</v>
      </c>
      <c r="AH11" s="715"/>
      <c r="AI11" s="203"/>
      <c r="AJ11" s="1040" t="s">
        <v>11</v>
      </c>
      <c r="AK11" s="728"/>
      <c r="AL11" s="1040" t="s">
        <v>12</v>
      </c>
      <c r="AM11" s="732"/>
      <c r="AN11" s="732" t="s">
        <v>14</v>
      </c>
    </row>
    <row r="12" spans="1:40" ht="5.25" customHeight="1">
      <c r="A12" s="240"/>
      <c r="B12" s="27"/>
      <c r="C12" s="27"/>
      <c r="D12" s="733"/>
      <c r="E12" s="26"/>
      <c r="F12" s="733"/>
      <c r="G12" s="26"/>
      <c r="H12" s="733"/>
      <c r="I12" s="26"/>
      <c r="J12" s="733"/>
      <c r="K12" s="26"/>
      <c r="L12" s="733"/>
      <c r="M12" s="26"/>
      <c r="N12" s="733"/>
      <c r="O12" s="26"/>
      <c r="P12" s="733"/>
      <c r="Q12" s="26"/>
      <c r="R12" s="733"/>
      <c r="S12" s="26"/>
      <c r="T12" s="733"/>
      <c r="U12" s="26"/>
      <c r="V12" s="733"/>
      <c r="W12" s="26"/>
      <c r="X12" s="733"/>
      <c r="Y12" s="26"/>
      <c r="Z12" s="733"/>
      <c r="AA12" s="733"/>
      <c r="AB12" s="26"/>
      <c r="AC12" s="26"/>
      <c r="AD12" s="3054"/>
      <c r="AE12" s="720"/>
      <c r="AF12" s="719"/>
      <c r="AG12" s="3054"/>
      <c r="AH12" s="715"/>
      <c r="AI12" s="203"/>
      <c r="AJ12" s="728"/>
      <c r="AK12" s="728"/>
      <c r="AL12" s="728"/>
      <c r="AM12" s="732"/>
      <c r="AN12" s="732"/>
    </row>
    <row r="13" spans="1:40" s="1039" customFormat="1" ht="15.75">
      <c r="A13" s="1037"/>
      <c r="B13" s="1803" t="s">
        <v>1148</v>
      </c>
      <c r="C13" s="34"/>
      <c r="D13" s="300">
        <v>7612.5</v>
      </c>
      <c r="E13" s="248"/>
      <c r="F13" s="1806">
        <f>D121</f>
        <v>8528.2000000000007</v>
      </c>
      <c r="G13" s="248"/>
      <c r="H13" s="1806"/>
      <c r="I13" s="248"/>
      <c r="J13" s="1806"/>
      <c r="K13" s="248"/>
      <c r="L13" s="1806"/>
      <c r="M13" s="248"/>
      <c r="N13" s="1806"/>
      <c r="O13" s="248"/>
      <c r="P13" s="1806"/>
      <c r="Q13" s="248"/>
      <c r="R13" s="1806"/>
      <c r="S13" s="248"/>
      <c r="T13" s="1806"/>
      <c r="U13" s="248"/>
      <c r="V13" s="1806"/>
      <c r="W13" s="248"/>
      <c r="X13" s="1806"/>
      <c r="Y13" s="248"/>
      <c r="Z13" s="1806"/>
      <c r="AA13" s="733"/>
      <c r="AB13" s="248"/>
      <c r="AC13" s="2079"/>
      <c r="AD13" s="3055">
        <f>D13</f>
        <v>7612.5</v>
      </c>
      <c r="AE13" s="3054"/>
      <c r="AF13" s="3058"/>
      <c r="AG13" s="133">
        <v>5708.6</v>
      </c>
      <c r="AH13" s="715"/>
      <c r="AI13" s="265"/>
      <c r="AJ13" s="1804">
        <f>ROUND(SUM(+AD13-AG13),1)</f>
        <v>1903.9</v>
      </c>
      <c r="AK13" s="106"/>
      <c r="AL13" s="1807">
        <f>ROUND(IF(AG13=0,1,AJ13/ABS(AG13)),3)</f>
        <v>0.33400000000000002</v>
      </c>
      <c r="AM13" s="1038"/>
      <c r="AN13" s="1038" t="s">
        <v>14</v>
      </c>
    </row>
    <row r="14" spans="1:40" s="1039" customFormat="1" ht="15.75">
      <c r="A14" s="1037"/>
      <c r="B14" s="1803"/>
      <c r="C14" s="34"/>
      <c r="D14" s="733"/>
      <c r="E14" s="248"/>
      <c r="F14" s="733"/>
      <c r="G14" s="248"/>
      <c r="H14" s="733"/>
      <c r="I14" s="248"/>
      <c r="J14" s="733"/>
      <c r="K14" s="248"/>
      <c r="L14" s="733"/>
      <c r="M14" s="248"/>
      <c r="N14" s="733"/>
      <c r="O14" s="248"/>
      <c r="P14" s="733"/>
      <c r="Q14" s="248"/>
      <c r="R14" s="733"/>
      <c r="S14" s="248"/>
      <c r="T14" s="733"/>
      <c r="U14" s="248"/>
      <c r="V14" s="733"/>
      <c r="W14" s="248"/>
      <c r="X14" s="733"/>
      <c r="Y14" s="248"/>
      <c r="Z14" s="733"/>
      <c r="AA14" s="733"/>
      <c r="AB14" s="248"/>
      <c r="AC14" s="2079"/>
      <c r="AD14" s="3054"/>
      <c r="AE14" s="3054"/>
      <c r="AF14" s="3058"/>
      <c r="AG14" s="3054"/>
      <c r="AH14" s="715"/>
      <c r="AI14" s="265"/>
      <c r="AJ14" s="728"/>
      <c r="AK14" s="728"/>
      <c r="AL14" s="728"/>
      <c r="AM14" s="1038"/>
      <c r="AN14" s="1038"/>
    </row>
    <row r="15" spans="1:40" ht="15" customHeight="1">
      <c r="A15" s="144"/>
      <c r="B15" s="26" t="s">
        <v>13</v>
      </c>
      <c r="C15" s="28"/>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1036"/>
      <c r="AD15" s="1066"/>
      <c r="AE15" s="100"/>
      <c r="AF15" s="3059"/>
      <c r="AG15" s="100"/>
      <c r="AH15" s="34"/>
      <c r="AI15" s="265"/>
      <c r="AJ15" s="27"/>
      <c r="AK15" s="27"/>
      <c r="AL15" s="27"/>
    </row>
    <row r="16" spans="1:40" ht="15" customHeight="1">
      <c r="A16" s="144"/>
      <c r="B16" s="255" t="s">
        <v>980</v>
      </c>
      <c r="C16" s="28"/>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85"/>
      <c r="AD16" s="1066"/>
      <c r="AE16" s="100"/>
      <c r="AF16" s="3060"/>
      <c r="AG16" s="100"/>
      <c r="AH16" s="268"/>
      <c r="AI16" s="34"/>
      <c r="AJ16" s="27"/>
      <c r="AK16" s="27"/>
      <c r="AL16" s="27"/>
    </row>
    <row r="17" spans="1:38" s="1779" customFormat="1" ht="15" customHeight="1">
      <c r="A17" s="1776"/>
      <c r="B17" s="1177" t="s">
        <v>983</v>
      </c>
      <c r="C17" s="99"/>
      <c r="D17" s="873">
        <v>0</v>
      </c>
      <c r="E17" s="1489"/>
      <c r="F17" s="3766">
        <f>$AD17-D17</f>
        <v>0</v>
      </c>
      <c r="G17" s="1489"/>
      <c r="H17" s="3766"/>
      <c r="I17" s="1489"/>
      <c r="J17" s="3766"/>
      <c r="K17" s="1495"/>
      <c r="L17" s="3766"/>
      <c r="M17" s="1748"/>
      <c r="N17" s="3766"/>
      <c r="O17" s="1748"/>
      <c r="P17" s="3766"/>
      <c r="Q17" s="1930"/>
      <c r="R17" s="3766"/>
      <c r="S17" s="1930"/>
      <c r="T17" s="3766"/>
      <c r="U17" s="1930"/>
      <c r="V17" s="3766"/>
      <c r="W17" s="1930"/>
      <c r="X17" s="3766"/>
      <c r="Y17" s="1930"/>
      <c r="Z17" s="1741"/>
      <c r="AA17" s="1931"/>
      <c r="AB17" s="1969"/>
      <c r="AC17" s="1970"/>
      <c r="AD17" s="1741">
        <v>0</v>
      </c>
      <c r="AE17" s="1971"/>
      <c r="AF17" s="3061"/>
      <c r="AG17" s="1741">
        <v>0</v>
      </c>
      <c r="AH17" s="1777"/>
      <c r="AI17" s="992"/>
      <c r="AJ17" s="872">
        <f>ROUND(SUM(+AD17-AG17),1)</f>
        <v>0</v>
      </c>
      <c r="AK17" s="872"/>
      <c r="AL17" s="1770">
        <f>ROUND(IF(AG17=0,0,AJ17/ABS(AG17)),3)</f>
        <v>0</v>
      </c>
    </row>
    <row r="18" spans="1:38" s="1779" customFormat="1" ht="6" customHeight="1">
      <c r="A18" s="1776"/>
      <c r="B18" s="1177"/>
      <c r="C18" s="99"/>
      <c r="D18" s="873" t="s">
        <v>14</v>
      </c>
      <c r="E18" s="88"/>
      <c r="F18" s="873"/>
      <c r="G18" s="88"/>
      <c r="H18" s="873"/>
      <c r="I18" s="88"/>
      <c r="J18" s="873"/>
      <c r="K18" s="129"/>
      <c r="L18" s="873"/>
      <c r="M18" s="129"/>
      <c r="N18" s="873"/>
      <c r="O18" s="129"/>
      <c r="P18" s="1741"/>
      <c r="Q18" s="1972"/>
      <c r="R18" s="3766"/>
      <c r="S18" s="1972"/>
      <c r="T18" s="1741"/>
      <c r="U18" s="1972"/>
      <c r="V18" s="1741"/>
      <c r="W18" s="1972"/>
      <c r="X18" s="1741"/>
      <c r="Y18" s="1972"/>
      <c r="Z18" s="1741"/>
      <c r="AA18" s="1973"/>
      <c r="AB18" s="1972"/>
      <c r="AC18" s="1974"/>
      <c r="AD18" s="1972"/>
      <c r="AE18" s="1971"/>
      <c r="AF18" s="3062"/>
      <c r="AG18" s="1972"/>
      <c r="AH18" s="1777"/>
      <c r="AI18" s="992"/>
      <c r="AJ18" s="129"/>
      <c r="AK18" s="106"/>
      <c r="AL18" s="1778"/>
    </row>
    <row r="19" spans="1:38" s="864" customFormat="1" ht="15" customHeight="1">
      <c r="A19" s="1047"/>
      <c r="B19" s="1177" t="s">
        <v>1039</v>
      </c>
      <c r="C19" s="101"/>
      <c r="D19" s="873" t="s">
        <v>14</v>
      </c>
      <c r="E19" s="1489"/>
      <c r="F19" s="873"/>
      <c r="G19" s="1489"/>
      <c r="H19" s="873"/>
      <c r="I19" s="1489"/>
      <c r="J19" s="873"/>
      <c r="K19" s="112"/>
      <c r="L19" s="873"/>
      <c r="M19" s="112"/>
      <c r="N19" s="873"/>
      <c r="O19" s="112"/>
      <c r="P19" s="1741"/>
      <c r="Q19" s="1938"/>
      <c r="R19" s="3766"/>
      <c r="S19" s="1938"/>
      <c r="T19" s="1741"/>
      <c r="U19" s="1938"/>
      <c r="V19" s="1741"/>
      <c r="W19" s="1938"/>
      <c r="X19" s="1741"/>
      <c r="Y19" s="1938"/>
      <c r="Z19" s="1741"/>
      <c r="AA19" s="1938"/>
      <c r="AB19" s="1938"/>
      <c r="AC19" s="1940"/>
      <c r="AD19" s="1938"/>
      <c r="AE19" s="1938"/>
      <c r="AF19" s="3063"/>
      <c r="AG19" s="1938"/>
      <c r="AH19" s="1050"/>
      <c r="AI19" s="62"/>
      <c r="AJ19" s="872"/>
      <c r="AK19" s="865"/>
      <c r="AL19" s="1780"/>
    </row>
    <row r="20" spans="1:38" s="864" customFormat="1" ht="15" customHeight="1">
      <c r="A20" s="1047"/>
      <c r="B20" s="1054" t="s">
        <v>995</v>
      </c>
      <c r="C20" s="101"/>
      <c r="D20" s="873">
        <v>135.1</v>
      </c>
      <c r="E20" s="1791"/>
      <c r="F20" s="3766">
        <f t="shared" ref="F20:F27" si="0">$AD20-D20</f>
        <v>87</v>
      </c>
      <c r="G20" s="1791"/>
      <c r="H20" s="873"/>
      <c r="I20" s="1791"/>
      <c r="J20" s="3766"/>
      <c r="K20" s="1495"/>
      <c r="L20" s="3766"/>
      <c r="M20" s="1495"/>
      <c r="N20" s="3766"/>
      <c r="O20" s="1495"/>
      <c r="P20" s="3766"/>
      <c r="Q20" s="1941"/>
      <c r="R20" s="3766"/>
      <c r="S20" s="1941"/>
      <c r="T20" s="3766"/>
      <c r="U20" s="1941"/>
      <c r="V20" s="3766"/>
      <c r="W20" s="1941"/>
      <c r="X20" s="3766"/>
      <c r="Y20" s="1941"/>
      <c r="Z20" s="1741"/>
      <c r="AA20" s="1942"/>
      <c r="AB20" s="1943"/>
      <c r="AC20" s="1945"/>
      <c r="AD20" s="1741">
        <v>222.1</v>
      </c>
      <c r="AE20" s="1975"/>
      <c r="AF20" s="3064"/>
      <c r="AG20" s="1741">
        <v>189.7</v>
      </c>
      <c r="AH20" s="1050"/>
      <c r="AI20" s="62"/>
      <c r="AJ20" s="872">
        <f t="shared" ref="AJ20:AJ27" si="1">ROUND(SUM(+AD20-AG20),1)</f>
        <v>32.4</v>
      </c>
      <c r="AK20" s="865"/>
      <c r="AL20" s="1774">
        <f t="shared" ref="AL20:AL28" si="2">ROUND(IF(AG20=0,0,AJ20/ABS(AG20)),3)</f>
        <v>0.17100000000000001</v>
      </c>
    </row>
    <row r="21" spans="1:38" s="864" customFormat="1" ht="15" customHeight="1">
      <c r="A21" s="1047"/>
      <c r="B21" s="1054" t="s">
        <v>996</v>
      </c>
      <c r="C21" s="101"/>
      <c r="D21" s="873">
        <v>1.8</v>
      </c>
      <c r="E21" s="1791"/>
      <c r="F21" s="3766">
        <f t="shared" si="0"/>
        <v>0</v>
      </c>
      <c r="G21" s="1791"/>
      <c r="H21" s="873"/>
      <c r="I21" s="1791"/>
      <c r="J21" s="3766"/>
      <c r="K21" s="1495"/>
      <c r="L21" s="3766"/>
      <c r="M21" s="1495"/>
      <c r="N21" s="3766"/>
      <c r="O21" s="1495"/>
      <c r="P21" s="3766"/>
      <c r="Q21" s="1941"/>
      <c r="R21" s="3766"/>
      <c r="S21" s="1941"/>
      <c r="T21" s="3766"/>
      <c r="U21" s="1941"/>
      <c r="V21" s="3766"/>
      <c r="W21" s="1941"/>
      <c r="X21" s="3766"/>
      <c r="Y21" s="1941"/>
      <c r="Z21" s="1741"/>
      <c r="AA21" s="1942"/>
      <c r="AB21" s="1943"/>
      <c r="AC21" s="1945"/>
      <c r="AD21" s="1741">
        <v>1.8</v>
      </c>
      <c r="AE21" s="1975"/>
      <c r="AF21" s="3064"/>
      <c r="AG21" s="1741">
        <v>-0.2</v>
      </c>
      <c r="AH21" s="1050"/>
      <c r="AI21" s="62"/>
      <c r="AJ21" s="872">
        <f t="shared" si="1"/>
        <v>2</v>
      </c>
      <c r="AK21" s="865"/>
      <c r="AL21" s="3923">
        <f>ROUND(IF(AG21=0,1,AJ21/ABS(AG21)),3)</f>
        <v>10</v>
      </c>
    </row>
    <row r="22" spans="1:38" s="864" customFormat="1" ht="15" customHeight="1">
      <c r="A22" s="1047"/>
      <c r="B22" s="1054" t="s">
        <v>997</v>
      </c>
      <c r="C22" s="101"/>
      <c r="D22" s="873">
        <v>57.699999999999996</v>
      </c>
      <c r="E22" s="1791"/>
      <c r="F22" s="3766">
        <f t="shared" si="0"/>
        <v>51.70000000000001</v>
      </c>
      <c r="G22" s="1791"/>
      <c r="H22" s="873"/>
      <c r="I22" s="1791"/>
      <c r="J22" s="3766"/>
      <c r="K22" s="1495"/>
      <c r="L22" s="3766"/>
      <c r="M22" s="1495"/>
      <c r="N22" s="3766"/>
      <c r="O22" s="1495"/>
      <c r="P22" s="3766"/>
      <c r="Q22" s="1941"/>
      <c r="R22" s="3766"/>
      <c r="S22" s="1941"/>
      <c r="T22" s="3766"/>
      <c r="U22" s="1941"/>
      <c r="V22" s="3766"/>
      <c r="W22" s="1941"/>
      <c r="X22" s="3766"/>
      <c r="Y22" s="1941"/>
      <c r="Z22" s="1741"/>
      <c r="AA22" s="1942"/>
      <c r="AB22" s="1943"/>
      <c r="AC22" s="1945"/>
      <c r="AD22" s="1741">
        <v>109.4</v>
      </c>
      <c r="AE22" s="1975"/>
      <c r="AF22" s="3064"/>
      <c r="AG22" s="1741">
        <v>121.5</v>
      </c>
      <c r="AH22" s="1050"/>
      <c r="AI22" s="62"/>
      <c r="AJ22" s="872">
        <f t="shared" si="1"/>
        <v>-12.1</v>
      </c>
      <c r="AK22" s="865"/>
      <c r="AL22" s="1770">
        <f t="shared" si="2"/>
        <v>-0.1</v>
      </c>
    </row>
    <row r="23" spans="1:38" s="864" customFormat="1" ht="15" customHeight="1">
      <c r="A23" s="1047"/>
      <c r="B23" s="1747" t="s">
        <v>1447</v>
      </c>
      <c r="C23" s="101"/>
      <c r="D23" s="873">
        <v>1</v>
      </c>
      <c r="E23" s="1791"/>
      <c r="F23" s="3766">
        <f t="shared" si="0"/>
        <v>1.2000000000000002</v>
      </c>
      <c r="G23" s="1791"/>
      <c r="H23" s="873"/>
      <c r="I23" s="1791"/>
      <c r="J23" s="3766"/>
      <c r="K23" s="1495"/>
      <c r="L23" s="3766"/>
      <c r="M23" s="1495"/>
      <c r="N23" s="3766"/>
      <c r="O23" s="1495"/>
      <c r="P23" s="3766"/>
      <c r="Q23" s="1941"/>
      <c r="R23" s="3766"/>
      <c r="S23" s="1941"/>
      <c r="T23" s="3766"/>
      <c r="U23" s="1941"/>
      <c r="V23" s="3766"/>
      <c r="W23" s="1941"/>
      <c r="X23" s="3766"/>
      <c r="Y23" s="1941"/>
      <c r="Z23" s="1741"/>
      <c r="AA23" s="1942"/>
      <c r="AB23" s="1943"/>
      <c r="AC23" s="1945"/>
      <c r="AD23" s="1741">
        <v>2.2000000000000002</v>
      </c>
      <c r="AE23" s="1975"/>
      <c r="AF23" s="3064"/>
      <c r="AG23" s="1741">
        <v>2.6</v>
      </c>
      <c r="AH23" s="1050"/>
      <c r="AI23" s="62"/>
      <c r="AJ23" s="872">
        <f t="shared" si="1"/>
        <v>-0.4</v>
      </c>
      <c r="AK23" s="865"/>
      <c r="AL23" s="1677">
        <f>ROUND(IF(AG23=0,1,AJ23/ABS(AG23)),3)</f>
        <v>-0.154</v>
      </c>
    </row>
    <row r="24" spans="1:38" s="864" customFormat="1" ht="15" customHeight="1">
      <c r="A24" s="1047"/>
      <c r="B24" s="1054" t="s">
        <v>998</v>
      </c>
      <c r="C24" s="101"/>
      <c r="D24" s="873">
        <v>6</v>
      </c>
      <c r="E24" s="1791"/>
      <c r="F24" s="3766">
        <f t="shared" si="0"/>
        <v>8</v>
      </c>
      <c r="G24" s="1791"/>
      <c r="H24" s="873"/>
      <c r="I24" s="1791"/>
      <c r="J24" s="3766"/>
      <c r="K24" s="1495"/>
      <c r="L24" s="3766"/>
      <c r="M24" s="1495"/>
      <c r="N24" s="3766"/>
      <c r="O24" s="1495"/>
      <c r="P24" s="3766"/>
      <c r="Q24" s="1941"/>
      <c r="R24" s="3766"/>
      <c r="S24" s="1941"/>
      <c r="T24" s="3766"/>
      <c r="U24" s="1941"/>
      <c r="V24" s="3766"/>
      <c r="W24" s="1941"/>
      <c r="X24" s="3766"/>
      <c r="Y24" s="1941"/>
      <c r="Z24" s="1741"/>
      <c r="AA24" s="1942"/>
      <c r="AB24" s="1943"/>
      <c r="AC24" s="1945"/>
      <c r="AD24" s="1741">
        <v>14</v>
      </c>
      <c r="AE24" s="1975"/>
      <c r="AF24" s="3064"/>
      <c r="AG24" s="1741">
        <v>15.8</v>
      </c>
      <c r="AH24" s="1050"/>
      <c r="AI24" s="62"/>
      <c r="AJ24" s="872">
        <f t="shared" si="1"/>
        <v>-1.8</v>
      </c>
      <c r="AK24" s="865"/>
      <c r="AL24" s="1774">
        <f t="shared" si="2"/>
        <v>-0.114</v>
      </c>
    </row>
    <row r="25" spans="1:38" s="864" customFormat="1" ht="15" customHeight="1">
      <c r="A25" s="1047"/>
      <c r="B25" s="1054" t="s">
        <v>999</v>
      </c>
      <c r="C25" s="101"/>
      <c r="D25" s="873">
        <v>0</v>
      </c>
      <c r="E25" s="1791"/>
      <c r="F25" s="3766">
        <f t="shared" si="0"/>
        <v>0</v>
      </c>
      <c r="G25" s="1791"/>
      <c r="H25" s="873"/>
      <c r="I25" s="1791"/>
      <c r="J25" s="3766"/>
      <c r="K25" s="1495"/>
      <c r="L25" s="3766"/>
      <c r="M25" s="1495"/>
      <c r="N25" s="3766"/>
      <c r="O25" s="1495"/>
      <c r="P25" s="3766"/>
      <c r="Q25" s="1941"/>
      <c r="R25" s="3766"/>
      <c r="S25" s="1941"/>
      <c r="T25" s="3766"/>
      <c r="U25" s="1941"/>
      <c r="V25" s="3766"/>
      <c r="W25" s="1941"/>
      <c r="X25" s="3766"/>
      <c r="Y25" s="1941"/>
      <c r="Z25" s="1741"/>
      <c r="AA25" s="1942"/>
      <c r="AB25" s="1943"/>
      <c r="AC25" s="1945"/>
      <c r="AD25" s="1741">
        <v>0</v>
      </c>
      <c r="AE25" s="1975"/>
      <c r="AF25" s="3064"/>
      <c r="AG25" s="1741">
        <v>0</v>
      </c>
      <c r="AH25" s="1050"/>
      <c r="AI25" s="62"/>
      <c r="AJ25" s="872">
        <f t="shared" si="1"/>
        <v>0</v>
      </c>
      <c r="AK25" s="865"/>
      <c r="AL25" s="1774">
        <f t="shared" si="2"/>
        <v>0</v>
      </c>
    </row>
    <row r="26" spans="1:38" s="864" customFormat="1" ht="15" customHeight="1">
      <c r="A26" s="1047"/>
      <c r="B26" s="1054" t="s">
        <v>1000</v>
      </c>
      <c r="C26" s="101"/>
      <c r="D26" s="873">
        <v>0.1</v>
      </c>
      <c r="E26" s="1791"/>
      <c r="F26" s="3766">
        <f t="shared" si="0"/>
        <v>0</v>
      </c>
      <c r="G26" s="1791"/>
      <c r="H26" s="873"/>
      <c r="I26" s="1791"/>
      <c r="J26" s="3766"/>
      <c r="K26" s="1495"/>
      <c r="L26" s="3766"/>
      <c r="M26" s="1495"/>
      <c r="N26" s="3766"/>
      <c r="O26" s="1495"/>
      <c r="P26" s="3766"/>
      <c r="Q26" s="1941"/>
      <c r="R26" s="3766"/>
      <c r="S26" s="1941"/>
      <c r="T26" s="3766"/>
      <c r="U26" s="1941"/>
      <c r="V26" s="3766"/>
      <c r="W26" s="1941"/>
      <c r="X26" s="3766"/>
      <c r="Y26" s="1941"/>
      <c r="Z26" s="1741"/>
      <c r="AA26" s="1942"/>
      <c r="AB26" s="1943"/>
      <c r="AC26" s="1945"/>
      <c r="AD26" s="1741">
        <v>0.1</v>
      </c>
      <c r="AE26" s="1975"/>
      <c r="AF26" s="3064"/>
      <c r="AG26" s="1741">
        <v>0.1</v>
      </c>
      <c r="AH26" s="1050"/>
      <c r="AI26" s="62"/>
      <c r="AJ26" s="872">
        <f t="shared" si="1"/>
        <v>0</v>
      </c>
      <c r="AK26" s="865"/>
      <c r="AL26" s="1781">
        <f>ROUND(IF(AG26=0,1,AJ26/ABS(AG26)),3)</f>
        <v>0</v>
      </c>
    </row>
    <row r="27" spans="1:38" s="864" customFormat="1" ht="15" customHeight="1">
      <c r="A27" s="1047"/>
      <c r="B27" s="2171" t="s">
        <v>1311</v>
      </c>
      <c r="C27" s="101"/>
      <c r="D27" s="873">
        <v>-0.1</v>
      </c>
      <c r="E27" s="1791"/>
      <c r="F27" s="3766">
        <f t="shared" si="0"/>
        <v>0.1</v>
      </c>
      <c r="G27" s="1791"/>
      <c r="H27" s="873"/>
      <c r="I27" s="1791"/>
      <c r="J27" s="3766"/>
      <c r="K27" s="1495"/>
      <c r="L27" s="3766"/>
      <c r="M27" s="1495"/>
      <c r="N27" s="3766"/>
      <c r="O27" s="1495"/>
      <c r="P27" s="3766"/>
      <c r="Q27" s="1941"/>
      <c r="R27" s="3766"/>
      <c r="S27" s="1941"/>
      <c r="T27" s="3766"/>
      <c r="U27" s="1941"/>
      <c r="V27" s="3766"/>
      <c r="W27" s="1941"/>
      <c r="X27" s="3766"/>
      <c r="Y27" s="1941"/>
      <c r="Z27" s="1741"/>
      <c r="AA27" s="1942"/>
      <c r="AB27" s="1943"/>
      <c r="AC27" s="1945"/>
      <c r="AD27" s="1741">
        <v>0</v>
      </c>
      <c r="AE27" s="1975"/>
      <c r="AF27" s="3064"/>
      <c r="AG27" s="1741">
        <v>0.2</v>
      </c>
      <c r="AH27" s="1050"/>
      <c r="AI27" s="62"/>
      <c r="AJ27" s="872">
        <f t="shared" si="1"/>
        <v>-0.2</v>
      </c>
      <c r="AK27" s="865"/>
      <c r="AL27" s="1781">
        <f>ROUND(IF(AG27=0,1,AJ27/ABS(AG27)),3)</f>
        <v>-1</v>
      </c>
    </row>
    <row r="28" spans="1:38" s="732" customFormat="1" ht="15" customHeight="1">
      <c r="A28" s="1045"/>
      <c r="B28" s="1055" t="s">
        <v>1105</v>
      </c>
      <c r="C28" s="26"/>
      <c r="D28" s="1789">
        <f>ROUND(SUM(D20:D27),1)</f>
        <v>201.6</v>
      </c>
      <c r="E28" s="899"/>
      <c r="F28" s="1789">
        <f>ROUND(SUM(F20:F27),1)</f>
        <v>148</v>
      </c>
      <c r="G28" s="899"/>
      <c r="H28" s="1789">
        <f>ROUND(SUM(H20:H27),1)</f>
        <v>0</v>
      </c>
      <c r="I28" s="899"/>
      <c r="J28" s="1789">
        <f>ROUND(SUM(J20:J27),1)</f>
        <v>0</v>
      </c>
      <c r="K28" s="899"/>
      <c r="L28" s="56">
        <f>ROUND(SUM(L20:L27),1)</f>
        <v>0</v>
      </c>
      <c r="M28" s="899"/>
      <c r="N28" s="56">
        <f>ROUND(SUM(N20:N27),1)</f>
        <v>0</v>
      </c>
      <c r="O28" s="899"/>
      <c r="P28" s="1976">
        <f>ROUND(SUM(P20:P27),1)</f>
        <v>0</v>
      </c>
      <c r="Q28" s="1429"/>
      <c r="R28" s="1976">
        <f>ROUND(SUM(R20:R27),1)</f>
        <v>0</v>
      </c>
      <c r="S28" s="1429"/>
      <c r="T28" s="1976">
        <f>ROUND(SUM(T20:T27),1)</f>
        <v>0</v>
      </c>
      <c r="U28" s="1429"/>
      <c r="V28" s="1976">
        <f>ROUND(SUM(V20:V27),1)</f>
        <v>0</v>
      </c>
      <c r="W28" s="1429"/>
      <c r="X28" s="1976">
        <f>ROUND(SUM(X20:X27),1)</f>
        <v>0</v>
      </c>
      <c r="Y28" s="1429"/>
      <c r="Z28" s="1976">
        <f>ROUND(SUM(Z20:Z27),1)</f>
        <v>0</v>
      </c>
      <c r="AA28" s="1412"/>
      <c r="AB28" s="1429"/>
      <c r="AC28" s="1955"/>
      <c r="AD28" s="1960">
        <f>ROUND(SUM(AD20:AD27),1)</f>
        <v>349.6</v>
      </c>
      <c r="AE28" s="1993"/>
      <c r="AF28" s="3065"/>
      <c r="AG28" s="1960">
        <f>ROUND(SUM(AG20:AG27),1)</f>
        <v>329.7</v>
      </c>
      <c r="AH28" s="276"/>
      <c r="AI28" s="71"/>
      <c r="AJ28" s="56">
        <f>ROUND(SUM(AJ20:AJ27),1)</f>
        <v>19.899999999999999</v>
      </c>
      <c r="AK28" s="203"/>
      <c r="AL28" s="1027">
        <f t="shared" si="2"/>
        <v>0.06</v>
      </c>
    </row>
    <row r="29" spans="1:38" ht="15" customHeight="1">
      <c r="A29" s="144"/>
      <c r="B29" s="1177" t="s">
        <v>984</v>
      </c>
      <c r="C29" s="28"/>
      <c r="D29" s="1489"/>
      <c r="E29" s="1489"/>
      <c r="F29" s="1489"/>
      <c r="G29" s="1489"/>
      <c r="H29" s="1489"/>
      <c r="I29" s="1489"/>
      <c r="J29" s="1489"/>
      <c r="K29" s="61"/>
      <c r="L29" s="61"/>
      <c r="M29" s="61"/>
      <c r="N29" s="61"/>
      <c r="O29" s="61"/>
      <c r="P29" s="1949"/>
      <c r="Q29" s="1949"/>
      <c r="R29" s="1949"/>
      <c r="S29" s="1949"/>
      <c r="T29" s="1949"/>
      <c r="U29" s="1949"/>
      <c r="V29" s="1949"/>
      <c r="W29" s="1949"/>
      <c r="X29" s="1949"/>
      <c r="Y29" s="1949"/>
      <c r="Z29" s="1949"/>
      <c r="AA29" s="1949"/>
      <c r="AB29" s="1949"/>
      <c r="AC29" s="1952"/>
      <c r="AD29" s="1938"/>
      <c r="AE29" s="1938"/>
      <c r="AF29" s="3063"/>
      <c r="AG29" s="1938"/>
      <c r="AH29" s="269"/>
      <c r="AI29" s="51"/>
      <c r="AJ29" s="624"/>
      <c r="AK29" s="897"/>
      <c r="AL29" s="897"/>
    </row>
    <row r="30" spans="1:38" s="864" customFormat="1" ht="15" customHeight="1">
      <c r="A30" s="1047"/>
      <c r="B30" s="1054" t="s">
        <v>1002</v>
      </c>
      <c r="C30" s="101"/>
      <c r="D30" s="873">
        <v>228.9</v>
      </c>
      <c r="E30" s="1791"/>
      <c r="F30" s="3766">
        <f t="shared" ref="F30:F34" si="3">$AD30-D30</f>
        <v>43.999999999999972</v>
      </c>
      <c r="G30" s="1791"/>
      <c r="H30" s="873"/>
      <c r="I30" s="1489"/>
      <c r="J30" s="3766"/>
      <c r="K30" s="1495"/>
      <c r="L30" s="3766"/>
      <c r="M30" s="1495"/>
      <c r="N30" s="3766"/>
      <c r="O30" s="1495"/>
      <c r="P30" s="3766"/>
      <c r="Q30" s="1941"/>
      <c r="R30" s="1741"/>
      <c r="S30" s="1941"/>
      <c r="T30" s="3766"/>
      <c r="U30" s="1941"/>
      <c r="V30" s="3766"/>
      <c r="W30" s="1941"/>
      <c r="X30" s="3766"/>
      <c r="Y30" s="1941"/>
      <c r="Z30" s="1741"/>
      <c r="AA30" s="1942"/>
      <c r="AB30" s="1943"/>
      <c r="AC30" s="1945"/>
      <c r="AD30" s="1741">
        <v>272.89999999999998</v>
      </c>
      <c r="AE30" s="1975"/>
      <c r="AF30" s="3064"/>
      <c r="AG30" s="1741">
        <v>194.4</v>
      </c>
      <c r="AH30" s="1050"/>
      <c r="AI30" s="62"/>
      <c r="AJ30" s="872">
        <f>ROUND(SUM(+AD30-AG30),1)</f>
        <v>78.5</v>
      </c>
      <c r="AK30" s="865"/>
      <c r="AL30" s="1774">
        <f t="shared" ref="AL30:AL35" si="4">ROUND(IF(AG30=0,0,AJ30/ABS(AG30)),3)</f>
        <v>0.40400000000000003</v>
      </c>
    </row>
    <row r="31" spans="1:38" s="864" customFormat="1" ht="15" customHeight="1">
      <c r="A31" s="1047"/>
      <c r="B31" s="1054" t="s">
        <v>1003</v>
      </c>
      <c r="C31" s="101"/>
      <c r="D31" s="873">
        <v>6.6</v>
      </c>
      <c r="E31" s="1791"/>
      <c r="F31" s="3766">
        <f t="shared" si="3"/>
        <v>0.5</v>
      </c>
      <c r="G31" s="1791"/>
      <c r="H31" s="873"/>
      <c r="I31" s="1489"/>
      <c r="J31" s="3766"/>
      <c r="K31" s="1495"/>
      <c r="L31" s="3766"/>
      <c r="M31" s="1495"/>
      <c r="N31" s="3766"/>
      <c r="O31" s="1495"/>
      <c r="P31" s="3766"/>
      <c r="Q31" s="1941"/>
      <c r="R31" s="1741"/>
      <c r="S31" s="1941"/>
      <c r="T31" s="3766"/>
      <c r="U31" s="1941"/>
      <c r="V31" s="3766"/>
      <c r="W31" s="1941"/>
      <c r="X31" s="3766"/>
      <c r="Y31" s="1941"/>
      <c r="Z31" s="1741"/>
      <c r="AA31" s="1942"/>
      <c r="AB31" s="1943"/>
      <c r="AC31" s="1945"/>
      <c r="AD31" s="1741">
        <v>7.1</v>
      </c>
      <c r="AE31" s="1975"/>
      <c r="AF31" s="3064"/>
      <c r="AG31" s="1741">
        <v>19.8</v>
      </c>
      <c r="AH31" s="1050"/>
      <c r="AI31" s="62"/>
      <c r="AJ31" s="872">
        <f>ROUND(SUM(+AD31-AG31),1)</f>
        <v>-12.7</v>
      </c>
      <c r="AK31" s="865"/>
      <c r="AL31" s="1774">
        <f t="shared" si="4"/>
        <v>-0.64100000000000001</v>
      </c>
    </row>
    <row r="32" spans="1:38" s="864" customFormat="1" ht="15" customHeight="1">
      <c r="A32" s="1047"/>
      <c r="B32" s="1054" t="s">
        <v>1004</v>
      </c>
      <c r="C32" s="101"/>
      <c r="D32" s="873">
        <v>18.2</v>
      </c>
      <c r="E32" s="1791"/>
      <c r="F32" s="3766">
        <f t="shared" si="3"/>
        <v>3.3000000000000007</v>
      </c>
      <c r="G32" s="1791"/>
      <c r="H32" s="873"/>
      <c r="I32" s="1489"/>
      <c r="J32" s="3766"/>
      <c r="K32" s="1495"/>
      <c r="L32" s="3766"/>
      <c r="M32" s="1495"/>
      <c r="N32" s="3766"/>
      <c r="O32" s="1495"/>
      <c r="P32" s="3766"/>
      <c r="Q32" s="1941"/>
      <c r="R32" s="1741"/>
      <c r="S32" s="1941"/>
      <c r="T32" s="3766"/>
      <c r="U32" s="1941"/>
      <c r="V32" s="3766"/>
      <c r="W32" s="1941"/>
      <c r="X32" s="3766"/>
      <c r="Y32" s="1941"/>
      <c r="Z32" s="1741"/>
      <c r="AA32" s="1942"/>
      <c r="AB32" s="1943"/>
      <c r="AC32" s="1945"/>
      <c r="AD32" s="1741">
        <v>21.5</v>
      </c>
      <c r="AE32" s="1975"/>
      <c r="AF32" s="3064"/>
      <c r="AG32" s="1741">
        <v>-6.3</v>
      </c>
      <c r="AH32" s="1050"/>
      <c r="AI32" s="62"/>
      <c r="AJ32" s="872">
        <f>ROUND(SUM(+AD32-AG32),1)</f>
        <v>27.8</v>
      </c>
      <c r="AK32" s="865"/>
      <c r="AL32" s="1775">
        <f t="shared" si="4"/>
        <v>4.4130000000000003</v>
      </c>
    </row>
    <row r="33" spans="1:39" s="864" customFormat="1" ht="15" customHeight="1">
      <c r="A33" s="1047"/>
      <c r="B33" s="1054" t="s">
        <v>1005</v>
      </c>
      <c r="C33" s="101"/>
      <c r="D33" s="873">
        <v>0</v>
      </c>
      <c r="E33" s="1791"/>
      <c r="F33" s="3766">
        <f t="shared" si="3"/>
        <v>0</v>
      </c>
      <c r="G33" s="1791"/>
      <c r="H33" s="873"/>
      <c r="I33" s="1489"/>
      <c r="J33" s="3766"/>
      <c r="K33" s="1495"/>
      <c r="L33" s="3766"/>
      <c r="M33" s="1495"/>
      <c r="N33" s="3766"/>
      <c r="O33" s="1495"/>
      <c r="P33" s="3766"/>
      <c r="Q33" s="1941"/>
      <c r="R33" s="1741"/>
      <c r="S33" s="1941"/>
      <c r="T33" s="3766"/>
      <c r="U33" s="1941"/>
      <c r="V33" s="3766"/>
      <c r="W33" s="1941"/>
      <c r="X33" s="3766"/>
      <c r="Y33" s="1941"/>
      <c r="Z33" s="1741"/>
      <c r="AA33" s="1942"/>
      <c r="AB33" s="1943"/>
      <c r="AC33" s="1945"/>
      <c r="AD33" s="1741">
        <v>0</v>
      </c>
      <c r="AE33" s="1975"/>
      <c r="AF33" s="3064"/>
      <c r="AG33" s="1741">
        <v>0.1</v>
      </c>
      <c r="AH33" s="1050"/>
      <c r="AI33" s="62"/>
      <c r="AJ33" s="872">
        <f>ROUND(SUM(+AD33-AG33),1)</f>
        <v>-0.1</v>
      </c>
      <c r="AK33" s="865"/>
      <c r="AL33" s="1775">
        <f t="shared" si="4"/>
        <v>-1</v>
      </c>
    </row>
    <row r="34" spans="1:39" s="864" customFormat="1" ht="15" customHeight="1">
      <c r="A34" s="1047"/>
      <c r="B34" s="1054" t="s">
        <v>1006</v>
      </c>
      <c r="C34" s="101"/>
      <c r="D34" s="873">
        <v>37.200000000000003</v>
      </c>
      <c r="E34" s="1791"/>
      <c r="F34" s="3766">
        <f t="shared" si="3"/>
        <v>39.399999999999991</v>
      </c>
      <c r="G34" s="1791"/>
      <c r="H34" s="873"/>
      <c r="I34" s="1489"/>
      <c r="J34" s="3766"/>
      <c r="K34" s="1495"/>
      <c r="L34" s="3766"/>
      <c r="M34" s="1495"/>
      <c r="N34" s="3766"/>
      <c r="O34" s="1495"/>
      <c r="P34" s="3766"/>
      <c r="Q34" s="1941"/>
      <c r="R34" s="1741"/>
      <c r="S34" s="1941"/>
      <c r="T34" s="3766"/>
      <c r="U34" s="1941"/>
      <c r="V34" s="3766"/>
      <c r="W34" s="1941"/>
      <c r="X34" s="3766"/>
      <c r="Y34" s="1941"/>
      <c r="Z34" s="1741"/>
      <c r="AA34" s="1942"/>
      <c r="AB34" s="1943"/>
      <c r="AC34" s="1945"/>
      <c r="AD34" s="1741">
        <v>76.599999999999994</v>
      </c>
      <c r="AE34" s="1975"/>
      <c r="AF34" s="3064"/>
      <c r="AG34" s="1741">
        <v>70.5</v>
      </c>
      <c r="AH34" s="1050"/>
      <c r="AI34" s="62"/>
      <c r="AJ34" s="872">
        <f>ROUND(SUM(+AD34-AG34),1)</f>
        <v>6.1</v>
      </c>
      <c r="AK34" s="865"/>
      <c r="AL34" s="1774">
        <f t="shared" si="4"/>
        <v>8.6999999999999994E-2</v>
      </c>
    </row>
    <row r="35" spans="1:39" s="732" customFormat="1" ht="15" customHeight="1">
      <c r="A35" s="1045"/>
      <c r="B35" s="1055" t="s">
        <v>1108</v>
      </c>
      <c r="C35" s="26"/>
      <c r="D35" s="1789">
        <f>ROUND(SUM(D30:D34),1)</f>
        <v>290.89999999999998</v>
      </c>
      <c r="E35" s="899"/>
      <c r="F35" s="1789">
        <f>ROUND(SUM(F30:F34),1)</f>
        <v>87.2</v>
      </c>
      <c r="G35" s="899"/>
      <c r="H35" s="1789">
        <f>ROUND(SUM(H30:H34),1)</f>
        <v>0</v>
      </c>
      <c r="I35" s="899"/>
      <c r="J35" s="1789">
        <f>ROUND(SUM(J30:J34),1)</f>
        <v>0</v>
      </c>
      <c r="K35" s="899"/>
      <c r="L35" s="56">
        <f>ROUND(SUM(L30:L34),1)</f>
        <v>0</v>
      </c>
      <c r="M35" s="899"/>
      <c r="N35" s="56">
        <f>ROUND(SUM(N30:N34),1)</f>
        <v>0</v>
      </c>
      <c r="O35" s="899"/>
      <c r="P35" s="1976">
        <f>ROUND(SUM(P30:P34),1)</f>
        <v>0</v>
      </c>
      <c r="Q35" s="1429"/>
      <c r="R35" s="1976">
        <f>ROUND(SUM(R30:R34),1)</f>
        <v>0</v>
      </c>
      <c r="S35" s="1429"/>
      <c r="T35" s="1976">
        <f>ROUND(SUM(T30:T34),1)</f>
        <v>0</v>
      </c>
      <c r="U35" s="1429"/>
      <c r="V35" s="1976">
        <f>ROUND(SUM(V30:V34),1)</f>
        <v>0</v>
      </c>
      <c r="W35" s="1429"/>
      <c r="X35" s="1976">
        <f>ROUND(SUM(X30:X34),1)</f>
        <v>0</v>
      </c>
      <c r="Y35" s="1429"/>
      <c r="Z35" s="1976">
        <f>ROUND(SUM(Z30:Z34),1)</f>
        <v>0</v>
      </c>
      <c r="AA35" s="1412"/>
      <c r="AB35" s="1429"/>
      <c r="AC35" s="1955"/>
      <c r="AD35" s="1960">
        <f>ROUND(SUM(AD30:AD34),1)</f>
        <v>378.1</v>
      </c>
      <c r="AE35" s="1993"/>
      <c r="AF35" s="3065"/>
      <c r="AG35" s="1960">
        <f>ROUND(SUM(AG30:AG34),1)</f>
        <v>278.5</v>
      </c>
      <c r="AH35" s="276"/>
      <c r="AI35" s="71"/>
      <c r="AJ35" s="56">
        <f>ROUND(SUM(AJ30:AJ34),1)</f>
        <v>99.6</v>
      </c>
      <c r="AK35" s="203"/>
      <c r="AL35" s="3757">
        <f t="shared" si="4"/>
        <v>0.35799999999999998</v>
      </c>
    </row>
    <row r="36" spans="1:39" ht="15" customHeight="1">
      <c r="A36" s="144"/>
      <c r="B36" s="1055"/>
      <c r="C36" s="28"/>
      <c r="D36" s="1489"/>
      <c r="E36" s="1489"/>
      <c r="F36" s="1489"/>
      <c r="G36" s="1489"/>
      <c r="H36" s="1489"/>
      <c r="I36" s="1489"/>
      <c r="J36" s="1489"/>
      <c r="K36" s="61"/>
      <c r="L36" s="61"/>
      <c r="M36" s="61"/>
      <c r="N36" s="61"/>
      <c r="O36" s="61"/>
      <c r="P36" s="1949"/>
      <c r="Q36" s="1949"/>
      <c r="R36" s="1949"/>
      <c r="S36" s="1949"/>
      <c r="T36" s="1949"/>
      <c r="U36" s="1949"/>
      <c r="V36" s="1949"/>
      <c r="W36" s="1949"/>
      <c r="X36" s="3766"/>
      <c r="Y36" s="1949"/>
      <c r="Z36" s="1949"/>
      <c r="AA36" s="1949"/>
      <c r="AB36" s="1949"/>
      <c r="AC36" s="1977"/>
      <c r="AD36" s="1920"/>
      <c r="AE36" s="1938"/>
      <c r="AF36" s="3063"/>
      <c r="AG36" s="1920"/>
      <c r="AH36" s="269"/>
      <c r="AI36" s="51"/>
      <c r="AJ36" s="624"/>
      <c r="AK36" s="897"/>
      <c r="AL36" s="1401"/>
    </row>
    <row r="37" spans="1:39" ht="15" customHeight="1">
      <c r="A37" s="144"/>
      <c r="B37" s="304" t="s">
        <v>981</v>
      </c>
      <c r="C37" s="28"/>
      <c r="D37" s="3420">
        <f>ROUND(SUM(D17+D28+D35),1)</f>
        <v>492.5</v>
      </c>
      <c r="E37" s="1489"/>
      <c r="F37" s="3420">
        <f>ROUND(SUM(F17+F28+F35),1)</f>
        <v>235.2</v>
      </c>
      <c r="G37" s="1489"/>
      <c r="H37" s="3420">
        <f>ROUND(SUM(H17+H28+H35),1)</f>
        <v>0</v>
      </c>
      <c r="I37" s="1489"/>
      <c r="J37" s="3420">
        <f>ROUND(SUM(J17+J28+J35),1)</f>
        <v>0</v>
      </c>
      <c r="K37" s="61"/>
      <c r="L37" s="3420">
        <f>ROUND(SUM(L17+L28+L35),1)</f>
        <v>0</v>
      </c>
      <c r="M37" s="1489"/>
      <c r="N37" s="3420">
        <f>ROUND(SUM(N17+N28+N35),1)</f>
        <v>0</v>
      </c>
      <c r="O37" s="1489"/>
      <c r="P37" s="3420">
        <f>ROUND(SUM(P17+P28+P35),1)</f>
        <v>0</v>
      </c>
      <c r="Q37" s="1489"/>
      <c r="R37" s="3420">
        <f>ROUND(SUM(R17+R28+R35),1)</f>
        <v>0</v>
      </c>
      <c r="S37" s="1949"/>
      <c r="T37" s="3420">
        <f>ROUND(SUM(T17+T28+T35),1)</f>
        <v>0</v>
      </c>
      <c r="U37" s="1489"/>
      <c r="V37" s="3420">
        <f>ROUND(SUM(V17+V28+V35),1)</f>
        <v>0</v>
      </c>
      <c r="W37" s="1489"/>
      <c r="X37" s="3420">
        <f>ROUND(SUM(X17+X28+X35),1)</f>
        <v>0</v>
      </c>
      <c r="Y37" s="1489"/>
      <c r="Z37" s="3420">
        <f>ROUND(SUM(Z17+Z28+Z35),1)</f>
        <v>0</v>
      </c>
      <c r="AA37" s="1979"/>
      <c r="AB37" s="1949"/>
      <c r="AC37" s="1980"/>
      <c r="AD37" s="3420">
        <f>ROUND(SUM(AD17+AD28+AD35),1)</f>
        <v>727.7</v>
      </c>
      <c r="AE37" s="1938"/>
      <c r="AF37" s="1982"/>
      <c r="AG37" s="3420">
        <f>ROUND(SUM(AG17+AG28+AG35),1)</f>
        <v>608.20000000000005</v>
      </c>
      <c r="AH37" s="273"/>
      <c r="AI37" s="51"/>
      <c r="AJ37" s="3420">
        <f>ROUND(SUM(AJ17+AJ28+AJ35),1)</f>
        <v>119.5</v>
      </c>
      <c r="AK37" s="624"/>
      <c r="AL37" s="3421">
        <f>ROUND(IF(AG37=0,0,AJ37/ABS(AG37)),3)</f>
        <v>0.19600000000000001</v>
      </c>
      <c r="AM37" s="763"/>
    </row>
    <row r="38" spans="1:39" ht="15" customHeight="1">
      <c r="A38" s="144"/>
      <c r="B38" s="28"/>
      <c r="C38" s="28"/>
      <c r="D38" s="661"/>
      <c r="E38" s="1489"/>
      <c r="F38" s="661"/>
      <c r="G38" s="1489"/>
      <c r="H38" s="1489"/>
      <c r="I38" s="1489"/>
      <c r="J38" s="661"/>
      <c r="K38" s="61"/>
      <c r="L38" s="72"/>
      <c r="M38" s="61"/>
      <c r="N38" s="72"/>
      <c r="O38" s="61"/>
      <c r="P38" s="1958"/>
      <c r="Q38" s="1949"/>
      <c r="R38" s="1958"/>
      <c r="S38" s="1949"/>
      <c r="T38" s="1958"/>
      <c r="U38" s="1949"/>
      <c r="V38" s="1958"/>
      <c r="W38" s="1949"/>
      <c r="X38" s="3766"/>
      <c r="Y38" s="1949"/>
      <c r="Z38" s="1958"/>
      <c r="AA38" s="1958"/>
      <c r="AB38" s="1949"/>
      <c r="AC38" s="1980"/>
      <c r="AD38" s="2062"/>
      <c r="AE38" s="2545"/>
      <c r="AF38" s="1940"/>
      <c r="AG38" s="2062"/>
      <c r="AH38" s="273"/>
      <c r="AI38" s="51"/>
      <c r="AJ38" s="624"/>
      <c r="AK38" s="624"/>
      <c r="AL38" s="1400"/>
      <c r="AM38" s="763"/>
    </row>
    <row r="39" spans="1:39" ht="15" customHeight="1">
      <c r="A39" s="144"/>
      <c r="B39" s="255" t="s">
        <v>918</v>
      </c>
      <c r="C39" s="28"/>
      <c r="D39" s="661"/>
      <c r="E39" s="1489"/>
      <c r="F39" s="661"/>
      <c r="G39" s="1489"/>
      <c r="H39" s="1489"/>
      <c r="I39" s="1489"/>
      <c r="J39" s="661"/>
      <c r="K39" s="61"/>
      <c r="L39" s="72"/>
      <c r="M39" s="61"/>
      <c r="N39" s="72"/>
      <c r="O39" s="61"/>
      <c r="P39" s="1958"/>
      <c r="Q39" s="1949"/>
      <c r="R39" s="1958"/>
      <c r="S39" s="1949"/>
      <c r="T39" s="1958"/>
      <c r="U39" s="1949"/>
      <c r="V39" s="1958"/>
      <c r="W39" s="1949"/>
      <c r="X39" s="3766"/>
      <c r="Y39" s="1949"/>
      <c r="Z39" s="1958"/>
      <c r="AA39" s="1958"/>
      <c r="AB39" s="1949"/>
      <c r="AC39" s="1980"/>
      <c r="AD39" s="1938"/>
      <c r="AE39" s="1938"/>
      <c r="AF39" s="1940"/>
      <c r="AG39" s="1938"/>
      <c r="AH39" s="269"/>
      <c r="AI39" s="51"/>
      <c r="AJ39" s="624"/>
      <c r="AK39" s="624"/>
      <c r="AL39" s="1400"/>
      <c r="AM39" s="763"/>
    </row>
    <row r="40" spans="1:39" ht="15" customHeight="1">
      <c r="A40" s="144"/>
      <c r="B40" s="869" t="s">
        <v>1033</v>
      </c>
      <c r="C40" s="28"/>
      <c r="D40" s="661"/>
      <c r="E40" s="1489"/>
      <c r="F40" s="661"/>
      <c r="G40" s="1489"/>
      <c r="H40" s="1489"/>
      <c r="I40" s="1489"/>
      <c r="J40" s="661"/>
      <c r="K40" s="61"/>
      <c r="L40" s="72"/>
      <c r="M40" s="61"/>
      <c r="N40" s="72"/>
      <c r="O40" s="61"/>
      <c r="P40" s="1958"/>
      <c r="Q40" s="1949"/>
      <c r="R40" s="1958"/>
      <c r="S40" s="1949"/>
      <c r="T40" s="1958"/>
      <c r="U40" s="1949"/>
      <c r="V40" s="1958"/>
      <c r="W40" s="1949"/>
      <c r="X40" s="3766"/>
      <c r="Y40" s="1949"/>
      <c r="Z40" s="1958"/>
      <c r="AA40" s="1958"/>
      <c r="AB40" s="1949"/>
      <c r="AC40" s="1980"/>
      <c r="AD40" s="1938"/>
      <c r="AE40" s="1938"/>
      <c r="AF40" s="1940"/>
      <c r="AG40" s="1938"/>
      <c r="AH40" s="269"/>
      <c r="AI40" s="51"/>
      <c r="AJ40" s="624"/>
      <c r="AK40" s="624"/>
      <c r="AL40" s="1400"/>
      <c r="AM40" s="763"/>
    </row>
    <row r="41" spans="1:39" s="864" customFormat="1" ht="15" customHeight="1">
      <c r="A41" s="1047"/>
      <c r="B41" s="869" t="s">
        <v>950</v>
      </c>
      <c r="C41" s="101"/>
      <c r="D41" s="873">
        <v>0.9</v>
      </c>
      <c r="E41" s="872"/>
      <c r="F41" s="3766">
        <f t="shared" ref="F41:F80" si="5">$AD41-D41</f>
        <v>0.9</v>
      </c>
      <c r="G41" s="872"/>
      <c r="H41" s="873"/>
      <c r="I41" s="872"/>
      <c r="J41" s="3766"/>
      <c r="K41" s="1495"/>
      <c r="L41" s="3766"/>
      <c r="M41" s="1495"/>
      <c r="N41" s="3766"/>
      <c r="O41" s="1495"/>
      <c r="P41" s="3766"/>
      <c r="Q41" s="1941"/>
      <c r="R41" s="1741"/>
      <c r="S41" s="1941"/>
      <c r="T41" s="3766"/>
      <c r="U41" s="1941"/>
      <c r="V41" s="3766"/>
      <c r="W41" s="1941"/>
      <c r="X41" s="3766"/>
      <c r="Y41" s="1941"/>
      <c r="Z41" s="1741"/>
      <c r="AA41" s="1942"/>
      <c r="AB41" s="1943"/>
      <c r="AC41" s="1945"/>
      <c r="AD41" s="1741">
        <v>1.8</v>
      </c>
      <c r="AE41" s="1975"/>
      <c r="AF41" s="3064"/>
      <c r="AG41" s="1741">
        <v>1.9</v>
      </c>
      <c r="AH41" s="1050"/>
      <c r="AI41" s="62"/>
      <c r="AJ41" s="872">
        <f>ROUND(SUM(+AD41-AG41),1)</f>
        <v>-0.1</v>
      </c>
      <c r="AK41" s="872"/>
      <c r="AL41" s="1770">
        <f>ROUND(IF(AG41=0,0,AJ41/ABS(AG41)),3)</f>
        <v>-5.2999999999999999E-2</v>
      </c>
      <c r="AM41" s="1771"/>
    </row>
    <row r="42" spans="1:39" s="864" customFormat="1" ht="15" customHeight="1">
      <c r="A42" s="1047"/>
      <c r="B42" s="869" t="s">
        <v>1034</v>
      </c>
      <c r="C42" s="101"/>
      <c r="D42" s="873" t="s">
        <v>14</v>
      </c>
      <c r="E42" s="1489"/>
      <c r="F42" s="3766"/>
      <c r="G42" s="1489"/>
      <c r="H42" s="873"/>
      <c r="I42" s="1489"/>
      <c r="J42" s="873"/>
      <c r="K42" s="112"/>
      <c r="L42" s="3766"/>
      <c r="M42" s="872"/>
      <c r="N42" s="873"/>
      <c r="O42" s="112"/>
      <c r="P42" s="3766"/>
      <c r="Q42" s="1938"/>
      <c r="R42" s="1741"/>
      <c r="S42" s="1938"/>
      <c r="T42" s="1741"/>
      <c r="U42" s="1938"/>
      <c r="V42" s="1741"/>
      <c r="W42" s="1938"/>
      <c r="X42" s="3766"/>
      <c r="Y42" s="1938"/>
      <c r="Z42" s="1741"/>
      <c r="AA42" s="1937"/>
      <c r="AB42" s="1938"/>
      <c r="AC42" s="1982"/>
      <c r="AD42" s="1938"/>
      <c r="AE42" s="1938"/>
      <c r="AF42" s="1940"/>
      <c r="AG42" s="1938"/>
      <c r="AH42" s="1050"/>
      <c r="AI42" s="62"/>
      <c r="AJ42" s="872"/>
      <c r="AK42" s="872"/>
      <c r="AL42" s="1770"/>
      <c r="AM42" s="1771"/>
    </row>
    <row r="43" spans="1:39" s="864" customFormat="1" ht="15" customHeight="1">
      <c r="A43" s="1047"/>
      <c r="B43" s="869" t="s">
        <v>952</v>
      </c>
      <c r="C43" s="101"/>
      <c r="D43" s="873">
        <v>128.19999999999999</v>
      </c>
      <c r="E43" s="1489"/>
      <c r="F43" s="3766">
        <f t="shared" si="5"/>
        <v>-1.1999999999999886</v>
      </c>
      <c r="G43" s="1489"/>
      <c r="H43" s="873"/>
      <c r="I43" s="1489"/>
      <c r="J43" s="3766"/>
      <c r="K43" s="1495"/>
      <c r="L43" s="3766"/>
      <c r="M43" s="1495"/>
      <c r="N43" s="3766"/>
      <c r="O43" s="1495"/>
      <c r="P43" s="3766"/>
      <c r="Q43" s="1941"/>
      <c r="R43" s="1741"/>
      <c r="S43" s="1941"/>
      <c r="T43" s="3766"/>
      <c r="U43" s="1941"/>
      <c r="V43" s="3766"/>
      <c r="W43" s="1941"/>
      <c r="X43" s="3766"/>
      <c r="Y43" s="1941"/>
      <c r="Z43" s="1741"/>
      <c r="AA43" s="1942"/>
      <c r="AB43" s="1943"/>
      <c r="AC43" s="1945"/>
      <c r="AD43" s="1741">
        <v>127</v>
      </c>
      <c r="AE43" s="1975"/>
      <c r="AF43" s="3064"/>
      <c r="AG43" s="1741">
        <v>68.8</v>
      </c>
      <c r="AH43" s="1050"/>
      <c r="AI43" s="62"/>
      <c r="AJ43" s="872">
        <f>ROUND(SUM(+AD43-AG43),1)</f>
        <v>58.2</v>
      </c>
      <c r="AK43" s="872"/>
      <c r="AL43" s="1770">
        <f>ROUND(IF(AG43=0,0,AJ43/ABS(AG43)),3)</f>
        <v>0.84599999999999997</v>
      </c>
      <c r="AM43" s="1771"/>
    </row>
    <row r="44" spans="1:39" s="864" customFormat="1" ht="15" customHeight="1">
      <c r="A44" s="1047"/>
      <c r="B44" s="869" t="s">
        <v>953</v>
      </c>
      <c r="C44" s="101"/>
      <c r="D44" s="873">
        <v>535.29999999999995</v>
      </c>
      <c r="E44" s="1489"/>
      <c r="F44" s="3766">
        <f t="shared" si="5"/>
        <v>530.60000000000014</v>
      </c>
      <c r="G44" s="1489"/>
      <c r="H44" s="873"/>
      <c r="I44" s="1489"/>
      <c r="J44" s="3766"/>
      <c r="K44" s="1495"/>
      <c r="L44" s="3766"/>
      <c r="M44" s="1495"/>
      <c r="N44" s="3766"/>
      <c r="O44" s="1495"/>
      <c r="P44" s="3766"/>
      <c r="Q44" s="1941"/>
      <c r="R44" s="1741"/>
      <c r="S44" s="1941"/>
      <c r="T44" s="3766"/>
      <c r="U44" s="1941"/>
      <c r="V44" s="3766"/>
      <c r="W44" s="1941"/>
      <c r="X44" s="3766"/>
      <c r="Y44" s="1941"/>
      <c r="Z44" s="1741"/>
      <c r="AA44" s="1942"/>
      <c r="AB44" s="1943"/>
      <c r="AC44" s="1945"/>
      <c r="AD44" s="1741">
        <v>1065.9000000000001</v>
      </c>
      <c r="AE44" s="1975"/>
      <c r="AF44" s="3064"/>
      <c r="AG44" s="1741">
        <v>1012.8</v>
      </c>
      <c r="AH44" s="1050"/>
      <c r="AI44" s="62"/>
      <c r="AJ44" s="872">
        <f>ROUND(SUM(+AD44-AG44),1)</f>
        <v>53.1</v>
      </c>
      <c r="AK44" s="872"/>
      <c r="AL44" s="1770">
        <f>ROUND(IF(AG44=0,0,AJ44/ABS(AG44)),3)</f>
        <v>5.1999999999999998E-2</v>
      </c>
      <c r="AM44" s="1771"/>
    </row>
    <row r="45" spans="1:39" ht="15" customHeight="1">
      <c r="A45" s="144"/>
      <c r="B45" s="869" t="s">
        <v>954</v>
      </c>
      <c r="C45" s="28"/>
      <c r="D45" s="873">
        <v>4.5999999999999996</v>
      </c>
      <c r="E45" s="1489"/>
      <c r="F45" s="3766">
        <f t="shared" si="5"/>
        <v>0</v>
      </c>
      <c r="G45" s="1489"/>
      <c r="H45" s="873"/>
      <c r="I45" s="1489"/>
      <c r="J45" s="3766"/>
      <c r="K45" s="1495"/>
      <c r="L45" s="3766"/>
      <c r="M45" s="1495"/>
      <c r="N45" s="3766"/>
      <c r="O45" s="1495"/>
      <c r="P45" s="3766"/>
      <c r="Q45" s="1941"/>
      <c r="R45" s="1741"/>
      <c r="S45" s="1941"/>
      <c r="T45" s="3766"/>
      <c r="U45" s="1941"/>
      <c r="V45" s="3766"/>
      <c r="W45" s="1941"/>
      <c r="X45" s="3766"/>
      <c r="Y45" s="1941"/>
      <c r="Z45" s="1741"/>
      <c r="AA45" s="1942"/>
      <c r="AB45" s="1943"/>
      <c r="AC45" s="1945"/>
      <c r="AD45" s="1741">
        <v>4.5999999999999996</v>
      </c>
      <c r="AE45" s="1975"/>
      <c r="AF45" s="3064"/>
      <c r="AG45" s="1741">
        <v>1.5</v>
      </c>
      <c r="AH45" s="269"/>
      <c r="AI45" s="51"/>
      <c r="AJ45" s="624">
        <f>ROUND(SUM(+AD45-AG45),1)</f>
        <v>3.1</v>
      </c>
      <c r="AK45" s="624"/>
      <c r="AL45" s="3529">
        <f>ROUND(IF(AG45=0,0,AJ45/ABS(AG45)),3)</f>
        <v>2.0670000000000002</v>
      </c>
      <c r="AM45" s="763"/>
    </row>
    <row r="46" spans="1:39" ht="15" customHeight="1">
      <c r="A46" s="144"/>
      <c r="B46" s="869" t="s">
        <v>955</v>
      </c>
      <c r="C46" s="28"/>
      <c r="D46" s="873">
        <v>0</v>
      </c>
      <c r="E46" s="1489"/>
      <c r="F46" s="3766">
        <f t="shared" si="5"/>
        <v>0</v>
      </c>
      <c r="G46" s="1489"/>
      <c r="H46" s="873"/>
      <c r="I46" s="1489"/>
      <c r="J46" s="3766"/>
      <c r="K46" s="1495"/>
      <c r="L46" s="3766"/>
      <c r="M46" s="1495"/>
      <c r="N46" s="3766"/>
      <c r="O46" s="1495"/>
      <c r="P46" s="3766"/>
      <c r="Q46" s="1941"/>
      <c r="R46" s="1741"/>
      <c r="S46" s="1941"/>
      <c r="T46" s="3766"/>
      <c r="U46" s="1941"/>
      <c r="V46" s="3766"/>
      <c r="W46" s="1941"/>
      <c r="X46" s="3766"/>
      <c r="Y46" s="1941"/>
      <c r="Z46" s="1741"/>
      <c r="AA46" s="1942"/>
      <c r="AB46" s="1943"/>
      <c r="AC46" s="1945"/>
      <c r="AD46" s="1741">
        <v>0</v>
      </c>
      <c r="AE46" s="1975"/>
      <c r="AF46" s="3064"/>
      <c r="AG46" s="1741">
        <v>0</v>
      </c>
      <c r="AH46" s="269"/>
      <c r="AI46" s="51"/>
      <c r="AJ46" s="624">
        <f>ROUND(SUM(+AD46-AG46),1)</f>
        <v>0</v>
      </c>
      <c r="AK46" s="624"/>
      <c r="AL46" s="1400">
        <f>-ROUND(IF(AG46=0,0,AJ46/ABS(AG46)),3)</f>
        <v>0</v>
      </c>
      <c r="AM46" s="763"/>
    </row>
    <row r="47" spans="1:39" s="864" customFormat="1" ht="15" customHeight="1">
      <c r="A47" s="1047"/>
      <c r="B47" s="869" t="s">
        <v>1038</v>
      </c>
      <c r="C47" s="101"/>
      <c r="D47" s="873" t="s">
        <v>14</v>
      </c>
      <c r="E47" s="1489"/>
      <c r="F47" s="3766"/>
      <c r="G47" s="1489"/>
      <c r="H47" s="873"/>
      <c r="I47" s="1489"/>
      <c r="J47" s="873"/>
      <c r="K47" s="112"/>
      <c r="L47" s="3766"/>
      <c r="M47" s="112"/>
      <c r="N47" s="873"/>
      <c r="O47" s="112"/>
      <c r="P47" s="3766"/>
      <c r="Q47" s="1938"/>
      <c r="R47" s="1741"/>
      <c r="S47" s="1938"/>
      <c r="T47" s="1741"/>
      <c r="U47" s="1938"/>
      <c r="V47" s="1741"/>
      <c r="W47" s="1938"/>
      <c r="X47" s="3766"/>
      <c r="Y47" s="1938"/>
      <c r="Z47" s="1741"/>
      <c r="AA47" s="1937"/>
      <c r="AB47" s="1938"/>
      <c r="AC47" s="1982"/>
      <c r="AD47" s="3056"/>
      <c r="AE47" s="1938"/>
      <c r="AF47" s="1940"/>
      <c r="AG47" s="3056"/>
      <c r="AH47" s="1050"/>
      <c r="AI47" s="62"/>
      <c r="AJ47" s="872"/>
      <c r="AK47" s="872"/>
      <c r="AL47" s="1770"/>
      <c r="AM47" s="1771"/>
    </row>
    <row r="48" spans="1:39" s="864" customFormat="1" ht="15" customHeight="1">
      <c r="A48" s="1047"/>
      <c r="B48" s="869" t="s">
        <v>1127</v>
      </c>
      <c r="C48" s="101"/>
      <c r="D48" s="873">
        <v>0</v>
      </c>
      <c r="E48" s="1489"/>
      <c r="F48" s="3766">
        <f t="shared" si="5"/>
        <v>0.2</v>
      </c>
      <c r="G48" s="1489"/>
      <c r="H48" s="873"/>
      <c r="I48" s="1489"/>
      <c r="J48" s="3766"/>
      <c r="K48" s="1495"/>
      <c r="L48" s="3766"/>
      <c r="M48" s="1495"/>
      <c r="N48" s="3766"/>
      <c r="O48" s="1495"/>
      <c r="P48" s="3766"/>
      <c r="Q48" s="1941"/>
      <c r="R48" s="1741"/>
      <c r="S48" s="1941"/>
      <c r="T48" s="3766"/>
      <c r="U48" s="1941"/>
      <c r="V48" s="3766"/>
      <c r="W48" s="1941"/>
      <c r="X48" s="3766"/>
      <c r="Y48" s="1941"/>
      <c r="Z48" s="1741"/>
      <c r="AA48" s="1942"/>
      <c r="AB48" s="1943"/>
      <c r="AC48" s="1945"/>
      <c r="AD48" s="1741">
        <v>0.2</v>
      </c>
      <c r="AE48" s="1975"/>
      <c r="AF48" s="3064"/>
      <c r="AG48" s="1741">
        <v>0</v>
      </c>
      <c r="AH48" s="1050"/>
      <c r="AI48" s="62"/>
      <c r="AJ48" s="872">
        <f t="shared" ref="AJ48:AJ54" si="6">ROUND(SUM(+AD48-AG48),1)</f>
        <v>0.2</v>
      </c>
      <c r="AK48" s="872"/>
      <c r="AL48" s="1677">
        <f>ROUND(IF(AG48=0,1,AJ48/ABS(AG48)),3)</f>
        <v>1</v>
      </c>
      <c r="AM48" s="1771"/>
    </row>
    <row r="49" spans="1:39" s="864" customFormat="1" ht="15" customHeight="1">
      <c r="A49" s="1047"/>
      <c r="B49" s="869" t="s">
        <v>956</v>
      </c>
      <c r="C49" s="101"/>
      <c r="D49" s="873">
        <v>32.9</v>
      </c>
      <c r="E49" s="1489"/>
      <c r="F49" s="3766">
        <f t="shared" si="5"/>
        <v>36.300000000000004</v>
      </c>
      <c r="G49" s="1489"/>
      <c r="H49" s="873"/>
      <c r="I49" s="1489"/>
      <c r="J49" s="3766"/>
      <c r="K49" s="1495"/>
      <c r="L49" s="3766"/>
      <c r="M49" s="1495"/>
      <c r="N49" s="3766"/>
      <c r="O49" s="1495"/>
      <c r="P49" s="3766"/>
      <c r="Q49" s="1941"/>
      <c r="R49" s="1741"/>
      <c r="S49" s="1941"/>
      <c r="T49" s="3766"/>
      <c r="U49" s="1941"/>
      <c r="V49" s="3766"/>
      <c r="W49" s="1941"/>
      <c r="X49" s="3766"/>
      <c r="Y49" s="1941"/>
      <c r="Z49" s="1741"/>
      <c r="AA49" s="1942"/>
      <c r="AB49" s="1943"/>
      <c r="AC49" s="1945"/>
      <c r="AD49" s="1741">
        <v>69.2</v>
      </c>
      <c r="AE49" s="1975"/>
      <c r="AF49" s="3064"/>
      <c r="AG49" s="1741">
        <v>65.3</v>
      </c>
      <c r="AH49" s="1050"/>
      <c r="AI49" s="62"/>
      <c r="AJ49" s="872">
        <f t="shared" si="6"/>
        <v>3.9</v>
      </c>
      <c r="AK49" s="872"/>
      <c r="AL49" s="1770">
        <f t="shared" ref="AL49:AL54" si="7">ROUND(IF(AG49=0,0,AJ49/ABS(AG49)),3)</f>
        <v>0.06</v>
      </c>
      <c r="AM49" s="1771"/>
    </row>
    <row r="50" spans="1:39" s="864" customFormat="1" ht="15" customHeight="1">
      <c r="A50" s="1047"/>
      <c r="B50" s="869" t="s">
        <v>957</v>
      </c>
      <c r="C50" s="101"/>
      <c r="D50" s="873">
        <v>5</v>
      </c>
      <c r="E50" s="1489"/>
      <c r="F50" s="3766">
        <f t="shared" si="5"/>
        <v>4.6999999999999993</v>
      </c>
      <c r="G50" s="1489"/>
      <c r="H50" s="873"/>
      <c r="I50" s="1489"/>
      <c r="J50" s="3766"/>
      <c r="K50" s="1495"/>
      <c r="L50" s="3766"/>
      <c r="M50" s="1495"/>
      <c r="N50" s="3766"/>
      <c r="O50" s="1495"/>
      <c r="P50" s="3766"/>
      <c r="Q50" s="1941"/>
      <c r="R50" s="1741"/>
      <c r="S50" s="1941"/>
      <c r="T50" s="3766"/>
      <c r="U50" s="1941"/>
      <c r="V50" s="3766"/>
      <c r="W50" s="1941"/>
      <c r="X50" s="3766"/>
      <c r="Y50" s="1941"/>
      <c r="Z50" s="1741"/>
      <c r="AA50" s="1942"/>
      <c r="AB50" s="1943"/>
      <c r="AC50" s="1945"/>
      <c r="AD50" s="1741">
        <v>9.6999999999999993</v>
      </c>
      <c r="AE50" s="1975"/>
      <c r="AF50" s="3064"/>
      <c r="AG50" s="1741">
        <v>10.5</v>
      </c>
      <c r="AH50" s="1050"/>
      <c r="AI50" s="62"/>
      <c r="AJ50" s="872">
        <f t="shared" si="6"/>
        <v>-0.8</v>
      </c>
      <c r="AK50" s="872"/>
      <c r="AL50" s="1770">
        <f t="shared" si="7"/>
        <v>-7.5999999999999998E-2</v>
      </c>
      <c r="AM50" s="1771"/>
    </row>
    <row r="51" spans="1:39" s="864" customFormat="1" ht="15" customHeight="1">
      <c r="A51" s="1047"/>
      <c r="B51" s="869" t="s">
        <v>958</v>
      </c>
      <c r="C51" s="101"/>
      <c r="D51" s="873">
        <v>0.7</v>
      </c>
      <c r="E51" s="1489"/>
      <c r="F51" s="3766">
        <f t="shared" si="5"/>
        <v>0.20000000000000007</v>
      </c>
      <c r="G51" s="1489"/>
      <c r="H51" s="873"/>
      <c r="I51" s="1489"/>
      <c r="J51" s="3766"/>
      <c r="K51" s="1495"/>
      <c r="L51" s="3766"/>
      <c r="M51" s="1495"/>
      <c r="N51" s="3766"/>
      <c r="O51" s="1495"/>
      <c r="P51" s="3766"/>
      <c r="Q51" s="1941"/>
      <c r="R51" s="1741"/>
      <c r="S51" s="1941"/>
      <c r="T51" s="3766"/>
      <c r="U51" s="1941"/>
      <c r="V51" s="3766"/>
      <c r="W51" s="1941"/>
      <c r="X51" s="3766"/>
      <c r="Y51" s="1941"/>
      <c r="Z51" s="1741"/>
      <c r="AA51" s="1942"/>
      <c r="AB51" s="1943"/>
      <c r="AC51" s="1945"/>
      <c r="AD51" s="1741">
        <v>0.9</v>
      </c>
      <c r="AE51" s="1975"/>
      <c r="AF51" s="3064"/>
      <c r="AG51" s="1741">
        <v>1.1000000000000001</v>
      </c>
      <c r="AH51" s="1050"/>
      <c r="AI51" s="62"/>
      <c r="AJ51" s="872">
        <f t="shared" si="6"/>
        <v>-0.2</v>
      </c>
      <c r="AK51" s="872"/>
      <c r="AL51" s="1770">
        <f>ROUND(IF(AG51=0,1,AJ51/ABS(AG51)),3)</f>
        <v>-0.182</v>
      </c>
      <c r="AM51" s="1771"/>
    </row>
    <row r="52" spans="1:39" s="864" customFormat="1" ht="15" customHeight="1">
      <c r="A52" s="1047"/>
      <c r="B52" s="869" t="s">
        <v>959</v>
      </c>
      <c r="C52" s="101"/>
      <c r="D52" s="873">
        <v>16.7</v>
      </c>
      <c r="E52" s="1489"/>
      <c r="F52" s="3766">
        <f t="shared" si="5"/>
        <v>16.3</v>
      </c>
      <c r="G52" s="1489"/>
      <c r="H52" s="873"/>
      <c r="I52" s="1489"/>
      <c r="J52" s="3766"/>
      <c r="K52" s="1495"/>
      <c r="L52" s="3766"/>
      <c r="M52" s="1495"/>
      <c r="N52" s="3766"/>
      <c r="O52" s="1495"/>
      <c r="P52" s="3766"/>
      <c r="Q52" s="1941"/>
      <c r="R52" s="1741"/>
      <c r="S52" s="1941"/>
      <c r="T52" s="3766"/>
      <c r="U52" s="1941"/>
      <c r="V52" s="3766"/>
      <c r="W52" s="1941"/>
      <c r="X52" s="3766"/>
      <c r="Y52" s="1941"/>
      <c r="Z52" s="1741"/>
      <c r="AA52" s="1942"/>
      <c r="AB52" s="1943"/>
      <c r="AC52" s="1945"/>
      <c r="AD52" s="1741">
        <v>33</v>
      </c>
      <c r="AE52" s="1975"/>
      <c r="AF52" s="3064"/>
      <c r="AG52" s="1741">
        <v>57.4</v>
      </c>
      <c r="AH52" s="1050"/>
      <c r="AI52" s="62"/>
      <c r="AJ52" s="872">
        <f t="shared" si="6"/>
        <v>-24.4</v>
      </c>
      <c r="AK52" s="872"/>
      <c r="AL52" s="1770">
        <f t="shared" si="7"/>
        <v>-0.42499999999999999</v>
      </c>
      <c r="AM52" s="1771"/>
    </row>
    <row r="53" spans="1:39" s="864" customFormat="1" ht="15" customHeight="1">
      <c r="A53" s="1047"/>
      <c r="B53" s="869" t="s">
        <v>960</v>
      </c>
      <c r="C53" s="101"/>
      <c r="D53" s="873">
        <v>39</v>
      </c>
      <c r="E53" s="1489"/>
      <c r="F53" s="3766">
        <f t="shared" si="5"/>
        <v>77.5</v>
      </c>
      <c r="G53" s="1489"/>
      <c r="H53" s="873"/>
      <c r="I53" s="1489"/>
      <c r="J53" s="3766"/>
      <c r="K53" s="1495"/>
      <c r="L53" s="3766"/>
      <c r="M53" s="1495"/>
      <c r="N53" s="3766"/>
      <c r="O53" s="1495"/>
      <c r="P53" s="3766"/>
      <c r="Q53" s="1941"/>
      <c r="R53" s="1741"/>
      <c r="S53" s="1941"/>
      <c r="T53" s="3766"/>
      <c r="U53" s="1941"/>
      <c r="V53" s="3766"/>
      <c r="W53" s="1941"/>
      <c r="X53" s="3766"/>
      <c r="Y53" s="1941"/>
      <c r="Z53" s="1741"/>
      <c r="AA53" s="1942"/>
      <c r="AB53" s="1943"/>
      <c r="AC53" s="1945"/>
      <c r="AD53" s="1741">
        <v>116.5</v>
      </c>
      <c r="AE53" s="1975"/>
      <c r="AF53" s="3064"/>
      <c r="AG53" s="1741">
        <v>115.3</v>
      </c>
      <c r="AH53" s="1050"/>
      <c r="AI53" s="62"/>
      <c r="AJ53" s="872">
        <f t="shared" si="6"/>
        <v>1.2</v>
      </c>
      <c r="AK53" s="872"/>
      <c r="AL53" s="1770">
        <f t="shared" si="7"/>
        <v>0.01</v>
      </c>
      <c r="AM53" s="1771"/>
    </row>
    <row r="54" spans="1:39" s="864" customFormat="1" ht="15" customHeight="1">
      <c r="A54" s="1047"/>
      <c r="B54" s="869" t="s">
        <v>919</v>
      </c>
      <c r="C54" s="101"/>
      <c r="D54" s="873">
        <v>4.4000000000000004</v>
      </c>
      <c r="E54" s="1489"/>
      <c r="F54" s="3766">
        <f t="shared" si="5"/>
        <v>8.6999999999999993</v>
      </c>
      <c r="G54" s="1489"/>
      <c r="H54" s="873"/>
      <c r="I54" s="1489"/>
      <c r="J54" s="3766"/>
      <c r="K54" s="1495"/>
      <c r="L54" s="3766"/>
      <c r="M54" s="1495"/>
      <c r="N54" s="3766"/>
      <c r="O54" s="1495"/>
      <c r="P54" s="3766"/>
      <c r="Q54" s="1941"/>
      <c r="R54" s="1741"/>
      <c r="S54" s="1941"/>
      <c r="T54" s="3766"/>
      <c r="U54" s="1941"/>
      <c r="V54" s="3766"/>
      <c r="W54" s="1941"/>
      <c r="X54" s="3766"/>
      <c r="Y54" s="1941"/>
      <c r="Z54" s="1741"/>
      <c r="AA54" s="1942"/>
      <c r="AB54" s="1943"/>
      <c r="AC54" s="1945"/>
      <c r="AD54" s="1741">
        <v>13.1</v>
      </c>
      <c r="AE54" s="1975"/>
      <c r="AF54" s="3064"/>
      <c r="AG54" s="1741">
        <v>14.8</v>
      </c>
      <c r="AH54" s="1050"/>
      <c r="AI54" s="62"/>
      <c r="AJ54" s="872">
        <f t="shared" si="6"/>
        <v>-1.7</v>
      </c>
      <c r="AK54" s="872"/>
      <c r="AL54" s="1682">
        <f t="shared" si="7"/>
        <v>-0.115</v>
      </c>
      <c r="AM54" s="1771"/>
    </row>
    <row r="55" spans="1:39" s="864" customFormat="1" ht="15" customHeight="1">
      <c r="A55" s="1047"/>
      <c r="B55" s="869" t="s">
        <v>1035</v>
      </c>
      <c r="C55" s="101"/>
      <c r="D55" s="873" t="s">
        <v>14</v>
      </c>
      <c r="E55" s="1489"/>
      <c r="F55" s="3766"/>
      <c r="G55" s="1489"/>
      <c r="H55" s="873"/>
      <c r="I55" s="1489"/>
      <c r="J55" s="873"/>
      <c r="K55" s="112"/>
      <c r="L55" s="3766"/>
      <c r="M55" s="112"/>
      <c r="N55" s="873"/>
      <c r="O55" s="112"/>
      <c r="P55" s="3766"/>
      <c r="Q55" s="1938"/>
      <c r="R55" s="1741"/>
      <c r="S55" s="1938"/>
      <c r="T55" s="1741"/>
      <c r="U55" s="1938"/>
      <c r="V55" s="1741"/>
      <c r="W55" s="1938"/>
      <c r="X55" s="3766"/>
      <c r="Y55" s="1938"/>
      <c r="Z55" s="1741"/>
      <c r="AA55" s="1937"/>
      <c r="AB55" s="1938"/>
      <c r="AC55" s="1982"/>
      <c r="AD55" s="1938"/>
      <c r="AE55" s="1938"/>
      <c r="AF55" s="1940"/>
      <c r="AG55" s="1938"/>
      <c r="AH55" s="1050"/>
      <c r="AI55" s="62"/>
      <c r="AJ55" s="872"/>
      <c r="AK55" s="872"/>
      <c r="AL55" s="1770"/>
      <c r="AM55" s="1771"/>
    </row>
    <row r="56" spans="1:39" s="864" customFormat="1" ht="15" customHeight="1">
      <c r="A56" s="1047"/>
      <c r="B56" s="869" t="s">
        <v>961</v>
      </c>
      <c r="C56" s="101"/>
      <c r="D56" s="873">
        <v>39.6</v>
      </c>
      <c r="E56" s="1489"/>
      <c r="F56" s="3766">
        <f t="shared" si="5"/>
        <v>11.5</v>
      </c>
      <c r="G56" s="1489"/>
      <c r="H56" s="873"/>
      <c r="I56" s="1489"/>
      <c r="J56" s="3766"/>
      <c r="K56" s="1495"/>
      <c r="L56" s="3766"/>
      <c r="M56" s="1495"/>
      <c r="N56" s="3766"/>
      <c r="O56" s="1495"/>
      <c r="P56" s="3766"/>
      <c r="Q56" s="1941"/>
      <c r="R56" s="1741"/>
      <c r="S56" s="1941"/>
      <c r="T56" s="3766"/>
      <c r="U56" s="1941"/>
      <c r="V56" s="3766"/>
      <c r="W56" s="1941"/>
      <c r="X56" s="3766"/>
      <c r="Y56" s="1941"/>
      <c r="Z56" s="1741"/>
      <c r="AA56" s="1942"/>
      <c r="AB56" s="1943"/>
      <c r="AC56" s="1945"/>
      <c r="AD56" s="1741">
        <v>51.1</v>
      </c>
      <c r="AE56" s="1975"/>
      <c r="AF56" s="3064"/>
      <c r="AG56" s="1741">
        <v>48.4</v>
      </c>
      <c r="AH56" s="1050"/>
      <c r="AI56" s="62"/>
      <c r="AJ56" s="872">
        <f t="shared" ref="AJ56:AJ61" si="8">ROUND(SUM(+AD56-AG56),1)</f>
        <v>2.7</v>
      </c>
      <c r="AK56" s="872"/>
      <c r="AL56" s="1682">
        <f>ROUND(IF(AG56=0,1,AJ56/ABS(AG56)),3)</f>
        <v>5.6000000000000001E-2</v>
      </c>
      <c r="AM56" s="1771"/>
    </row>
    <row r="57" spans="1:39" s="864" customFormat="1" ht="15" customHeight="1">
      <c r="A57" s="1047"/>
      <c r="B57" s="869" t="s">
        <v>1483</v>
      </c>
      <c r="C57" s="101"/>
      <c r="D57" s="873">
        <v>186.3</v>
      </c>
      <c r="E57" s="1489"/>
      <c r="F57" s="3766">
        <f t="shared" si="5"/>
        <v>189.59999999999997</v>
      </c>
      <c r="G57" s="1489"/>
      <c r="H57" s="873"/>
      <c r="I57" s="1489"/>
      <c r="J57" s="3766"/>
      <c r="K57" s="1495"/>
      <c r="L57" s="3766"/>
      <c r="M57" s="1495"/>
      <c r="N57" s="3766"/>
      <c r="O57" s="1495"/>
      <c r="P57" s="3766"/>
      <c r="Q57" s="1941"/>
      <c r="R57" s="1741"/>
      <c r="S57" s="1941"/>
      <c r="T57" s="3766"/>
      <c r="U57" s="1941"/>
      <c r="V57" s="3766"/>
      <c r="W57" s="1941"/>
      <c r="X57" s="3766"/>
      <c r="Y57" s="1941"/>
      <c r="Z57" s="1741"/>
      <c r="AA57" s="1942"/>
      <c r="AB57" s="1943"/>
      <c r="AC57" s="1945"/>
      <c r="AD57" s="1741">
        <v>375.9</v>
      </c>
      <c r="AE57" s="1975"/>
      <c r="AF57" s="3064"/>
      <c r="AG57" s="1741">
        <v>413</v>
      </c>
      <c r="AH57" s="1050"/>
      <c r="AI57" s="62"/>
      <c r="AJ57" s="872">
        <f t="shared" si="8"/>
        <v>-37.1</v>
      </c>
      <c r="AK57" s="872"/>
      <c r="AL57" s="1770">
        <f>ROUND(IF(AG57=0,0,AJ57/ABS(AG57)),3)</f>
        <v>-0.09</v>
      </c>
      <c r="AM57" s="1771"/>
    </row>
    <row r="58" spans="1:39" s="864" customFormat="1" ht="15" customHeight="1">
      <c r="A58" s="1047"/>
      <c r="B58" s="869" t="s">
        <v>1484</v>
      </c>
      <c r="C58" s="101"/>
      <c r="D58" s="873">
        <v>38.6</v>
      </c>
      <c r="E58" s="1489"/>
      <c r="F58" s="3766">
        <f t="shared" si="5"/>
        <v>53.4</v>
      </c>
      <c r="G58" s="1489"/>
      <c r="H58" s="873"/>
      <c r="I58" s="1489"/>
      <c r="J58" s="3766"/>
      <c r="K58" s="1495"/>
      <c r="L58" s="3766"/>
      <c r="M58" s="1495"/>
      <c r="N58" s="3766"/>
      <c r="O58" s="1495"/>
      <c r="P58" s="3766"/>
      <c r="Q58" s="1941"/>
      <c r="R58" s="1741"/>
      <c r="S58" s="1941"/>
      <c r="T58" s="3766"/>
      <c r="U58" s="1941"/>
      <c r="V58" s="3766"/>
      <c r="W58" s="1941"/>
      <c r="X58" s="3766"/>
      <c r="Y58" s="1941"/>
      <c r="Z58" s="1741"/>
      <c r="AA58" s="1942"/>
      <c r="AB58" s="1943"/>
      <c r="AC58" s="1991"/>
      <c r="AD58" s="1741">
        <v>92</v>
      </c>
      <c r="AE58" s="1975"/>
      <c r="AF58" s="3064"/>
      <c r="AG58" s="1741">
        <v>0</v>
      </c>
      <c r="AH58" s="1050"/>
      <c r="AI58" s="62"/>
      <c r="AJ58" s="872">
        <f t="shared" si="8"/>
        <v>92</v>
      </c>
      <c r="AK58" s="872"/>
      <c r="AL58" s="1770">
        <f>ROUND(IF(AG58=0,1,AJ58/ABS(AG58)),3)</f>
        <v>1</v>
      </c>
      <c r="AM58" s="1771"/>
    </row>
    <row r="59" spans="1:39" s="864" customFormat="1" ht="15" customHeight="1">
      <c r="A59" s="1047"/>
      <c r="B59" s="869" t="s">
        <v>962</v>
      </c>
      <c r="C59" s="101"/>
      <c r="D59" s="873">
        <v>73.400000000000006</v>
      </c>
      <c r="E59" s="1489"/>
      <c r="F59" s="3766">
        <f t="shared" si="5"/>
        <v>71.299999999999983</v>
      </c>
      <c r="G59" s="1489"/>
      <c r="H59" s="873"/>
      <c r="I59" s="1489"/>
      <c r="J59" s="3766"/>
      <c r="K59" s="1495"/>
      <c r="L59" s="3766"/>
      <c r="M59" s="1495"/>
      <c r="N59" s="3766"/>
      <c r="O59" s="1495"/>
      <c r="P59" s="3766"/>
      <c r="Q59" s="1941"/>
      <c r="R59" s="1741"/>
      <c r="S59" s="1941"/>
      <c r="T59" s="3766"/>
      <c r="U59" s="1941"/>
      <c r="V59" s="3766"/>
      <c r="W59" s="1941"/>
      <c r="X59" s="3766"/>
      <c r="Y59" s="1941"/>
      <c r="Z59" s="1741"/>
      <c r="AA59" s="1942"/>
      <c r="AB59" s="1943"/>
      <c r="AC59" s="1945"/>
      <c r="AD59" s="1741">
        <v>144.69999999999999</v>
      </c>
      <c r="AE59" s="1975"/>
      <c r="AF59" s="3064"/>
      <c r="AG59" s="1741">
        <v>153.79999999999998</v>
      </c>
      <c r="AH59" s="1050"/>
      <c r="AI59" s="62"/>
      <c r="AJ59" s="872">
        <f t="shared" si="8"/>
        <v>-9.1</v>
      </c>
      <c r="AK59" s="872"/>
      <c r="AL59" s="1781">
        <f>ROUND(IF(AG59=0,1,AJ59/ABS(AG59)),3)</f>
        <v>-5.8999999999999997E-2</v>
      </c>
      <c r="AM59" s="1771"/>
    </row>
    <row r="60" spans="1:39" ht="15" customHeight="1">
      <c r="A60" s="144"/>
      <c r="B60" s="869" t="s">
        <v>920</v>
      </c>
      <c r="C60" s="28"/>
      <c r="D60" s="873">
        <v>4.7</v>
      </c>
      <c r="E60" s="1489"/>
      <c r="F60" s="3766">
        <f t="shared" si="5"/>
        <v>5.8</v>
      </c>
      <c r="G60" s="1489"/>
      <c r="H60" s="873"/>
      <c r="I60" s="1489"/>
      <c r="J60" s="3766"/>
      <c r="K60" s="1495"/>
      <c r="L60" s="3766"/>
      <c r="M60" s="1495"/>
      <c r="N60" s="3766"/>
      <c r="O60" s="1495"/>
      <c r="P60" s="3766"/>
      <c r="Q60" s="1941"/>
      <c r="R60" s="1741"/>
      <c r="S60" s="1941"/>
      <c r="T60" s="3766"/>
      <c r="U60" s="1941"/>
      <c r="V60" s="3766"/>
      <c r="W60" s="1941"/>
      <c r="X60" s="3766"/>
      <c r="Y60" s="1941"/>
      <c r="Z60" s="1741"/>
      <c r="AA60" s="1942"/>
      <c r="AB60" s="1943"/>
      <c r="AC60" s="1945"/>
      <c r="AD60" s="1741">
        <v>10.5</v>
      </c>
      <c r="AE60" s="1975"/>
      <c r="AF60" s="3064"/>
      <c r="AG60" s="1741">
        <v>6.7</v>
      </c>
      <c r="AH60" s="269"/>
      <c r="AI60" s="51"/>
      <c r="AJ60" s="624">
        <f t="shared" si="8"/>
        <v>3.8</v>
      </c>
      <c r="AK60" s="624"/>
      <c r="AL60" s="1400">
        <f>ROUND(IF(AG60=0,0,AJ60/ABS(AG60)),3)</f>
        <v>0.56699999999999995</v>
      </c>
      <c r="AM60" s="763"/>
    </row>
    <row r="61" spans="1:39" s="864" customFormat="1" ht="15" customHeight="1">
      <c r="A61" s="1047"/>
      <c r="B61" s="869" t="s">
        <v>937</v>
      </c>
      <c r="C61" s="101"/>
      <c r="D61" s="873">
        <v>7.2</v>
      </c>
      <c r="E61" s="1489"/>
      <c r="F61" s="3766">
        <f t="shared" si="5"/>
        <v>1.8999999999999995</v>
      </c>
      <c r="G61" s="1489"/>
      <c r="H61" s="873"/>
      <c r="I61" s="1489"/>
      <c r="J61" s="3766"/>
      <c r="K61" s="1495"/>
      <c r="L61" s="3766"/>
      <c r="M61" s="1495"/>
      <c r="N61" s="3766"/>
      <c r="O61" s="1495"/>
      <c r="P61" s="3766"/>
      <c r="Q61" s="1941"/>
      <c r="R61" s="1741"/>
      <c r="S61" s="1941"/>
      <c r="T61" s="3766"/>
      <c r="U61" s="1941"/>
      <c r="V61" s="3766"/>
      <c r="W61" s="1941"/>
      <c r="X61" s="3766"/>
      <c r="Y61" s="1941"/>
      <c r="Z61" s="1741"/>
      <c r="AA61" s="1942"/>
      <c r="AB61" s="1943"/>
      <c r="AC61" s="1945"/>
      <c r="AD61" s="1741">
        <v>9.1</v>
      </c>
      <c r="AE61" s="1975"/>
      <c r="AF61" s="3064"/>
      <c r="AG61" s="1741">
        <v>8.6</v>
      </c>
      <c r="AH61" s="1050"/>
      <c r="AI61" s="62"/>
      <c r="AJ61" s="872">
        <f t="shared" si="8"/>
        <v>0.5</v>
      </c>
      <c r="AK61" s="872"/>
      <c r="AL61" s="1770">
        <f>ROUND(IF(AG61=0,0,AJ61/ABS(AG61)),3)</f>
        <v>5.8000000000000003E-2</v>
      </c>
      <c r="AM61" s="1771"/>
    </row>
    <row r="62" spans="1:39" s="864" customFormat="1" ht="15" customHeight="1">
      <c r="A62" s="1047"/>
      <c r="B62" s="869" t="s">
        <v>1036</v>
      </c>
      <c r="C62" s="101"/>
      <c r="D62" s="873" t="s">
        <v>14</v>
      </c>
      <c r="E62" s="1489"/>
      <c r="F62" s="3766"/>
      <c r="G62" s="1489"/>
      <c r="H62" s="873"/>
      <c r="I62" s="1489"/>
      <c r="J62" s="873"/>
      <c r="K62" s="112"/>
      <c r="L62" s="3766"/>
      <c r="M62" s="112"/>
      <c r="N62" s="873"/>
      <c r="O62" s="112"/>
      <c r="P62" s="3766"/>
      <c r="Q62" s="1938"/>
      <c r="R62" s="1741"/>
      <c r="S62" s="1938"/>
      <c r="T62" s="1741"/>
      <c r="U62" s="1938"/>
      <c r="V62" s="1741"/>
      <c r="W62" s="1938"/>
      <c r="X62" s="3766"/>
      <c r="Y62" s="1938"/>
      <c r="Z62" s="1741"/>
      <c r="AA62" s="1937"/>
      <c r="AB62" s="1938"/>
      <c r="AC62" s="1982"/>
      <c r="AD62" s="1938"/>
      <c r="AE62" s="1938"/>
      <c r="AF62" s="1940"/>
      <c r="AG62" s="1938"/>
      <c r="AH62" s="1050"/>
      <c r="AI62" s="62"/>
      <c r="AJ62" s="872"/>
      <c r="AK62" s="872"/>
      <c r="AL62" s="1770"/>
      <c r="AM62" s="1771"/>
    </row>
    <row r="63" spans="1:39" s="864" customFormat="1" ht="15" customHeight="1">
      <c r="A63" s="1047"/>
      <c r="B63" s="869" t="s">
        <v>963</v>
      </c>
      <c r="C63" s="101"/>
      <c r="D63" s="873">
        <v>0</v>
      </c>
      <c r="E63" s="1489"/>
      <c r="F63" s="3766">
        <f t="shared" si="5"/>
        <v>0</v>
      </c>
      <c r="G63" s="1489"/>
      <c r="H63" s="873"/>
      <c r="I63" s="1489"/>
      <c r="J63" s="3766"/>
      <c r="K63" s="1495"/>
      <c r="L63" s="3766"/>
      <c r="M63" s="1495"/>
      <c r="N63" s="3766"/>
      <c r="O63" s="1495"/>
      <c r="P63" s="3766"/>
      <c r="Q63" s="1941"/>
      <c r="R63" s="1741"/>
      <c r="S63" s="1941"/>
      <c r="T63" s="3766"/>
      <c r="U63" s="1941"/>
      <c r="V63" s="3766"/>
      <c r="W63" s="1941"/>
      <c r="X63" s="3766"/>
      <c r="Y63" s="1941"/>
      <c r="Z63" s="1741"/>
      <c r="AA63" s="1942"/>
      <c r="AB63" s="1943"/>
      <c r="AC63" s="1945"/>
      <c r="AD63" s="1741">
        <v>0</v>
      </c>
      <c r="AE63" s="1975"/>
      <c r="AF63" s="3064"/>
      <c r="AG63" s="1741">
        <v>0</v>
      </c>
      <c r="AH63" s="1050"/>
      <c r="AI63" s="62"/>
      <c r="AJ63" s="872">
        <f t="shared" ref="AJ63:AJ67" si="9">ROUND(SUM(+AD63-AG63),1)</f>
        <v>0</v>
      </c>
      <c r="AK63" s="872"/>
      <c r="AL63" s="1770">
        <f>ROUND(IF(AG63=0,0,AJ63/ABS(AG63)),3)</f>
        <v>0</v>
      </c>
      <c r="AM63" s="1771"/>
    </row>
    <row r="64" spans="1:39" s="864" customFormat="1" ht="15" customHeight="1">
      <c r="A64" s="1047"/>
      <c r="B64" s="869" t="s">
        <v>964</v>
      </c>
      <c r="C64" s="101"/>
      <c r="D64" s="873">
        <v>14.2</v>
      </c>
      <c r="E64" s="1489"/>
      <c r="F64" s="3766">
        <f t="shared" si="5"/>
        <v>0</v>
      </c>
      <c r="G64" s="1489"/>
      <c r="H64" s="873"/>
      <c r="I64" s="1489"/>
      <c r="J64" s="3766"/>
      <c r="K64" s="1495"/>
      <c r="L64" s="3766"/>
      <c r="M64" s="1495"/>
      <c r="N64" s="3766"/>
      <c r="O64" s="1495"/>
      <c r="P64" s="3766"/>
      <c r="Q64" s="1941"/>
      <c r="R64" s="1741"/>
      <c r="S64" s="1941"/>
      <c r="T64" s="3766"/>
      <c r="U64" s="1941"/>
      <c r="V64" s="3766"/>
      <c r="W64" s="1941"/>
      <c r="X64" s="3766"/>
      <c r="Y64" s="1941"/>
      <c r="Z64" s="1741"/>
      <c r="AA64" s="1942"/>
      <c r="AB64" s="1943"/>
      <c r="AC64" s="1945"/>
      <c r="AD64" s="1741">
        <v>14.2</v>
      </c>
      <c r="AE64" s="1975"/>
      <c r="AF64" s="3064"/>
      <c r="AG64" s="1741">
        <v>0</v>
      </c>
      <c r="AH64" s="1050"/>
      <c r="AI64" s="62"/>
      <c r="AJ64" s="872">
        <f t="shared" si="9"/>
        <v>14.2</v>
      </c>
      <c r="AK64" s="872"/>
      <c r="AL64" s="1770">
        <f>ROUND(IF(AG64=0,1,AJ64/ABS(AG64)),3)</f>
        <v>1</v>
      </c>
      <c r="AM64" s="1771"/>
    </row>
    <row r="65" spans="1:39" s="864" customFormat="1" ht="15" customHeight="1">
      <c r="A65" s="1047"/>
      <c r="B65" s="869" t="s">
        <v>965</v>
      </c>
      <c r="C65" s="101"/>
      <c r="D65" s="873">
        <v>2.8</v>
      </c>
      <c r="E65" s="1489"/>
      <c r="F65" s="3766">
        <f t="shared" si="5"/>
        <v>3.7</v>
      </c>
      <c r="G65" s="1489"/>
      <c r="H65" s="873"/>
      <c r="I65" s="1489"/>
      <c r="J65" s="3766"/>
      <c r="K65" s="1495"/>
      <c r="L65" s="3766"/>
      <c r="M65" s="1495"/>
      <c r="N65" s="3766"/>
      <c r="O65" s="1495"/>
      <c r="P65" s="3766"/>
      <c r="Q65" s="1941"/>
      <c r="R65" s="1741"/>
      <c r="S65" s="1941"/>
      <c r="T65" s="3766"/>
      <c r="U65" s="1941"/>
      <c r="V65" s="3766"/>
      <c r="W65" s="1941"/>
      <c r="X65" s="3766"/>
      <c r="Y65" s="1941"/>
      <c r="Z65" s="1741"/>
      <c r="AA65" s="1942"/>
      <c r="AB65" s="1943"/>
      <c r="AC65" s="1945"/>
      <c r="AD65" s="1741">
        <v>6.5</v>
      </c>
      <c r="AE65" s="1975"/>
      <c r="AF65" s="3064"/>
      <c r="AG65" s="1741">
        <v>5</v>
      </c>
      <c r="AH65" s="1050"/>
      <c r="AI65" s="62"/>
      <c r="AJ65" s="872">
        <f t="shared" si="9"/>
        <v>1.5</v>
      </c>
      <c r="AK65" s="872"/>
      <c r="AL65" s="1781">
        <f>ROUND(IF(AG65=0,0,AJ65/ABS(AG65)),3)</f>
        <v>0.3</v>
      </c>
      <c r="AM65" s="1771"/>
    </row>
    <row r="66" spans="1:39" s="864" customFormat="1" ht="15" customHeight="1">
      <c r="A66" s="1047"/>
      <c r="B66" s="869" t="s">
        <v>966</v>
      </c>
      <c r="C66" s="101"/>
      <c r="D66" s="873">
        <v>4.9000000000000004</v>
      </c>
      <c r="E66" s="1489"/>
      <c r="F66" s="3766">
        <f t="shared" si="5"/>
        <v>11.200000000000001</v>
      </c>
      <c r="G66" s="1489"/>
      <c r="H66" s="873"/>
      <c r="I66" s="1489"/>
      <c r="J66" s="3766"/>
      <c r="K66" s="1495"/>
      <c r="L66" s="3766"/>
      <c r="M66" s="1495"/>
      <c r="N66" s="3766"/>
      <c r="O66" s="1495"/>
      <c r="P66" s="3766"/>
      <c r="Q66" s="1941"/>
      <c r="R66" s="1741"/>
      <c r="S66" s="1941"/>
      <c r="T66" s="3766"/>
      <c r="U66" s="1941"/>
      <c r="V66" s="3766"/>
      <c r="W66" s="1941"/>
      <c r="X66" s="3766"/>
      <c r="Y66" s="1941"/>
      <c r="Z66" s="1741"/>
      <c r="AA66" s="1942"/>
      <c r="AB66" s="1943"/>
      <c r="AC66" s="1945"/>
      <c r="AD66" s="1741">
        <v>16.100000000000001</v>
      </c>
      <c r="AE66" s="1975"/>
      <c r="AF66" s="3064"/>
      <c r="AG66" s="1741">
        <v>0.2</v>
      </c>
      <c r="AH66" s="1050"/>
      <c r="AI66" s="62"/>
      <c r="AJ66" s="872">
        <f t="shared" si="9"/>
        <v>15.9</v>
      </c>
      <c r="AK66" s="872"/>
      <c r="AL66" s="1781">
        <f t="shared" ref="AL66:AL67" si="10">ROUND(IF(AG66=0,0,AJ66/ABS(AG66)),3)</f>
        <v>79.5</v>
      </c>
      <c r="AM66" s="1771"/>
    </row>
    <row r="67" spans="1:39" s="864" customFormat="1" ht="15" customHeight="1">
      <c r="A67" s="1047"/>
      <c r="B67" s="869" t="s">
        <v>938</v>
      </c>
      <c r="C67" s="101"/>
      <c r="D67" s="873">
        <v>33.299999999999997</v>
      </c>
      <c r="E67" s="1489"/>
      <c r="F67" s="3766">
        <f t="shared" si="5"/>
        <v>20.6</v>
      </c>
      <c r="G67" s="1489"/>
      <c r="H67" s="873"/>
      <c r="I67" s="1489"/>
      <c r="J67" s="3766"/>
      <c r="K67" s="1495"/>
      <c r="L67" s="3766"/>
      <c r="M67" s="1495"/>
      <c r="N67" s="3766"/>
      <c r="O67" s="1495"/>
      <c r="P67" s="3766"/>
      <c r="Q67" s="1941"/>
      <c r="R67" s="1741"/>
      <c r="S67" s="1941"/>
      <c r="T67" s="3766"/>
      <c r="U67" s="1941"/>
      <c r="V67" s="3766"/>
      <c r="W67" s="1941"/>
      <c r="X67" s="3766"/>
      <c r="Y67" s="1941"/>
      <c r="Z67" s="1741"/>
      <c r="AA67" s="1942"/>
      <c r="AB67" s="1943"/>
      <c r="AC67" s="1945"/>
      <c r="AD67" s="1741">
        <v>53.9</v>
      </c>
      <c r="AE67" s="1975"/>
      <c r="AF67" s="3064"/>
      <c r="AG67" s="1741">
        <v>43.7</v>
      </c>
      <c r="AH67" s="1050"/>
      <c r="AI67" s="62"/>
      <c r="AJ67" s="872">
        <f t="shared" si="9"/>
        <v>10.199999999999999</v>
      </c>
      <c r="AK67" s="872"/>
      <c r="AL67" s="1781">
        <f t="shared" si="10"/>
        <v>0.23300000000000001</v>
      </c>
      <c r="AM67" s="1771"/>
    </row>
    <row r="68" spans="1:39" s="864" customFormat="1" ht="17.25" customHeight="1">
      <c r="A68" s="1047"/>
      <c r="B68" s="869" t="s">
        <v>1037</v>
      </c>
      <c r="C68" s="101"/>
      <c r="D68" s="873" t="s">
        <v>14</v>
      </c>
      <c r="E68" s="1489"/>
      <c r="F68" s="3766"/>
      <c r="G68" s="1489"/>
      <c r="H68" s="873"/>
      <c r="I68" s="1489"/>
      <c r="J68" s="873"/>
      <c r="K68" s="112"/>
      <c r="L68" s="3766"/>
      <c r="M68" s="112"/>
      <c r="N68" s="873"/>
      <c r="O68" s="112"/>
      <c r="P68" s="3766"/>
      <c r="Q68" s="1938"/>
      <c r="R68" s="1741"/>
      <c r="S68" s="1938"/>
      <c r="T68" s="1741"/>
      <c r="U68" s="1938"/>
      <c r="V68" s="1741"/>
      <c r="W68" s="1938"/>
      <c r="X68" s="3766"/>
      <c r="Y68" s="1938"/>
      <c r="Z68" s="1741"/>
      <c r="AA68" s="1937"/>
      <c r="AB68" s="1938"/>
      <c r="AC68" s="1982"/>
      <c r="AD68" s="1938"/>
      <c r="AE68" s="1938"/>
      <c r="AF68" s="1940"/>
      <c r="AG68" s="1938"/>
      <c r="AH68" s="1050"/>
      <c r="AI68" s="62"/>
      <c r="AJ68" s="872"/>
      <c r="AK68" s="872"/>
      <c r="AL68" s="1770"/>
      <c r="AM68" s="1771"/>
    </row>
    <row r="69" spans="1:39" s="864" customFormat="1" ht="15" customHeight="1">
      <c r="A69" s="1047"/>
      <c r="B69" s="869" t="s">
        <v>967</v>
      </c>
      <c r="C69" s="101"/>
      <c r="D69" s="873">
        <v>31.9</v>
      </c>
      <c r="E69" s="1489"/>
      <c r="F69" s="3766">
        <f t="shared" si="5"/>
        <v>8.6000000000000014</v>
      </c>
      <c r="G69" s="1489"/>
      <c r="H69" s="873"/>
      <c r="I69" s="1489"/>
      <c r="J69" s="3766"/>
      <c r="K69" s="1495"/>
      <c r="L69" s="3766"/>
      <c r="M69" s="1495"/>
      <c r="N69" s="3766"/>
      <c r="O69" s="1495"/>
      <c r="P69" s="3766"/>
      <c r="Q69" s="1941"/>
      <c r="R69" s="1741"/>
      <c r="S69" s="1941"/>
      <c r="T69" s="3766"/>
      <c r="U69" s="1941"/>
      <c r="V69" s="3766"/>
      <c r="W69" s="1941"/>
      <c r="X69" s="3766"/>
      <c r="Y69" s="1941"/>
      <c r="Z69" s="1741"/>
      <c r="AA69" s="1942"/>
      <c r="AB69" s="1943"/>
      <c r="AC69" s="1945"/>
      <c r="AD69" s="1741">
        <v>40.5</v>
      </c>
      <c r="AE69" s="1975"/>
      <c r="AF69" s="3064"/>
      <c r="AG69" s="1741">
        <v>53.9</v>
      </c>
      <c r="AH69" s="1050"/>
      <c r="AI69" s="62"/>
      <c r="AJ69" s="872">
        <f t="shared" ref="AJ69:AJ80" si="11">ROUND(SUM(+AD69-AG69),1)</f>
        <v>-13.4</v>
      </c>
      <c r="AK69" s="872"/>
      <c r="AL69" s="1781">
        <f>ROUND(IF(AG69=0,0,AJ69/ABS(AG69)),3)</f>
        <v>-0.249</v>
      </c>
      <c r="AM69" s="1771" t="s">
        <v>14</v>
      </c>
    </row>
    <row r="70" spans="1:39" s="864" customFormat="1" ht="15" customHeight="1">
      <c r="A70" s="1047"/>
      <c r="B70" s="869" t="s">
        <v>968</v>
      </c>
      <c r="C70" s="101"/>
      <c r="D70" s="873">
        <v>6.7999999999999972</v>
      </c>
      <c r="E70" s="1489"/>
      <c r="F70" s="3766">
        <f t="shared" si="5"/>
        <v>0</v>
      </c>
      <c r="G70" s="1489"/>
      <c r="H70" s="873"/>
      <c r="I70" s="1489"/>
      <c r="J70" s="3766"/>
      <c r="K70" s="1495"/>
      <c r="L70" s="3766"/>
      <c r="M70" s="1495"/>
      <c r="N70" s="3766"/>
      <c r="O70" s="1495"/>
      <c r="P70" s="3766"/>
      <c r="Q70" s="1941"/>
      <c r="R70" s="1741"/>
      <c r="S70" s="1941"/>
      <c r="T70" s="3766"/>
      <c r="U70" s="1941"/>
      <c r="V70" s="3766"/>
      <c r="W70" s="1941"/>
      <c r="X70" s="3766"/>
      <c r="Y70" s="1941"/>
      <c r="Z70" s="1741"/>
      <c r="AA70" s="1942"/>
      <c r="AB70" s="1943"/>
      <c r="AC70" s="1945"/>
      <c r="AD70" s="1741">
        <v>6.7999999999999972</v>
      </c>
      <c r="AE70" s="1975"/>
      <c r="AF70" s="3064"/>
      <c r="AG70" s="1741">
        <v>1.1000000000000001</v>
      </c>
      <c r="AH70" s="1050"/>
      <c r="AI70" s="62"/>
      <c r="AJ70" s="872">
        <f t="shared" si="11"/>
        <v>5.7</v>
      </c>
      <c r="AK70" s="872"/>
      <c r="AL70" s="1781">
        <f>ROUND(IF(AG70=0,1,AJ70/ABS(AG70)),3)</f>
        <v>5.1820000000000004</v>
      </c>
      <c r="AM70" s="1771"/>
    </row>
    <row r="71" spans="1:39" s="864" customFormat="1" ht="15" customHeight="1">
      <c r="A71" s="1047"/>
      <c r="B71" s="869" t="s">
        <v>1238</v>
      </c>
      <c r="C71" s="101"/>
      <c r="D71" s="873">
        <v>0</v>
      </c>
      <c r="E71" s="1489"/>
      <c r="F71" s="3766">
        <f t="shared" si="5"/>
        <v>0</v>
      </c>
      <c r="G71" s="1489"/>
      <c r="H71" s="873"/>
      <c r="I71" s="1489"/>
      <c r="J71" s="3766"/>
      <c r="K71" s="1495"/>
      <c r="L71" s="3766"/>
      <c r="M71" s="1495"/>
      <c r="N71" s="3766"/>
      <c r="O71" s="1495"/>
      <c r="P71" s="3766"/>
      <c r="Q71" s="1941"/>
      <c r="R71" s="1741"/>
      <c r="S71" s="1941"/>
      <c r="T71" s="3766"/>
      <c r="U71" s="1941"/>
      <c r="V71" s="3766"/>
      <c r="W71" s="1941"/>
      <c r="X71" s="3766"/>
      <c r="Y71" s="1941"/>
      <c r="Z71" s="1741"/>
      <c r="AA71" s="1942"/>
      <c r="AB71" s="1943"/>
      <c r="AC71" s="1945"/>
      <c r="AD71" s="1741">
        <v>0</v>
      </c>
      <c r="AE71" s="1975"/>
      <c r="AF71" s="3066"/>
      <c r="AG71" s="1741">
        <v>0</v>
      </c>
      <c r="AH71" s="1050"/>
      <c r="AI71" s="62"/>
      <c r="AJ71" s="872">
        <f t="shared" si="11"/>
        <v>0</v>
      </c>
      <c r="AK71" s="872"/>
      <c r="AL71" s="1770">
        <f>ROUND(IF(AG71=0,0,AJ71/ABS(AG71)),3)</f>
        <v>0</v>
      </c>
      <c r="AM71" s="1771"/>
    </row>
    <row r="72" spans="1:39" s="864" customFormat="1" ht="15" customHeight="1">
      <c r="A72" s="1047"/>
      <c r="B72" s="869" t="s">
        <v>969</v>
      </c>
      <c r="C72" s="101"/>
      <c r="D72" s="873">
        <v>2.2999999999999998</v>
      </c>
      <c r="E72" s="1489"/>
      <c r="F72" s="3766">
        <f t="shared" si="5"/>
        <v>0.60000000000000009</v>
      </c>
      <c r="G72" s="1489"/>
      <c r="H72" s="873"/>
      <c r="I72" s="1489"/>
      <c r="J72" s="3766"/>
      <c r="K72" s="1495"/>
      <c r="L72" s="3766"/>
      <c r="M72" s="1495"/>
      <c r="N72" s="3766"/>
      <c r="O72" s="1495"/>
      <c r="P72" s="3766"/>
      <c r="Q72" s="1941"/>
      <c r="R72" s="1741"/>
      <c r="S72" s="1941"/>
      <c r="T72" s="3766"/>
      <c r="U72" s="1941"/>
      <c r="V72" s="3766"/>
      <c r="W72" s="1941"/>
      <c r="X72" s="3766"/>
      <c r="Y72" s="1941"/>
      <c r="Z72" s="1741"/>
      <c r="AA72" s="1942"/>
      <c r="AB72" s="1943"/>
      <c r="AC72" s="1945"/>
      <c r="AD72" s="1741">
        <v>2.9</v>
      </c>
      <c r="AE72" s="1975"/>
      <c r="AF72" s="3064"/>
      <c r="AG72" s="1741">
        <v>1.5</v>
      </c>
      <c r="AH72" s="1050"/>
      <c r="AI72" s="62"/>
      <c r="AJ72" s="872">
        <f t="shared" si="11"/>
        <v>1.4</v>
      </c>
      <c r="AK72" s="872"/>
      <c r="AL72" s="1781">
        <f t="shared" ref="AL72:AL75" si="12">ROUND(IF(AG72=0,0,AJ72/ABS(AG72)),3)</f>
        <v>0.93300000000000005</v>
      </c>
      <c r="AM72" s="1771"/>
    </row>
    <row r="73" spans="1:39" s="864" customFormat="1" ht="15" customHeight="1">
      <c r="A73" s="1047"/>
      <c r="B73" s="869" t="s">
        <v>970</v>
      </c>
      <c r="C73" s="101"/>
      <c r="D73" s="873">
        <v>0</v>
      </c>
      <c r="E73" s="1489"/>
      <c r="F73" s="3766">
        <f t="shared" si="5"/>
        <v>0</v>
      </c>
      <c r="G73" s="1489"/>
      <c r="H73" s="873"/>
      <c r="I73" s="1489"/>
      <c r="J73" s="3766"/>
      <c r="K73" s="1495"/>
      <c r="L73" s="3766"/>
      <c r="M73" s="1495"/>
      <c r="N73" s="3766"/>
      <c r="O73" s="1495"/>
      <c r="P73" s="3766"/>
      <c r="Q73" s="1941"/>
      <c r="R73" s="1741"/>
      <c r="S73" s="1941"/>
      <c r="T73" s="3766"/>
      <c r="U73" s="1941"/>
      <c r="V73" s="3766"/>
      <c r="W73" s="1941"/>
      <c r="X73" s="3766"/>
      <c r="Y73" s="1941"/>
      <c r="Z73" s="1741"/>
      <c r="AA73" s="1942"/>
      <c r="AB73" s="1943"/>
      <c r="AC73" s="1945"/>
      <c r="AD73" s="1741">
        <v>0</v>
      </c>
      <c r="AE73" s="1975"/>
      <c r="AF73" s="3064"/>
      <c r="AG73" s="1741">
        <v>0</v>
      </c>
      <c r="AH73" s="1050"/>
      <c r="AI73" s="62"/>
      <c r="AJ73" s="872">
        <f t="shared" si="11"/>
        <v>0</v>
      </c>
      <c r="AK73" s="872"/>
      <c r="AL73" s="1781">
        <f>ROUND(IF(AG73=0,0,AJ73/ABS(AG73)),3)</f>
        <v>0</v>
      </c>
      <c r="AM73" s="1771"/>
    </row>
    <row r="74" spans="1:39" s="864" customFormat="1" ht="15" customHeight="1">
      <c r="A74" s="1047"/>
      <c r="B74" s="869" t="s">
        <v>971</v>
      </c>
      <c r="C74" s="101"/>
      <c r="D74" s="873">
        <v>159.6</v>
      </c>
      <c r="E74" s="1489"/>
      <c r="F74" s="3766">
        <f t="shared" si="5"/>
        <v>201.79999999999998</v>
      </c>
      <c r="G74" s="1489"/>
      <c r="H74" s="873"/>
      <c r="I74" s="1489"/>
      <c r="J74" s="3766"/>
      <c r="K74" s="1495"/>
      <c r="L74" s="3766"/>
      <c r="M74" s="1495"/>
      <c r="N74" s="3766"/>
      <c r="O74" s="1495"/>
      <c r="P74" s="3766"/>
      <c r="Q74" s="1941"/>
      <c r="R74" s="1741"/>
      <c r="S74" s="1941"/>
      <c r="T74" s="3766"/>
      <c r="U74" s="1941"/>
      <c r="V74" s="3766"/>
      <c r="W74" s="1941"/>
      <c r="X74" s="3766"/>
      <c r="Y74" s="1941"/>
      <c r="Z74" s="1741"/>
      <c r="AA74" s="1942"/>
      <c r="AB74" s="1943"/>
      <c r="AC74" s="1945"/>
      <c r="AD74" s="1741">
        <v>361.4</v>
      </c>
      <c r="AE74" s="1975"/>
      <c r="AF74" s="3064"/>
      <c r="AG74" s="1741">
        <v>393</v>
      </c>
      <c r="AH74" s="1050"/>
      <c r="AI74" s="62"/>
      <c r="AJ74" s="872">
        <f t="shared" si="11"/>
        <v>-31.6</v>
      </c>
      <c r="AK74" s="872"/>
      <c r="AL74" s="1770">
        <f t="shared" si="12"/>
        <v>-0.08</v>
      </c>
      <c r="AM74" s="1771"/>
    </row>
    <row r="75" spans="1:39" s="864" customFormat="1" ht="15" customHeight="1">
      <c r="A75" s="1047"/>
      <c r="B75" s="869" t="s">
        <v>972</v>
      </c>
      <c r="C75" s="101"/>
      <c r="D75" s="873">
        <v>2.9</v>
      </c>
      <c r="E75" s="1489"/>
      <c r="F75" s="3766">
        <f t="shared" si="5"/>
        <v>0.5</v>
      </c>
      <c r="G75" s="1489"/>
      <c r="H75" s="873"/>
      <c r="I75" s="1489"/>
      <c r="J75" s="3766"/>
      <c r="K75" s="1495"/>
      <c r="L75" s="3766"/>
      <c r="M75" s="1495"/>
      <c r="N75" s="3766"/>
      <c r="O75" s="1495"/>
      <c r="P75" s="3766"/>
      <c r="Q75" s="1941"/>
      <c r="R75" s="1741"/>
      <c r="S75" s="1941"/>
      <c r="T75" s="3766"/>
      <c r="U75" s="1941"/>
      <c r="V75" s="3766"/>
      <c r="W75" s="1941"/>
      <c r="X75" s="3766"/>
      <c r="Y75" s="1941"/>
      <c r="Z75" s="1741"/>
      <c r="AA75" s="1942"/>
      <c r="AB75" s="1943"/>
      <c r="AC75" s="1945"/>
      <c r="AD75" s="1741">
        <v>3.4</v>
      </c>
      <c r="AE75" s="1975"/>
      <c r="AF75" s="3064"/>
      <c r="AG75" s="1741">
        <v>5.2</v>
      </c>
      <c r="AH75" s="1050"/>
      <c r="AI75" s="62"/>
      <c r="AJ75" s="872">
        <f t="shared" si="11"/>
        <v>-1.8</v>
      </c>
      <c r="AK75" s="872"/>
      <c r="AL75" s="1781">
        <f t="shared" si="12"/>
        <v>-0.34599999999999997</v>
      </c>
      <c r="AM75" s="1771"/>
    </row>
    <row r="76" spans="1:39" s="864" customFormat="1" ht="15" customHeight="1">
      <c r="A76" s="1047"/>
      <c r="B76" s="869" t="s">
        <v>973</v>
      </c>
      <c r="C76" s="101"/>
      <c r="D76" s="873">
        <v>7.5</v>
      </c>
      <c r="E76" s="1489"/>
      <c r="F76" s="3766">
        <f t="shared" si="5"/>
        <v>1.1999999999999993</v>
      </c>
      <c r="G76" s="1489"/>
      <c r="H76" s="873"/>
      <c r="I76" s="1489"/>
      <c r="J76" s="3766"/>
      <c r="K76" s="1495"/>
      <c r="L76" s="3766"/>
      <c r="M76" s="1495"/>
      <c r="N76" s="3766"/>
      <c r="O76" s="1495"/>
      <c r="P76" s="3766"/>
      <c r="Q76" s="1941"/>
      <c r="R76" s="1741"/>
      <c r="S76" s="1941"/>
      <c r="T76" s="3766"/>
      <c r="U76" s="1941"/>
      <c r="V76" s="3766"/>
      <c r="W76" s="1941"/>
      <c r="X76" s="3766"/>
      <c r="Y76" s="1941"/>
      <c r="Z76" s="1741"/>
      <c r="AA76" s="1942"/>
      <c r="AB76" s="1943"/>
      <c r="AC76" s="1945"/>
      <c r="AD76" s="1741">
        <v>8.6999999999999993</v>
      </c>
      <c r="AE76" s="1975"/>
      <c r="AF76" s="3064"/>
      <c r="AG76" s="1741">
        <v>11</v>
      </c>
      <c r="AH76" s="1050"/>
      <c r="AI76" s="62"/>
      <c r="AJ76" s="872">
        <f t="shared" si="11"/>
        <v>-2.2999999999999998</v>
      </c>
      <c r="AK76" s="872"/>
      <c r="AL76" s="1781">
        <f>ROUND(IF(AG76=0,1,AJ76/ABS(AG76)),3)</f>
        <v>-0.20899999999999999</v>
      </c>
      <c r="AM76" s="1771"/>
    </row>
    <row r="77" spans="1:39" s="864" customFormat="1" ht="15" customHeight="1">
      <c r="A77" s="1047"/>
      <c r="B77" s="869" t="s">
        <v>974</v>
      </c>
      <c r="C77" s="101"/>
      <c r="D77" s="873">
        <v>1.9</v>
      </c>
      <c r="E77" s="872"/>
      <c r="F77" s="3766">
        <f t="shared" si="5"/>
        <v>1.4</v>
      </c>
      <c r="G77" s="872"/>
      <c r="H77" s="873"/>
      <c r="I77" s="872"/>
      <c r="J77" s="3766"/>
      <c r="K77" s="1495"/>
      <c r="L77" s="3766"/>
      <c r="M77" s="1495"/>
      <c r="N77" s="3766"/>
      <c r="O77" s="1495"/>
      <c r="P77" s="3766"/>
      <c r="Q77" s="1941"/>
      <c r="R77" s="1741"/>
      <c r="S77" s="1941"/>
      <c r="T77" s="3766"/>
      <c r="U77" s="1941"/>
      <c r="V77" s="3766"/>
      <c r="W77" s="1941"/>
      <c r="X77" s="3766"/>
      <c r="Y77" s="1941"/>
      <c r="Z77" s="1741"/>
      <c r="AA77" s="1942"/>
      <c r="AB77" s="1943"/>
      <c r="AC77" s="1945"/>
      <c r="AD77" s="1741">
        <v>3.3</v>
      </c>
      <c r="AE77" s="1975"/>
      <c r="AF77" s="3064"/>
      <c r="AG77" s="1741">
        <v>8</v>
      </c>
      <c r="AH77" s="1050"/>
      <c r="AI77" s="62"/>
      <c r="AJ77" s="872">
        <f t="shared" si="11"/>
        <v>-4.7</v>
      </c>
      <c r="AK77" s="872"/>
      <c r="AL77" s="1770">
        <f>ROUND(IF(AG77=0,0,AJ77/ABS(AG77)),3)</f>
        <v>-0.58799999999999997</v>
      </c>
      <c r="AM77" s="1771"/>
    </row>
    <row r="78" spans="1:39" s="864" customFormat="1" ht="15" customHeight="1">
      <c r="A78" s="1047"/>
      <c r="B78" s="869" t="s">
        <v>975</v>
      </c>
      <c r="C78" s="101"/>
      <c r="D78" s="873">
        <v>38.4</v>
      </c>
      <c r="E78" s="872"/>
      <c r="F78" s="3766">
        <f t="shared" si="5"/>
        <v>78.699999999999989</v>
      </c>
      <c r="G78" s="872"/>
      <c r="H78" s="873"/>
      <c r="I78" s="872"/>
      <c r="J78" s="3766"/>
      <c r="K78" s="1495"/>
      <c r="L78" s="3766"/>
      <c r="M78" s="1495"/>
      <c r="N78" s="3766"/>
      <c r="O78" s="1495"/>
      <c r="P78" s="3766"/>
      <c r="Q78" s="1941"/>
      <c r="R78" s="1741"/>
      <c r="S78" s="1941"/>
      <c r="T78" s="3766"/>
      <c r="U78" s="1941"/>
      <c r="V78" s="3766"/>
      <c r="W78" s="1941"/>
      <c r="X78" s="3766"/>
      <c r="Y78" s="1941"/>
      <c r="Z78" s="1741"/>
      <c r="AA78" s="1942"/>
      <c r="AB78" s="1943"/>
      <c r="AC78" s="1944"/>
      <c r="AD78" s="1741">
        <v>117.1</v>
      </c>
      <c r="AE78" s="1943"/>
      <c r="AF78" s="1945"/>
      <c r="AG78" s="1741">
        <v>101.7</v>
      </c>
      <c r="AH78" s="1050"/>
      <c r="AI78" s="62"/>
      <c r="AJ78" s="872">
        <f t="shared" si="11"/>
        <v>15.4</v>
      </c>
      <c r="AK78" s="872"/>
      <c r="AL78" s="1781">
        <f>ROUND(IF(AG78=0,0,AJ78/ABS(AG78)),3)</f>
        <v>0.151</v>
      </c>
      <c r="AM78" s="1771"/>
    </row>
    <row r="79" spans="1:39" ht="15" customHeight="1">
      <c r="A79" s="144"/>
      <c r="B79" s="869" t="s">
        <v>948</v>
      </c>
      <c r="C79" s="28"/>
      <c r="D79" s="873">
        <v>0.8</v>
      </c>
      <c r="E79" s="872"/>
      <c r="F79" s="3766">
        <f t="shared" si="5"/>
        <v>1.4000000000000001</v>
      </c>
      <c r="G79" s="872"/>
      <c r="H79" s="873"/>
      <c r="I79" s="872"/>
      <c r="J79" s="3766"/>
      <c r="K79" s="1495"/>
      <c r="L79" s="3766"/>
      <c r="M79" s="1495"/>
      <c r="N79" s="3766"/>
      <c r="O79" s="1495"/>
      <c r="P79" s="3766"/>
      <c r="Q79" s="1941"/>
      <c r="R79" s="1741"/>
      <c r="S79" s="1941"/>
      <c r="T79" s="3766"/>
      <c r="U79" s="1941"/>
      <c r="V79" s="3766"/>
      <c r="W79" s="1941"/>
      <c r="X79" s="3766"/>
      <c r="Y79" s="1941"/>
      <c r="Z79" s="1741"/>
      <c r="AA79" s="1942"/>
      <c r="AB79" s="1943"/>
      <c r="AC79" s="1944"/>
      <c r="AD79" s="1741">
        <v>2.2000000000000002</v>
      </c>
      <c r="AE79" s="1943"/>
      <c r="AF79" s="1945"/>
      <c r="AG79" s="1741">
        <v>2.7</v>
      </c>
      <c r="AH79" s="269"/>
      <c r="AI79" s="51"/>
      <c r="AJ79" s="624">
        <f t="shared" si="11"/>
        <v>-0.5</v>
      </c>
      <c r="AK79" s="624"/>
      <c r="AL79" s="1400">
        <f>ROUND(IF(AG79=0,0,AJ79/ABS(AG79)),3)</f>
        <v>-0.185</v>
      </c>
      <c r="AM79" s="763"/>
    </row>
    <row r="80" spans="1:39" s="864" customFormat="1" ht="15" customHeight="1">
      <c r="A80" s="1047"/>
      <c r="B80" s="869" t="s">
        <v>949</v>
      </c>
      <c r="C80" s="101"/>
      <c r="D80" s="873">
        <v>36.700000000000003</v>
      </c>
      <c r="E80" s="872"/>
      <c r="F80" s="3766">
        <f t="shared" si="5"/>
        <v>-26.1</v>
      </c>
      <c r="G80" s="872"/>
      <c r="H80" s="873"/>
      <c r="I80" s="872"/>
      <c r="J80" s="3766"/>
      <c r="K80" s="1495"/>
      <c r="L80" s="3766"/>
      <c r="M80" s="1495"/>
      <c r="N80" s="3766"/>
      <c r="O80" s="1495"/>
      <c r="P80" s="3766"/>
      <c r="Q80" s="1941"/>
      <c r="R80" s="1741"/>
      <c r="S80" s="1941"/>
      <c r="T80" s="3766"/>
      <c r="U80" s="1941"/>
      <c r="V80" s="3766"/>
      <c r="W80" s="1941"/>
      <c r="X80" s="3766"/>
      <c r="Y80" s="1941"/>
      <c r="Z80" s="1741"/>
      <c r="AA80" s="1942"/>
      <c r="AB80" s="1943"/>
      <c r="AC80" s="1945"/>
      <c r="AD80" s="1741">
        <v>10.6</v>
      </c>
      <c r="AE80" s="1975"/>
      <c r="AF80" s="3064"/>
      <c r="AG80" s="1741">
        <v>-34.1</v>
      </c>
      <c r="AH80" s="1050"/>
      <c r="AI80" s="62"/>
      <c r="AJ80" s="872">
        <f t="shared" si="11"/>
        <v>44.7</v>
      </c>
      <c r="AK80" s="872"/>
      <c r="AL80" s="1770">
        <f>ROUND(IF(AG80=0,0,AJ80/ABS(AG80)),3)</f>
        <v>1.3109999999999999</v>
      </c>
      <c r="AM80" s="1771"/>
    </row>
    <row r="81" spans="1:39" s="864" customFormat="1" ht="15" customHeight="1">
      <c r="A81" s="1047"/>
      <c r="B81" s="304" t="s">
        <v>1076</v>
      </c>
      <c r="C81" s="101"/>
      <c r="D81" s="1790">
        <f>ROUND(SUM(D41:D80),1)</f>
        <v>1461.5</v>
      </c>
      <c r="E81" s="872"/>
      <c r="F81" s="1790">
        <f>ROUND(SUM(F41:F80),1)</f>
        <v>1311.3</v>
      </c>
      <c r="G81" s="872"/>
      <c r="H81" s="1790">
        <f>ROUND(SUM(H41:H80),1)</f>
        <v>0</v>
      </c>
      <c r="I81" s="872"/>
      <c r="J81" s="1790">
        <f>ROUND(SUM(J41:J80),1)</f>
        <v>0</v>
      </c>
      <c r="K81" s="112"/>
      <c r="L81" s="1497">
        <f>ROUND(SUM(L41:L80),1)</f>
        <v>0</v>
      </c>
      <c r="M81" s="112"/>
      <c r="N81" s="1497">
        <f>ROUND(SUM(N41:N80),1)</f>
        <v>0</v>
      </c>
      <c r="O81" s="112"/>
      <c r="P81" s="1428">
        <f>ROUND(SUM(P41:P80),1)</f>
        <v>0</v>
      </c>
      <c r="Q81" s="1938"/>
      <c r="R81" s="1428">
        <f>ROUND(SUM(R41:R80),1)</f>
        <v>0</v>
      </c>
      <c r="S81" s="1938"/>
      <c r="T81" s="1428">
        <f>ROUND(SUM(T41:T80),1)</f>
        <v>0</v>
      </c>
      <c r="U81" s="1938"/>
      <c r="V81" s="1428">
        <f>ROUND(SUM(V41:V80),1)</f>
        <v>0</v>
      </c>
      <c r="W81" s="1938"/>
      <c r="X81" s="1428">
        <f>ROUND(SUM(X41:X80),1)</f>
        <v>0</v>
      </c>
      <c r="Y81" s="1938"/>
      <c r="Z81" s="1428">
        <f>ROUND(SUM(Z41:Z80),1)</f>
        <v>0</v>
      </c>
      <c r="AA81" s="1430"/>
      <c r="AB81" s="1938"/>
      <c r="AC81" s="1982"/>
      <c r="AD81" s="1428">
        <f>ROUND(SUM(AD41:AD80),1)</f>
        <v>2772.8</v>
      </c>
      <c r="AE81" s="1938"/>
      <c r="AF81" s="1940"/>
      <c r="AG81" s="1428">
        <f>ROUND(SUM(AG41:AG80),1)</f>
        <v>2572.8000000000002</v>
      </c>
      <c r="AH81" s="1050"/>
      <c r="AI81" s="62"/>
      <c r="AJ81" s="1497">
        <f>ROUND(SUM(AJ41:AJ80),1)</f>
        <v>200</v>
      </c>
      <c r="AK81" s="872"/>
      <c r="AL81" s="1772">
        <f>ROUND(SUM(+AJ81/AG81),3)</f>
        <v>7.8E-2</v>
      </c>
      <c r="AM81" s="1771"/>
    </row>
    <row r="82" spans="1:39" s="864" customFormat="1" ht="15" customHeight="1">
      <c r="A82" s="1047"/>
      <c r="B82" s="304"/>
      <c r="C82" s="101"/>
      <c r="D82" s="109"/>
      <c r="E82" s="872"/>
      <c r="F82" s="109"/>
      <c r="G82" s="872"/>
      <c r="H82" s="109"/>
      <c r="I82" s="872"/>
      <c r="J82" s="109"/>
      <c r="K82" s="112"/>
      <c r="L82" s="109"/>
      <c r="M82" s="112"/>
      <c r="N82" s="109"/>
      <c r="O82" s="112"/>
      <c r="P82" s="1430"/>
      <c r="Q82" s="1938"/>
      <c r="R82" s="1430"/>
      <c r="S82" s="1938"/>
      <c r="T82" s="1430"/>
      <c r="U82" s="1938"/>
      <c r="V82" s="1430"/>
      <c r="W82" s="1938"/>
      <c r="X82" s="3766"/>
      <c r="Y82" s="1938"/>
      <c r="Z82" s="1430"/>
      <c r="AA82" s="1430"/>
      <c r="AB82" s="1938"/>
      <c r="AC82" s="1982"/>
      <c r="AD82" s="1430"/>
      <c r="AE82" s="1938"/>
      <c r="AF82" s="1940"/>
      <c r="AG82" s="1430"/>
      <c r="AH82" s="1050"/>
      <c r="AI82" s="62"/>
      <c r="AJ82" s="109"/>
      <c r="AK82" s="872"/>
      <c r="AL82" s="1773"/>
      <c r="AM82" s="1771"/>
    </row>
    <row r="83" spans="1:39" s="864" customFormat="1" ht="15" customHeight="1">
      <c r="A83" s="1047"/>
      <c r="B83" s="1768" t="s">
        <v>146</v>
      </c>
      <c r="C83" s="101"/>
      <c r="D83" s="873">
        <v>0</v>
      </c>
      <c r="E83" s="872"/>
      <c r="F83" s="3766">
        <f t="shared" ref="F83" si="13">$AD83-D83</f>
        <v>0</v>
      </c>
      <c r="G83" s="872"/>
      <c r="H83" s="873"/>
      <c r="I83" s="872"/>
      <c r="J83" s="3766"/>
      <c r="K83" s="1495"/>
      <c r="L83" s="3766"/>
      <c r="M83" s="1495"/>
      <c r="N83" s="3766"/>
      <c r="O83" s="1495"/>
      <c r="P83" s="3766"/>
      <c r="Q83" s="1941"/>
      <c r="R83" s="1741"/>
      <c r="S83" s="1941"/>
      <c r="T83" s="3766"/>
      <c r="U83" s="1941"/>
      <c r="V83" s="3766"/>
      <c r="W83" s="1941"/>
      <c r="X83" s="3872"/>
      <c r="Y83" s="1941"/>
      <c r="Z83" s="1741"/>
      <c r="AA83" s="1942"/>
      <c r="AB83" s="1943"/>
      <c r="AC83" s="1945"/>
      <c r="AD83" s="1741">
        <v>0</v>
      </c>
      <c r="AE83" s="1975"/>
      <c r="AF83" s="3064"/>
      <c r="AG83" s="1741">
        <v>0</v>
      </c>
      <c r="AH83" s="1050"/>
      <c r="AI83" s="62"/>
      <c r="AJ83" s="1001">
        <f>ROUND(SUM(+AD83-AG83),1)</f>
        <v>0</v>
      </c>
      <c r="AK83" s="872"/>
      <c r="AL83" s="1682">
        <f>ROUND(IF(AG83=0,0,AJ83/ABS(AG83)),3)</f>
        <v>0</v>
      </c>
      <c r="AM83" s="1771"/>
    </row>
    <row r="84" spans="1:39" ht="15" customHeight="1">
      <c r="A84" s="144"/>
      <c r="B84" s="28"/>
      <c r="C84" s="28"/>
      <c r="D84" s="667"/>
      <c r="E84" s="1489"/>
      <c r="F84" s="667"/>
      <c r="G84" s="1489"/>
      <c r="H84" s="667"/>
      <c r="I84" s="1489"/>
      <c r="J84" s="667"/>
      <c r="K84" s="61"/>
      <c r="L84" s="83"/>
      <c r="M84" s="61"/>
      <c r="N84" s="83"/>
      <c r="O84" s="61"/>
      <c r="P84" s="1948"/>
      <c r="Q84" s="1949"/>
      <c r="R84" s="1948"/>
      <c r="S84" s="1949"/>
      <c r="T84" s="1948"/>
      <c r="U84" s="1949"/>
      <c r="V84" s="1948"/>
      <c r="W84" s="1949"/>
      <c r="X84" s="3766"/>
      <c r="Y84" s="1949"/>
      <c r="Z84" s="1948"/>
      <c r="AA84" s="1950"/>
      <c r="AB84" s="1949"/>
      <c r="AC84" s="1980"/>
      <c r="AD84" s="1994"/>
      <c r="AE84" s="1920"/>
      <c r="AF84" s="1940"/>
      <c r="AG84" s="1994"/>
      <c r="AH84" s="269"/>
      <c r="AI84" s="51"/>
      <c r="AJ84" s="1377"/>
      <c r="AK84" s="897"/>
      <c r="AL84" s="1414"/>
      <c r="AM84" s="763"/>
    </row>
    <row r="85" spans="1:39" ht="15" customHeight="1">
      <c r="A85" s="144"/>
      <c r="B85" s="26" t="s">
        <v>147</v>
      </c>
      <c r="C85" s="28"/>
      <c r="D85" s="899">
        <f>ROUND(SUM(D37+D81+D83),1)</f>
        <v>1954</v>
      </c>
      <c r="E85" s="899"/>
      <c r="F85" s="899">
        <f>ROUND(SUM(F37+F81+F83),1)</f>
        <v>1546.5</v>
      </c>
      <c r="G85" s="899"/>
      <c r="H85" s="899">
        <f>ROUND(SUM(H37+H81+H83),1)</f>
        <v>0</v>
      </c>
      <c r="I85" s="899"/>
      <c r="J85" s="899">
        <f>ROUND(SUM(J37+J81+J83),1)</f>
        <v>0</v>
      </c>
      <c r="K85" s="899"/>
      <c r="L85" s="899">
        <f>ROUND(SUM(L37+L81+L83),1)</f>
        <v>0</v>
      </c>
      <c r="M85" s="899"/>
      <c r="N85" s="899">
        <f>ROUND(SUM(N37+N81+N83),1)</f>
        <v>0</v>
      </c>
      <c r="O85" s="899"/>
      <c r="P85" s="1429">
        <f>ROUND(SUM(P37+P81+P83),1)</f>
        <v>0</v>
      </c>
      <c r="Q85" s="1429"/>
      <c r="R85" s="1429">
        <f>ROUND(SUM(R37+R81+R83),1)</f>
        <v>0</v>
      </c>
      <c r="S85" s="1429"/>
      <c r="T85" s="1429">
        <f>ROUND(SUM(T37+T81+T83),1)</f>
        <v>0</v>
      </c>
      <c r="U85" s="1429"/>
      <c r="V85" s="1429">
        <f>ROUND(SUM(V37+V81+V83),1)</f>
        <v>0</v>
      </c>
      <c r="W85" s="1429"/>
      <c r="X85" s="1963">
        <f>ROUND(SUM(X37+X81+X83),1)</f>
        <v>0</v>
      </c>
      <c r="Y85" s="1429"/>
      <c r="Z85" s="1429">
        <f>ROUND(SUM(Z37+Z81+Z83),1)</f>
        <v>0</v>
      </c>
      <c r="AA85" s="1429"/>
      <c r="AB85" s="1429"/>
      <c r="AC85" s="1983"/>
      <c r="AD85" s="1993">
        <f>ROUND(SUM(AD37+AD81+AD83),1)</f>
        <v>3500.5</v>
      </c>
      <c r="AE85" s="1430"/>
      <c r="AF85" s="3048"/>
      <c r="AG85" s="1993">
        <f>ROUND(SUM(AG37+AG81+AG83),1)</f>
        <v>3181</v>
      </c>
      <c r="AH85" s="276"/>
      <c r="AI85" s="71"/>
      <c r="AJ85" s="806">
        <f>ROUND(SUM(AJ37+AJ81+AJ83),1)</f>
        <v>319.5</v>
      </c>
      <c r="AK85" s="278"/>
      <c r="AL85" s="1403">
        <f>ROUND(SUM((AD85-AG85)/ABS(AG85)),3)</f>
        <v>0.1</v>
      </c>
      <c r="AM85" s="763"/>
    </row>
    <row r="86" spans="1:39" ht="15" customHeight="1">
      <c r="A86" s="144"/>
      <c r="B86" s="28"/>
      <c r="C86" s="28"/>
      <c r="D86" s="667"/>
      <c r="E86" s="1489"/>
      <c r="F86" s="667"/>
      <c r="G86" s="1489"/>
      <c r="H86" s="667"/>
      <c r="I86" s="1489"/>
      <c r="J86" s="667"/>
      <c r="K86" s="61"/>
      <c r="L86" s="83"/>
      <c r="M86" s="61"/>
      <c r="N86" s="83"/>
      <c r="O86" s="61"/>
      <c r="P86" s="1948"/>
      <c r="Q86" s="1949"/>
      <c r="R86" s="1948"/>
      <c r="S86" s="1949"/>
      <c r="T86" s="1948"/>
      <c r="U86" s="1949"/>
      <c r="V86" s="1948"/>
      <c r="W86" s="1949"/>
      <c r="X86" s="3766"/>
      <c r="Y86" s="1949"/>
      <c r="Z86" s="1948"/>
      <c r="AA86" s="1950"/>
      <c r="AB86" s="1949"/>
      <c r="AC86" s="1980"/>
      <c r="AD86" s="1994"/>
      <c r="AE86" s="1920"/>
      <c r="AF86" s="1940"/>
      <c r="AG86" s="1994"/>
      <c r="AH86" s="269"/>
      <c r="AI86" s="51"/>
      <c r="AJ86" s="624"/>
      <c r="AK86" s="897"/>
      <c r="AL86" s="1400"/>
      <c r="AM86" s="763"/>
    </row>
    <row r="87" spans="1:39" ht="15" customHeight="1">
      <c r="A87" s="144"/>
      <c r="B87" s="167" t="s">
        <v>22</v>
      </c>
      <c r="C87" s="28"/>
      <c r="D87" s="1489"/>
      <c r="E87" s="1489"/>
      <c r="F87" s="1489"/>
      <c r="G87" s="1489"/>
      <c r="H87" s="1489"/>
      <c r="I87" s="1489"/>
      <c r="J87" s="1489"/>
      <c r="K87" s="61"/>
      <c r="L87" s="61"/>
      <c r="M87" s="61"/>
      <c r="N87" s="61"/>
      <c r="O87" s="61"/>
      <c r="P87" s="1949"/>
      <c r="Q87" s="1949"/>
      <c r="R87" s="1949"/>
      <c r="S87" s="1949"/>
      <c r="T87" s="1949"/>
      <c r="U87" s="1949"/>
      <c r="V87" s="1949"/>
      <c r="W87" s="1949"/>
      <c r="X87" s="3766"/>
      <c r="Y87" s="1949"/>
      <c r="Z87" s="1949"/>
      <c r="AA87" s="1949"/>
      <c r="AB87" s="1949"/>
      <c r="AC87" s="1980"/>
      <c r="AD87" s="1938"/>
      <c r="AE87" s="1920"/>
      <c r="AF87" s="1940"/>
      <c r="AG87" s="1938"/>
      <c r="AH87" s="269"/>
      <c r="AI87" s="51"/>
      <c r="AJ87" s="624"/>
      <c r="AK87" s="897"/>
      <c r="AL87" s="1400"/>
      <c r="AM87" s="763"/>
    </row>
    <row r="88" spans="1:39" ht="12.75" customHeight="1">
      <c r="A88" s="144"/>
      <c r="B88" s="669" t="s">
        <v>148</v>
      </c>
      <c r="C88" s="28"/>
      <c r="D88" s="661"/>
      <c r="E88" s="1489"/>
      <c r="F88" s="661"/>
      <c r="G88" s="1489"/>
      <c r="H88" s="1489"/>
      <c r="I88" s="1489"/>
      <c r="J88" s="873"/>
      <c r="K88" s="61"/>
      <c r="L88" s="72"/>
      <c r="M88" s="61"/>
      <c r="N88" s="72"/>
      <c r="O88" s="61"/>
      <c r="P88" s="1958"/>
      <c r="Q88" s="1949"/>
      <c r="R88" s="1958"/>
      <c r="S88" s="1949"/>
      <c r="T88" s="1958"/>
      <c r="U88" s="1949"/>
      <c r="V88" s="1949"/>
      <c r="W88" s="1949"/>
      <c r="X88" s="3766"/>
      <c r="Y88" s="1949"/>
      <c r="Z88" s="1949"/>
      <c r="AA88" s="1949"/>
      <c r="AB88" s="1949"/>
      <c r="AC88" s="1980"/>
      <c r="AD88" s="1936"/>
      <c r="AE88" s="1938"/>
      <c r="AF88" s="1940"/>
      <c r="AG88" s="1936"/>
      <c r="AH88" s="269"/>
      <c r="AI88" s="51"/>
      <c r="AJ88" s="624"/>
      <c r="AK88" s="897"/>
      <c r="AL88" s="1415"/>
      <c r="AM88" s="763"/>
    </row>
    <row r="89" spans="1:39" s="864" customFormat="1" ht="15" customHeight="1">
      <c r="A89" s="1047"/>
      <c r="B89" s="1765" t="s">
        <v>24</v>
      </c>
      <c r="C89" s="101"/>
      <c r="D89" s="873">
        <v>0</v>
      </c>
      <c r="E89" s="1489"/>
      <c r="F89" s="3766">
        <f t="shared" ref="F89:F98" si="14">$AD89-D89</f>
        <v>0.1</v>
      </c>
      <c r="G89" s="1489"/>
      <c r="H89" s="873"/>
      <c r="I89" s="1489"/>
      <c r="J89" s="3766"/>
      <c r="K89" s="1495"/>
      <c r="L89" s="3766"/>
      <c r="M89" s="1495"/>
      <c r="N89" s="3766"/>
      <c r="O89" s="1495"/>
      <c r="P89" s="3766"/>
      <c r="Q89" s="1941"/>
      <c r="R89" s="1741"/>
      <c r="S89" s="1941"/>
      <c r="T89" s="3766"/>
      <c r="U89" s="1941"/>
      <c r="V89" s="3766"/>
      <c r="W89" s="1941"/>
      <c r="X89" s="3766"/>
      <c r="Y89" s="1941"/>
      <c r="Z89" s="1741"/>
      <c r="AA89" s="1942"/>
      <c r="AB89" s="1943"/>
      <c r="AC89" s="1945"/>
      <c r="AD89" s="1741">
        <v>0.1</v>
      </c>
      <c r="AE89" s="1975"/>
      <c r="AF89" s="3064"/>
      <c r="AG89" s="1741">
        <v>-2</v>
      </c>
      <c r="AH89" s="1050"/>
      <c r="AI89" s="62"/>
      <c r="AJ89" s="872">
        <f>ROUND(SUM(+AD89-AG89),1)</f>
        <v>2.1</v>
      </c>
      <c r="AK89" s="872"/>
      <c r="AL89" s="1682">
        <f>ROUND(IF(AG89=0,1,AJ89/ABS(AG89)),3)</f>
        <v>1.05</v>
      </c>
      <c r="AM89" s="1771"/>
    </row>
    <row r="90" spans="1:39" s="864" customFormat="1" ht="15" customHeight="1">
      <c r="A90" s="1047"/>
      <c r="B90" s="1765" t="s">
        <v>25</v>
      </c>
      <c r="C90" s="101"/>
      <c r="D90" s="873">
        <v>0</v>
      </c>
      <c r="E90" s="1489"/>
      <c r="F90" s="3766">
        <f t="shared" si="14"/>
        <v>0.2</v>
      </c>
      <c r="G90" s="1489"/>
      <c r="H90" s="873"/>
      <c r="I90" s="1489"/>
      <c r="J90" s="3766"/>
      <c r="K90" s="1495"/>
      <c r="L90" s="3766"/>
      <c r="M90" s="1495"/>
      <c r="N90" s="3766"/>
      <c r="O90" s="1495"/>
      <c r="P90" s="3766"/>
      <c r="Q90" s="1941"/>
      <c r="R90" s="1741"/>
      <c r="S90" s="1941"/>
      <c r="T90" s="3766"/>
      <c r="U90" s="1941"/>
      <c r="V90" s="3766"/>
      <c r="W90" s="1941"/>
      <c r="X90" s="3766"/>
      <c r="Y90" s="1941"/>
      <c r="Z90" s="1741"/>
      <c r="AA90" s="1942"/>
      <c r="AB90" s="1943"/>
      <c r="AC90" s="1945"/>
      <c r="AD90" s="1741">
        <v>0.2</v>
      </c>
      <c r="AE90" s="1975"/>
      <c r="AF90" s="3064"/>
      <c r="AG90" s="1741">
        <v>0.3</v>
      </c>
      <c r="AH90" s="1050"/>
      <c r="AI90" s="62"/>
      <c r="AJ90" s="872">
        <f>ROUND(SUM(+AD90-AG90),1)</f>
        <v>-0.1</v>
      </c>
      <c r="AK90" s="872"/>
      <c r="AL90" s="1770">
        <f>ROUND(IF(AG90=0,1,AJ90/ABS(AG90)),3)</f>
        <v>-0.33300000000000002</v>
      </c>
      <c r="AM90" s="1771"/>
    </row>
    <row r="91" spans="1:39" s="864" customFormat="1" ht="15" customHeight="1">
      <c r="A91" s="1047"/>
      <c r="B91" s="1765" t="s">
        <v>26</v>
      </c>
      <c r="C91" s="101"/>
      <c r="D91" s="873">
        <v>131.9</v>
      </c>
      <c r="E91" s="1489"/>
      <c r="F91" s="3766">
        <f t="shared" si="14"/>
        <v>30.299999999999983</v>
      </c>
      <c r="G91" s="1489"/>
      <c r="H91" s="873"/>
      <c r="I91" s="1489"/>
      <c r="J91" s="3766"/>
      <c r="K91" s="1495"/>
      <c r="L91" s="3766"/>
      <c r="M91" s="1495"/>
      <c r="N91" s="3766"/>
      <c r="O91" s="1495"/>
      <c r="P91" s="3766"/>
      <c r="Q91" s="1941"/>
      <c r="R91" s="1741"/>
      <c r="S91" s="1941"/>
      <c r="T91" s="3766"/>
      <c r="U91" s="1941"/>
      <c r="V91" s="3766"/>
      <c r="W91" s="1941"/>
      <c r="X91" s="3766"/>
      <c r="Y91" s="1941"/>
      <c r="Z91" s="1741"/>
      <c r="AA91" s="1942"/>
      <c r="AB91" s="1943"/>
      <c r="AC91" s="1945"/>
      <c r="AD91" s="1741">
        <v>162.19999999999999</v>
      </c>
      <c r="AE91" s="1975"/>
      <c r="AF91" s="3064"/>
      <c r="AG91" s="1741">
        <v>28.1</v>
      </c>
      <c r="AH91" s="1050"/>
      <c r="AI91" s="62"/>
      <c r="AJ91" s="872">
        <f>ROUND(SUM(+AD91-AG91),1)</f>
        <v>134.1</v>
      </c>
      <c r="AK91" s="872"/>
      <c r="AL91" s="1781">
        <f>ROUND(IF(AG91=0,0,AJ91/ABS(AG91)),3)</f>
        <v>4.7720000000000002</v>
      </c>
      <c r="AM91" s="1771"/>
    </row>
    <row r="92" spans="1:39" s="864" customFormat="1" ht="15" customHeight="1">
      <c r="A92" s="1047"/>
      <c r="B92" s="669" t="s">
        <v>1174</v>
      </c>
      <c r="C92" s="101"/>
      <c r="D92" s="873" t="s">
        <v>14</v>
      </c>
      <c r="E92" s="1489"/>
      <c r="F92" s="3766"/>
      <c r="G92" s="1489"/>
      <c r="H92" s="873"/>
      <c r="I92" s="1489"/>
      <c r="J92" s="873"/>
      <c r="K92" s="1495"/>
      <c r="L92" s="3766"/>
      <c r="M92" s="1495"/>
      <c r="N92" s="3766"/>
      <c r="O92" s="1495"/>
      <c r="P92" s="3766"/>
      <c r="Q92" s="1941"/>
      <c r="R92" s="1741"/>
      <c r="S92" s="1941"/>
      <c r="T92" s="3766"/>
      <c r="U92" s="1941"/>
      <c r="V92" s="1741"/>
      <c r="W92" s="1941"/>
      <c r="X92" s="3766"/>
      <c r="Y92" s="1941"/>
      <c r="Z92" s="1741"/>
      <c r="AA92" s="1942"/>
      <c r="AB92" s="1943"/>
      <c r="AC92" s="1945"/>
      <c r="AD92" s="1741"/>
      <c r="AE92" s="1975"/>
      <c r="AF92" s="3064"/>
      <c r="AG92" s="1741"/>
      <c r="AH92" s="1050"/>
      <c r="AI92" s="62"/>
      <c r="AJ92" s="872"/>
      <c r="AK92" s="868"/>
      <c r="AL92" s="1770"/>
      <c r="AM92" s="1771"/>
    </row>
    <row r="93" spans="1:39" s="864" customFormat="1" ht="15" customHeight="1">
      <c r="A93" s="1047"/>
      <c r="B93" s="1766" t="s">
        <v>28</v>
      </c>
      <c r="C93" s="101"/>
      <c r="D93" s="873">
        <v>474.1</v>
      </c>
      <c r="E93" s="1489"/>
      <c r="F93" s="3766">
        <f t="shared" si="14"/>
        <v>474.29999999999995</v>
      </c>
      <c r="G93" s="1489"/>
      <c r="H93" s="873"/>
      <c r="I93" s="1489"/>
      <c r="J93" s="3766"/>
      <c r="K93" s="1495"/>
      <c r="L93" s="3766"/>
      <c r="M93" s="1495"/>
      <c r="N93" s="3766"/>
      <c r="O93" s="1495"/>
      <c r="P93" s="3766"/>
      <c r="Q93" s="1941"/>
      <c r="R93" s="1741"/>
      <c r="S93" s="1941"/>
      <c r="T93" s="3766"/>
      <c r="U93" s="1941"/>
      <c r="V93" s="3766"/>
      <c r="W93" s="1941"/>
      <c r="X93" s="3766"/>
      <c r="Y93" s="1941"/>
      <c r="Z93" s="1741"/>
      <c r="AA93" s="1942"/>
      <c r="AB93" s="1943"/>
      <c r="AC93" s="1945"/>
      <c r="AD93" s="1741">
        <v>948.4</v>
      </c>
      <c r="AE93" s="1975"/>
      <c r="AF93" s="3064"/>
      <c r="AG93" s="1741">
        <v>848.3</v>
      </c>
      <c r="AH93" s="1050"/>
      <c r="AI93" s="62"/>
      <c r="AJ93" s="872">
        <f t="shared" ref="AJ93:AJ98" si="15">ROUND(SUM(+AD93-AG93),1)</f>
        <v>100.1</v>
      </c>
      <c r="AK93" s="872"/>
      <c r="AL93" s="1781">
        <f t="shared" ref="AL93:AL98" si="16">ROUND(IF(AG93=0,0,AJ93/ABS(AG93)),3)</f>
        <v>0.11799999999999999</v>
      </c>
      <c r="AM93" s="1771"/>
    </row>
    <row r="94" spans="1:39" s="864" customFormat="1" ht="15" customHeight="1">
      <c r="A94" s="1047"/>
      <c r="B94" s="1765" t="s">
        <v>29</v>
      </c>
      <c r="C94" s="101"/>
      <c r="D94" s="873">
        <v>67.900000000000006</v>
      </c>
      <c r="E94" s="1489"/>
      <c r="F94" s="3766">
        <f t="shared" si="14"/>
        <v>60.699999999999989</v>
      </c>
      <c r="G94" s="1489"/>
      <c r="H94" s="873"/>
      <c r="I94" s="1489"/>
      <c r="J94" s="3766"/>
      <c r="K94" s="1495"/>
      <c r="L94" s="3766"/>
      <c r="M94" s="1495"/>
      <c r="N94" s="3766"/>
      <c r="O94" s="1495"/>
      <c r="P94" s="3766"/>
      <c r="Q94" s="1941"/>
      <c r="R94" s="1741"/>
      <c r="S94" s="1941"/>
      <c r="T94" s="3766"/>
      <c r="U94" s="1941"/>
      <c r="V94" s="3766"/>
      <c r="W94" s="1941"/>
      <c r="X94" s="3766"/>
      <c r="Y94" s="1941"/>
      <c r="Z94" s="1741"/>
      <c r="AA94" s="1942"/>
      <c r="AB94" s="1943"/>
      <c r="AC94" s="1945"/>
      <c r="AD94" s="1741">
        <v>128.6</v>
      </c>
      <c r="AE94" s="1975"/>
      <c r="AF94" s="3064"/>
      <c r="AG94" s="1741">
        <v>84.5</v>
      </c>
      <c r="AH94" s="1050"/>
      <c r="AI94" s="62"/>
      <c r="AJ94" s="872">
        <f t="shared" si="15"/>
        <v>44.1</v>
      </c>
      <c r="AK94" s="872"/>
      <c r="AL94" s="1770">
        <f t="shared" si="16"/>
        <v>0.52200000000000002</v>
      </c>
      <c r="AM94" s="1771"/>
    </row>
    <row r="95" spans="1:39" s="864" customFormat="1" ht="15" customHeight="1">
      <c r="A95" s="1047"/>
      <c r="B95" s="1765" t="s">
        <v>30</v>
      </c>
      <c r="C95" s="101"/>
      <c r="D95" s="873">
        <v>15.9</v>
      </c>
      <c r="E95" s="1489"/>
      <c r="F95" s="3766">
        <f t="shared" si="14"/>
        <v>15.999999999999998</v>
      </c>
      <c r="G95" s="1489"/>
      <c r="H95" s="873"/>
      <c r="I95" s="1489"/>
      <c r="J95" s="3766"/>
      <c r="K95" s="1495"/>
      <c r="L95" s="3766"/>
      <c r="M95" s="1495"/>
      <c r="N95" s="3766"/>
      <c r="O95" s="1495"/>
      <c r="P95" s="3766"/>
      <c r="Q95" s="1941"/>
      <c r="R95" s="1741"/>
      <c r="S95" s="1941"/>
      <c r="T95" s="3766"/>
      <c r="U95" s="1941"/>
      <c r="V95" s="3766"/>
      <c r="W95" s="1941"/>
      <c r="X95" s="3766"/>
      <c r="Y95" s="1941"/>
      <c r="Z95" s="1741"/>
      <c r="AA95" s="1942"/>
      <c r="AB95" s="1943"/>
      <c r="AC95" s="1945"/>
      <c r="AD95" s="1741">
        <v>31.9</v>
      </c>
      <c r="AE95" s="1975"/>
      <c r="AF95" s="3064"/>
      <c r="AG95" s="1741">
        <v>39.299999999999997</v>
      </c>
      <c r="AH95" s="1050"/>
      <c r="AI95" s="62"/>
      <c r="AJ95" s="872">
        <f t="shared" si="15"/>
        <v>-7.4</v>
      </c>
      <c r="AK95" s="872"/>
      <c r="AL95" s="1770">
        <f t="shared" si="16"/>
        <v>-0.188</v>
      </c>
      <c r="AM95" s="1771"/>
    </row>
    <row r="96" spans="1:39" s="864" customFormat="1" ht="15" customHeight="1">
      <c r="A96" s="1047"/>
      <c r="B96" s="1765" t="s">
        <v>31</v>
      </c>
      <c r="C96" s="101"/>
      <c r="D96" s="873">
        <v>1</v>
      </c>
      <c r="E96" s="1489"/>
      <c r="F96" s="3766">
        <f t="shared" si="14"/>
        <v>0.39999999999999991</v>
      </c>
      <c r="G96" s="1489"/>
      <c r="H96" s="873"/>
      <c r="I96" s="1489"/>
      <c r="J96" s="3766"/>
      <c r="K96" s="1495"/>
      <c r="L96" s="3766"/>
      <c r="M96" s="1495"/>
      <c r="N96" s="3766"/>
      <c r="O96" s="1495"/>
      <c r="P96" s="3766"/>
      <c r="Q96" s="1941"/>
      <c r="R96" s="1741"/>
      <c r="S96" s="1941"/>
      <c r="T96" s="3766"/>
      <c r="U96" s="1941"/>
      <c r="V96" s="3766"/>
      <c r="W96" s="1941"/>
      <c r="X96" s="3766"/>
      <c r="Y96" s="1941"/>
      <c r="Z96" s="1741"/>
      <c r="AA96" s="1942"/>
      <c r="AB96" s="1943"/>
      <c r="AC96" s="1945"/>
      <c r="AD96" s="1741">
        <v>1.4</v>
      </c>
      <c r="AE96" s="1975"/>
      <c r="AF96" s="3064"/>
      <c r="AG96" s="1741">
        <v>0.4</v>
      </c>
      <c r="AH96" s="1050"/>
      <c r="AI96" s="62"/>
      <c r="AJ96" s="872">
        <f t="shared" si="15"/>
        <v>1</v>
      </c>
      <c r="AK96" s="872"/>
      <c r="AL96" s="1770">
        <f t="shared" si="16"/>
        <v>2.5</v>
      </c>
      <c r="AM96" s="1771"/>
    </row>
    <row r="97" spans="1:40" s="864" customFormat="1" ht="15" customHeight="1">
      <c r="A97" s="1047"/>
      <c r="B97" s="1765" t="s">
        <v>32</v>
      </c>
      <c r="C97" s="101"/>
      <c r="D97" s="873">
        <v>2.2999999999999998</v>
      </c>
      <c r="E97" s="1489"/>
      <c r="F97" s="3766">
        <f t="shared" si="14"/>
        <v>0.30000000000000027</v>
      </c>
      <c r="G97" s="1489"/>
      <c r="H97" s="873"/>
      <c r="I97" s="1489"/>
      <c r="J97" s="3766"/>
      <c r="K97" s="1495"/>
      <c r="L97" s="3766"/>
      <c r="M97" s="1495"/>
      <c r="N97" s="3766"/>
      <c r="O97" s="1495"/>
      <c r="P97" s="3766"/>
      <c r="Q97" s="1941"/>
      <c r="R97" s="1741"/>
      <c r="S97" s="1941"/>
      <c r="T97" s="3766"/>
      <c r="U97" s="1941"/>
      <c r="V97" s="3766"/>
      <c r="W97" s="1941"/>
      <c r="X97" s="3766"/>
      <c r="Y97" s="1941"/>
      <c r="Z97" s="1741"/>
      <c r="AA97" s="1942"/>
      <c r="AB97" s="1943"/>
      <c r="AC97" s="1945"/>
      <c r="AD97" s="1741">
        <v>2.6</v>
      </c>
      <c r="AE97" s="1975"/>
      <c r="AF97" s="3064"/>
      <c r="AG97" s="1741">
        <v>2.5</v>
      </c>
      <c r="AH97" s="1050"/>
      <c r="AI97" s="62"/>
      <c r="AJ97" s="872">
        <f t="shared" si="15"/>
        <v>0.1</v>
      </c>
      <c r="AK97" s="872"/>
      <c r="AL97" s="1781">
        <f>ROUND(IF(AG97=0,1,AJ97/ABS(AG97)),3)</f>
        <v>0.04</v>
      </c>
      <c r="AM97" s="1771"/>
    </row>
    <row r="98" spans="1:40" s="864" customFormat="1" ht="15" customHeight="1">
      <c r="A98" s="1047"/>
      <c r="B98" s="1765" t="s">
        <v>33</v>
      </c>
      <c r="C98" s="101"/>
      <c r="D98" s="873">
        <v>57.1</v>
      </c>
      <c r="E98" s="1489"/>
      <c r="F98" s="3766">
        <f t="shared" si="14"/>
        <v>561</v>
      </c>
      <c r="G98" s="1489"/>
      <c r="H98" s="873"/>
      <c r="I98" s="1489"/>
      <c r="J98" s="3766"/>
      <c r="K98" s="1495"/>
      <c r="L98" s="3766"/>
      <c r="M98" s="1495"/>
      <c r="N98" s="3766"/>
      <c r="O98" s="1495"/>
      <c r="P98" s="3766"/>
      <c r="Q98" s="1941"/>
      <c r="R98" s="1741"/>
      <c r="S98" s="1941"/>
      <c r="T98" s="3766"/>
      <c r="U98" s="1941"/>
      <c r="V98" s="3766"/>
      <c r="W98" s="1941"/>
      <c r="X98" s="3766"/>
      <c r="Y98" s="1941"/>
      <c r="Z98" s="1741"/>
      <c r="AA98" s="1942"/>
      <c r="AB98" s="1943"/>
      <c r="AC98" s="1945"/>
      <c r="AD98" s="1741">
        <v>618.1</v>
      </c>
      <c r="AE98" s="1975"/>
      <c r="AF98" s="3064"/>
      <c r="AG98" s="1741">
        <v>606.69999999999993</v>
      </c>
      <c r="AH98" s="1050"/>
      <c r="AI98" s="62"/>
      <c r="AJ98" s="872">
        <f t="shared" si="15"/>
        <v>11.4</v>
      </c>
      <c r="AK98" s="872"/>
      <c r="AL98" s="1770">
        <f t="shared" si="16"/>
        <v>1.9E-2</v>
      </c>
      <c r="AM98" s="1771"/>
    </row>
    <row r="99" spans="1:40" ht="15" customHeight="1">
      <c r="A99" s="144"/>
      <c r="B99" s="26" t="s">
        <v>1077</v>
      </c>
      <c r="C99" s="28"/>
      <c r="D99" s="288">
        <f>ROUND(SUM(D89:D98),1)</f>
        <v>750.2</v>
      </c>
      <c r="E99" s="899"/>
      <c r="F99" s="288">
        <f>ROUND(SUM(F89:F98),1)</f>
        <v>1143.3</v>
      </c>
      <c r="G99" s="899"/>
      <c r="H99" s="288">
        <f>ROUND(SUM(H89:H98),1)</f>
        <v>0</v>
      </c>
      <c r="I99" s="899"/>
      <c r="J99" s="288">
        <f>ROUND(SUM(J89:J98),1)</f>
        <v>0</v>
      </c>
      <c r="K99" s="899"/>
      <c r="L99" s="288">
        <f>ROUND(SUM(L89:L98),1)</f>
        <v>0</v>
      </c>
      <c r="M99" s="899"/>
      <c r="N99" s="288">
        <f>ROUND(SUM(N89:N98),1)</f>
        <v>0</v>
      </c>
      <c r="O99" s="899"/>
      <c r="P99" s="1959">
        <f>ROUND(SUM(P89:P98),1)</f>
        <v>0</v>
      </c>
      <c r="Q99" s="1429"/>
      <c r="R99" s="1959">
        <f>ROUND(SUM(R89:R98),1)</f>
        <v>0</v>
      </c>
      <c r="S99" s="1429"/>
      <c r="T99" s="1959">
        <f>ROUND(SUM(T89:T98),1)</f>
        <v>0</v>
      </c>
      <c r="U99" s="1429"/>
      <c r="V99" s="1959">
        <f>ROUND(SUM(V89:V98),1)</f>
        <v>0</v>
      </c>
      <c r="W99" s="1429"/>
      <c r="X99" s="1959">
        <f>ROUND(SUM(X89:X98),1)</f>
        <v>0</v>
      </c>
      <c r="Y99" s="1429"/>
      <c r="Z99" s="1959">
        <f>ROUND(SUM(Z89:Z98),1)</f>
        <v>0</v>
      </c>
      <c r="AA99" s="1412"/>
      <c r="AB99" s="1429"/>
      <c r="AC99" s="1983"/>
      <c r="AD99" s="1960">
        <f>ROUND(SUM(AD89:AD98),1)</f>
        <v>1893.5</v>
      </c>
      <c r="AE99" s="1430"/>
      <c r="AF99" s="3048"/>
      <c r="AG99" s="1960">
        <f>ROUND(SUM(AG89:AG98),1)</f>
        <v>1608.1</v>
      </c>
      <c r="AH99" s="276"/>
      <c r="AI99" s="71"/>
      <c r="AJ99" s="56">
        <f>ROUND(SUM(AD99-AG99),1)</f>
        <v>285.39999999999998</v>
      </c>
      <c r="AK99" s="160"/>
      <c r="AL99" s="1402">
        <f>ROUND(SUM((AD99-AG99)/ABS(AG99)),3)</f>
        <v>0.17699999999999999</v>
      </c>
      <c r="AM99" s="763"/>
    </row>
    <row r="100" spans="1:40" ht="15" customHeight="1">
      <c r="A100" s="144"/>
      <c r="B100" s="28" t="s">
        <v>166</v>
      </c>
      <c r="C100" s="28"/>
      <c r="D100" s="1489"/>
      <c r="E100" s="1489"/>
      <c r="F100" s="1489"/>
      <c r="G100" s="1489"/>
      <c r="H100" s="1489"/>
      <c r="I100" s="1489"/>
      <c r="J100" s="1489"/>
      <c r="K100" s="61"/>
      <c r="L100" s="61"/>
      <c r="M100" s="61"/>
      <c r="N100" s="61"/>
      <c r="O100" s="61"/>
      <c r="P100" s="1949"/>
      <c r="Q100" s="1949"/>
      <c r="R100" s="1949"/>
      <c r="S100" s="1949"/>
      <c r="T100" s="1949"/>
      <c r="U100" s="1949"/>
      <c r="V100" s="1949"/>
      <c r="W100" s="1949"/>
      <c r="X100" s="3766"/>
      <c r="Y100" s="1949"/>
      <c r="Z100" s="1949"/>
      <c r="AA100" s="1949"/>
      <c r="AB100" s="1949"/>
      <c r="AC100" s="1980"/>
      <c r="AD100" s="1938"/>
      <c r="AE100" s="1938"/>
      <c r="AF100" s="1940"/>
      <c r="AG100" s="1938"/>
      <c r="AH100" s="269"/>
      <c r="AI100" s="51"/>
      <c r="AJ100" s="624"/>
      <c r="AK100" s="897"/>
      <c r="AL100" s="1400"/>
      <c r="AM100" s="763"/>
    </row>
    <row r="101" spans="1:40" s="864" customFormat="1" ht="15" customHeight="1">
      <c r="A101" s="1047"/>
      <c r="B101" s="101" t="s">
        <v>150</v>
      </c>
      <c r="C101" s="101"/>
      <c r="D101" s="873">
        <v>415</v>
      </c>
      <c r="E101" s="1489"/>
      <c r="F101" s="3766">
        <f t="shared" ref="F101:F104" si="17">$AD101-D101</f>
        <v>403.5</v>
      </c>
      <c r="G101" s="1489"/>
      <c r="H101" s="873"/>
      <c r="I101" s="1489"/>
      <c r="J101" s="3766"/>
      <c r="K101" s="1495"/>
      <c r="L101" s="3766"/>
      <c r="M101" s="1495"/>
      <c r="N101" s="3766"/>
      <c r="O101" s="1495"/>
      <c r="P101" s="3766"/>
      <c r="Q101" s="1941"/>
      <c r="R101" s="1741"/>
      <c r="S101" s="1941"/>
      <c r="T101" s="3766"/>
      <c r="U101" s="1941"/>
      <c r="V101" s="3766"/>
      <c r="W101" s="1941"/>
      <c r="X101" s="3766"/>
      <c r="Y101" s="1941"/>
      <c r="Z101" s="1741"/>
      <c r="AA101" s="1942"/>
      <c r="AB101" s="1943"/>
      <c r="AC101" s="1945"/>
      <c r="AD101" s="1741">
        <v>818.5</v>
      </c>
      <c r="AE101" s="1975"/>
      <c r="AF101" s="3064"/>
      <c r="AG101" s="1741">
        <v>805.6</v>
      </c>
      <c r="AH101" s="1050"/>
      <c r="AI101" s="62"/>
      <c r="AJ101" s="872">
        <f>ROUND(SUM(+AD101-AG101),1)</f>
        <v>12.9</v>
      </c>
      <c r="AK101" s="872"/>
      <c r="AL101" s="1770">
        <f>ROUND(IF(AG101=0,0,AJ101/ABS(AG101)),3)</f>
        <v>1.6E-2</v>
      </c>
      <c r="AM101" s="1771"/>
    </row>
    <row r="102" spans="1:40" s="864" customFormat="1" ht="15" customHeight="1">
      <c r="A102" s="1047"/>
      <c r="B102" s="101" t="s">
        <v>167</v>
      </c>
      <c r="C102" s="101"/>
      <c r="D102" s="873">
        <v>239.5</v>
      </c>
      <c r="E102" s="1489"/>
      <c r="F102" s="3766">
        <f t="shared" si="17"/>
        <v>232.2</v>
      </c>
      <c r="G102" s="1489"/>
      <c r="H102" s="873"/>
      <c r="I102" s="1489"/>
      <c r="J102" s="3766"/>
      <c r="K102" s="1495"/>
      <c r="L102" s="873"/>
      <c r="M102" s="1495"/>
      <c r="N102" s="3766"/>
      <c r="O102" s="1495"/>
      <c r="P102" s="3766"/>
      <c r="Q102" s="1941"/>
      <c r="R102" s="1741"/>
      <c r="S102" s="1941"/>
      <c r="T102" s="3766"/>
      <c r="U102" s="1941"/>
      <c r="V102" s="3766"/>
      <c r="W102" s="1941"/>
      <c r="X102" s="3766"/>
      <c r="Y102" s="1941"/>
      <c r="Z102" s="1741"/>
      <c r="AA102" s="1942"/>
      <c r="AB102" s="1943"/>
      <c r="AC102" s="1945"/>
      <c r="AD102" s="1741">
        <v>471.7</v>
      </c>
      <c r="AE102" s="1975"/>
      <c r="AF102" s="3064"/>
      <c r="AG102" s="1741">
        <v>459.5</v>
      </c>
      <c r="AH102" s="1050"/>
      <c r="AI102" s="62"/>
      <c r="AJ102" s="872">
        <f>ROUND(SUM(+AD102-AG102),1)</f>
        <v>12.2</v>
      </c>
      <c r="AK102" s="872"/>
      <c r="AL102" s="1770">
        <f>ROUND(IF(AG102=0,0,AJ102/ABS(AG102)),3)</f>
        <v>2.7E-2</v>
      </c>
      <c r="AN102" s="3875"/>
    </row>
    <row r="103" spans="1:40" s="864" customFormat="1" ht="15" customHeight="1">
      <c r="A103" s="1047"/>
      <c r="B103" s="101" t="s">
        <v>168</v>
      </c>
      <c r="C103" s="101"/>
      <c r="D103" s="873">
        <v>67.7</v>
      </c>
      <c r="E103" s="1489"/>
      <c r="F103" s="3766">
        <f t="shared" si="17"/>
        <v>60.3</v>
      </c>
      <c r="G103" s="1489"/>
      <c r="H103" s="873"/>
      <c r="I103" s="1489"/>
      <c r="J103" s="3766"/>
      <c r="K103" s="1495"/>
      <c r="L103" s="3766"/>
      <c r="M103" s="1495"/>
      <c r="N103" s="3766"/>
      <c r="O103" s="1495"/>
      <c r="P103" s="3766"/>
      <c r="Q103" s="1941"/>
      <c r="R103" s="1741"/>
      <c r="S103" s="1941"/>
      <c r="T103" s="3766"/>
      <c r="U103" s="1941"/>
      <c r="V103" s="3766"/>
      <c r="W103" s="1941"/>
      <c r="X103" s="3766"/>
      <c r="Y103" s="1941"/>
      <c r="Z103" s="1741"/>
      <c r="AA103" s="1942"/>
      <c r="AB103" s="1943"/>
      <c r="AC103" s="1945"/>
      <c r="AD103" s="1741">
        <v>128</v>
      </c>
      <c r="AE103" s="1975"/>
      <c r="AF103" s="3064"/>
      <c r="AG103" s="1741">
        <v>123.2</v>
      </c>
      <c r="AH103" s="1050"/>
      <c r="AI103" s="62"/>
      <c r="AJ103" s="872">
        <f>ROUND(SUM(+AD103-AG103),1)</f>
        <v>4.8</v>
      </c>
      <c r="AK103" s="872"/>
      <c r="AL103" s="1770">
        <f>ROUND(IF(AG103=0,0,AJ103/ABS(AG103)),3)</f>
        <v>3.9E-2</v>
      </c>
      <c r="AM103" s="1771"/>
    </row>
    <row r="104" spans="1:40" s="864" customFormat="1" ht="15" customHeight="1">
      <c r="A104" s="1047"/>
      <c r="B104" s="101" t="s">
        <v>169</v>
      </c>
      <c r="C104" s="101"/>
      <c r="D104" s="873">
        <v>0</v>
      </c>
      <c r="E104" s="1489"/>
      <c r="F104" s="3766">
        <f t="shared" si="17"/>
        <v>0</v>
      </c>
      <c r="G104" s="1489"/>
      <c r="H104" s="873"/>
      <c r="I104" s="1489"/>
      <c r="J104" s="3766"/>
      <c r="K104" s="1495"/>
      <c r="L104" s="3766"/>
      <c r="M104" s="1495"/>
      <c r="N104" s="3766"/>
      <c r="O104" s="1495"/>
      <c r="P104" s="3766"/>
      <c r="Q104" s="1941"/>
      <c r="R104" s="1741"/>
      <c r="S104" s="1941"/>
      <c r="T104" s="3766"/>
      <c r="U104" s="1941"/>
      <c r="V104" s="3766"/>
      <c r="W104" s="1941"/>
      <c r="X104" s="3872"/>
      <c r="Y104" s="1941"/>
      <c r="Z104" s="1741"/>
      <c r="AA104" s="1942"/>
      <c r="AB104" s="1943"/>
      <c r="AC104" s="1945"/>
      <c r="AD104" s="1741">
        <v>0</v>
      </c>
      <c r="AE104" s="1975"/>
      <c r="AF104" s="3064"/>
      <c r="AG104" s="1741">
        <v>0</v>
      </c>
      <c r="AH104" s="1050"/>
      <c r="AI104" s="62"/>
      <c r="AJ104" s="872">
        <f>ROUND(SUM(+AD104-AG104),1)</f>
        <v>0</v>
      </c>
      <c r="AK104" s="872"/>
      <c r="AL104" s="1677">
        <f>ROUND(IF(AG104=0,0,AJ104/ABS(AG104)),3)</f>
        <v>0</v>
      </c>
      <c r="AM104" s="1771"/>
    </row>
    <row r="105" spans="1:40" ht="15" customHeight="1">
      <c r="A105" s="144"/>
      <c r="B105" s="28"/>
      <c r="C105" s="28"/>
      <c r="D105" s="667"/>
      <c r="E105" s="1489"/>
      <c r="F105" s="667"/>
      <c r="G105" s="1489"/>
      <c r="H105" s="667"/>
      <c r="I105" s="1489"/>
      <c r="J105" s="667"/>
      <c r="K105" s="61"/>
      <c r="L105" s="83"/>
      <c r="M105" s="61"/>
      <c r="N105" s="83"/>
      <c r="O105" s="61"/>
      <c r="P105" s="1948"/>
      <c r="Q105" s="1949"/>
      <c r="R105" s="1948"/>
      <c r="S105" s="1949"/>
      <c r="T105" s="1948"/>
      <c r="U105" s="1949"/>
      <c r="V105" s="1948"/>
      <c r="W105" s="1949"/>
      <c r="X105" s="3766"/>
      <c r="Y105" s="1949"/>
      <c r="Z105" s="1948"/>
      <c r="AA105" s="1950"/>
      <c r="AB105" s="1949"/>
      <c r="AC105" s="1980"/>
      <c r="AD105" s="1994"/>
      <c r="AE105" s="1920"/>
      <c r="AF105" s="1940"/>
      <c r="AG105" s="1994"/>
      <c r="AH105" s="269"/>
      <c r="AI105" s="51"/>
      <c r="AJ105" s="1377"/>
      <c r="AK105" s="897"/>
      <c r="AL105" s="1414"/>
      <c r="AM105" s="763"/>
    </row>
    <row r="106" spans="1:40" ht="15" customHeight="1">
      <c r="A106" s="144"/>
      <c r="B106" s="26" t="s">
        <v>153</v>
      </c>
      <c r="C106" s="28"/>
      <c r="D106" s="899">
        <f>ROUND(SUM(D99:D104),1)</f>
        <v>1472.4</v>
      </c>
      <c r="E106" s="899"/>
      <c r="F106" s="899">
        <f>ROUND(SUM(F99:F104),1)</f>
        <v>1839.3</v>
      </c>
      <c r="G106" s="899"/>
      <c r="H106" s="899">
        <f>ROUND(SUM(H99:H104),1)</f>
        <v>0</v>
      </c>
      <c r="I106" s="899"/>
      <c r="J106" s="899">
        <f>ROUND(SUM(J99:J104),1)</f>
        <v>0</v>
      </c>
      <c r="K106" s="899"/>
      <c r="L106" s="899">
        <f>ROUND(SUM(L99:L104),1)</f>
        <v>0</v>
      </c>
      <c r="M106" s="899"/>
      <c r="N106" s="899">
        <f>ROUND(SUM(N99:N104),1)</f>
        <v>0</v>
      </c>
      <c r="O106" s="899"/>
      <c r="P106" s="1429">
        <f>ROUND(SUM(P99:P104),1)</f>
        <v>0</v>
      </c>
      <c r="Q106" s="1429"/>
      <c r="R106" s="1429">
        <f>ROUND(SUM(R99:R104),1)</f>
        <v>0</v>
      </c>
      <c r="S106" s="1429"/>
      <c r="T106" s="1429">
        <f>ROUND(SUM(T99:T104),1)</f>
        <v>0</v>
      </c>
      <c r="U106" s="1429"/>
      <c r="V106" s="1429">
        <f>ROUND(SUM(V99:V104),1)</f>
        <v>0</v>
      </c>
      <c r="W106" s="1429"/>
      <c r="X106" s="1995">
        <f>ROUND(SUM(X99:X104),1)</f>
        <v>0</v>
      </c>
      <c r="Y106" s="1429"/>
      <c r="Z106" s="1429">
        <f>ROUND(SUM(Z99:Z104),1)</f>
        <v>0</v>
      </c>
      <c r="AA106" s="1429"/>
      <c r="AB106" s="1429"/>
      <c r="AC106" s="1983"/>
      <c r="AD106" s="1993">
        <f>ROUND(SUM(AD99:AD104),1)</f>
        <v>3311.7</v>
      </c>
      <c r="AE106" s="1430"/>
      <c r="AF106" s="3048"/>
      <c r="AG106" s="1993">
        <f>ROUND(SUM(AG99:AG104),1)</f>
        <v>2996.4</v>
      </c>
      <c r="AH106" s="276"/>
      <c r="AI106" s="71"/>
      <c r="AJ106" s="69">
        <f>ROUND(SUM(AD106-AG106),1)</f>
        <v>315.3</v>
      </c>
      <c r="AK106" s="204"/>
      <c r="AL106" s="1403">
        <f>ROUND(SUM((AD106-AG106)/ABS(AG106)),3)</f>
        <v>0.105</v>
      </c>
      <c r="AM106" s="763"/>
    </row>
    <row r="107" spans="1:40" ht="15" customHeight="1">
      <c r="A107" s="144"/>
      <c r="B107" s="28"/>
      <c r="C107" s="28"/>
      <c r="D107" s="667"/>
      <c r="E107" s="1489"/>
      <c r="F107" s="667"/>
      <c r="G107" s="1489"/>
      <c r="H107" s="667"/>
      <c r="I107" s="1489"/>
      <c r="J107" s="667"/>
      <c r="K107" s="61"/>
      <c r="L107" s="83"/>
      <c r="M107" s="61"/>
      <c r="N107" s="83"/>
      <c r="O107" s="61"/>
      <c r="P107" s="1948"/>
      <c r="Q107" s="1949"/>
      <c r="R107" s="1948"/>
      <c r="S107" s="1949"/>
      <c r="T107" s="1948"/>
      <c r="U107" s="1949"/>
      <c r="V107" s="1948"/>
      <c r="W107" s="1949"/>
      <c r="X107" s="3766"/>
      <c r="Y107" s="1949"/>
      <c r="Z107" s="1948"/>
      <c r="AA107" s="1950"/>
      <c r="AB107" s="1949"/>
      <c r="AC107" s="1980"/>
      <c r="AD107" s="1994"/>
      <c r="AE107" s="1920"/>
      <c r="AF107" s="1940"/>
      <c r="AG107" s="1994"/>
      <c r="AH107" s="269"/>
      <c r="AI107" s="51"/>
      <c r="AJ107" s="624"/>
      <c r="AK107" s="897"/>
      <c r="AL107" s="1400"/>
      <c r="AM107" s="763"/>
    </row>
    <row r="108" spans="1:40" ht="15" customHeight="1">
      <c r="A108" s="144"/>
      <c r="B108" s="26" t="s">
        <v>154</v>
      </c>
      <c r="C108" s="28"/>
      <c r="D108" s="1489"/>
      <c r="E108" s="1489"/>
      <c r="F108" s="1489"/>
      <c r="G108" s="1489"/>
      <c r="H108" s="1489"/>
      <c r="I108" s="1489"/>
      <c r="J108" s="1489"/>
      <c r="K108" s="61"/>
      <c r="L108" s="61"/>
      <c r="M108" s="61"/>
      <c r="N108" s="61"/>
      <c r="O108" s="61"/>
      <c r="P108" s="1949"/>
      <c r="Q108" s="1949"/>
      <c r="R108" s="1949"/>
      <c r="S108" s="1949"/>
      <c r="T108" s="1949"/>
      <c r="U108" s="1949"/>
      <c r="V108" s="1949"/>
      <c r="W108" s="1949"/>
      <c r="X108" s="3766"/>
      <c r="Y108" s="1949"/>
      <c r="Z108" s="1949"/>
      <c r="AA108" s="1949"/>
      <c r="AB108" s="1949"/>
      <c r="AC108" s="1980"/>
      <c r="AD108" s="1938"/>
      <c r="AE108" s="1920"/>
      <c r="AF108" s="1940"/>
      <c r="AG108" s="1938"/>
      <c r="AH108" s="269"/>
      <c r="AI108" s="51"/>
      <c r="AJ108" s="920"/>
      <c r="AK108" s="897"/>
      <c r="AL108" s="1400"/>
      <c r="AM108" s="763"/>
    </row>
    <row r="109" spans="1:40" ht="15" customHeight="1">
      <c r="A109" s="144"/>
      <c r="B109" s="26" t="s">
        <v>44</v>
      </c>
      <c r="C109" s="28"/>
      <c r="D109" s="899">
        <f>ROUND(SUM(D85-D106),1)</f>
        <v>481.6</v>
      </c>
      <c r="E109" s="899"/>
      <c r="F109" s="899">
        <f>ROUND(SUM(F85-F106),1)</f>
        <v>-292.8</v>
      </c>
      <c r="G109" s="899"/>
      <c r="H109" s="899">
        <f>ROUND(SUM(H85-H106),1)</f>
        <v>0</v>
      </c>
      <c r="I109" s="899"/>
      <c r="J109" s="899">
        <f>ROUND(SUM(J85-J106),1)</f>
        <v>0</v>
      </c>
      <c r="K109" s="899"/>
      <c r="L109" s="899">
        <f>ROUND(SUM(L85-L106),1)</f>
        <v>0</v>
      </c>
      <c r="M109" s="899"/>
      <c r="N109" s="899">
        <f>ROUND(SUM(N85-N106),1)</f>
        <v>0</v>
      </c>
      <c r="O109" s="899"/>
      <c r="P109" s="1429">
        <f>ROUND(SUM(P85-P106),1)</f>
        <v>0</v>
      </c>
      <c r="Q109" s="1429"/>
      <c r="R109" s="1429">
        <f>ROUND(SUM(R85-R106),1)</f>
        <v>0</v>
      </c>
      <c r="S109" s="1429"/>
      <c r="T109" s="1429">
        <f>ROUND(SUM(T85-T106),1)</f>
        <v>0</v>
      </c>
      <c r="U109" s="1429"/>
      <c r="V109" s="1429">
        <f>ROUND(SUM(V85-V106),1)</f>
        <v>0</v>
      </c>
      <c r="W109" s="1429"/>
      <c r="X109" s="1995">
        <f>ROUND(SUM(X85-X106),1)</f>
        <v>0</v>
      </c>
      <c r="Y109" s="1429"/>
      <c r="Z109" s="1429">
        <f>ROUND(SUM(Z85-Z106),1)</f>
        <v>0</v>
      </c>
      <c r="AA109" s="1429"/>
      <c r="AB109" s="1429"/>
      <c r="AC109" s="1983"/>
      <c r="AD109" s="1993">
        <f>ROUND(SUM(AD85-AD106),1)</f>
        <v>188.8</v>
      </c>
      <c r="AE109" s="1430"/>
      <c r="AF109" s="3048"/>
      <c r="AG109" s="1993">
        <f>ROUND(SUM(AG85-AG106),1)</f>
        <v>184.6</v>
      </c>
      <c r="AH109" s="276"/>
      <c r="AI109" s="71"/>
      <c r="AJ109" s="69">
        <f>ROUND(SUM(AD109-AG109),1)</f>
        <v>4.2</v>
      </c>
      <c r="AK109" s="203"/>
      <c r="AL109" s="3467">
        <f>ROUND(IF(AG109=0,0,AJ109/ABS(AG109)),3)</f>
        <v>2.3E-2</v>
      </c>
      <c r="AM109" s="763"/>
    </row>
    <row r="110" spans="1:40" ht="15" customHeight="1">
      <c r="A110" s="144"/>
      <c r="B110" s="28"/>
      <c r="C110" s="28"/>
      <c r="D110" s="667"/>
      <c r="E110" s="1489"/>
      <c r="F110" s="667"/>
      <c r="G110" s="1489"/>
      <c r="H110" s="667"/>
      <c r="I110" s="1489"/>
      <c r="J110" s="667"/>
      <c r="K110" s="61"/>
      <c r="L110" s="83"/>
      <c r="M110" s="61"/>
      <c r="N110" s="83"/>
      <c r="O110" s="61"/>
      <c r="P110" s="1948"/>
      <c r="Q110" s="1949"/>
      <c r="R110" s="1948"/>
      <c r="S110" s="1949"/>
      <c r="T110" s="1948"/>
      <c r="U110" s="1949"/>
      <c r="V110" s="1948"/>
      <c r="W110" s="1949"/>
      <c r="X110" s="3766"/>
      <c r="Y110" s="1949"/>
      <c r="Z110" s="1948"/>
      <c r="AA110" s="1950"/>
      <c r="AB110" s="1949"/>
      <c r="AC110" s="1980"/>
      <c r="AD110" s="1994"/>
      <c r="AE110" s="1920"/>
      <c r="AF110" s="1940"/>
      <c r="AG110" s="1994"/>
      <c r="AH110" s="269"/>
      <c r="AI110" s="51"/>
      <c r="AJ110" s="624"/>
      <c r="AK110" s="897"/>
      <c r="AL110" s="1400"/>
      <c r="AM110" s="763"/>
    </row>
    <row r="111" spans="1:40" ht="15" customHeight="1">
      <c r="A111" s="144"/>
      <c r="B111" s="26" t="s">
        <v>45</v>
      </c>
      <c r="C111" s="28"/>
      <c r="D111" s="1489"/>
      <c r="E111" s="1489"/>
      <c r="F111" s="1489"/>
      <c r="G111" s="1489"/>
      <c r="H111" s="1489"/>
      <c r="I111" s="1489"/>
      <c r="J111" s="1489"/>
      <c r="K111" s="61"/>
      <c r="L111" s="61"/>
      <c r="M111" s="61"/>
      <c r="N111" s="61"/>
      <c r="O111" s="61"/>
      <c r="P111" s="1949"/>
      <c r="Q111" s="1949"/>
      <c r="R111" s="1949"/>
      <c r="S111" s="1949"/>
      <c r="T111" s="1949"/>
      <c r="U111" s="1949"/>
      <c r="V111" s="1949"/>
      <c r="W111" s="1949"/>
      <c r="X111" s="3766"/>
      <c r="Y111" s="1949"/>
      <c r="Z111" s="1949"/>
      <c r="AA111" s="1949"/>
      <c r="AB111" s="1949"/>
      <c r="AC111" s="1980"/>
      <c r="AD111" s="1938"/>
      <c r="AE111" s="1920"/>
      <c r="AF111" s="1940"/>
      <c r="AG111" s="1938"/>
      <c r="AH111" s="269"/>
      <c r="AI111" s="51"/>
      <c r="AJ111" s="624"/>
      <c r="AK111" s="897"/>
      <c r="AL111" s="1400"/>
      <c r="AM111" s="763"/>
    </row>
    <row r="112" spans="1:40" s="864" customFormat="1" ht="15" customHeight="1">
      <c r="A112" s="1047"/>
      <c r="B112" s="101" t="s">
        <v>173</v>
      </c>
      <c r="C112" s="101"/>
      <c r="D112" s="873">
        <v>434.8</v>
      </c>
      <c r="E112" s="1489"/>
      <c r="F112" s="3766">
        <f t="shared" ref="F112:F113" si="18">$AD112-D112</f>
        <v>522.79999999999995</v>
      </c>
      <c r="G112" s="1489"/>
      <c r="H112" s="873"/>
      <c r="I112" s="1489"/>
      <c r="J112" s="3766"/>
      <c r="K112" s="1495"/>
      <c r="L112" s="3766"/>
      <c r="M112" s="1495"/>
      <c r="N112" s="3766"/>
      <c r="O112" s="1495"/>
      <c r="P112" s="3766"/>
      <c r="Q112" s="1941"/>
      <c r="R112" s="1741"/>
      <c r="S112" s="1941"/>
      <c r="T112" s="3766"/>
      <c r="U112" s="1941"/>
      <c r="V112" s="3766"/>
      <c r="W112" s="1941"/>
      <c r="X112" s="3766"/>
      <c r="Y112" s="1941"/>
      <c r="Z112" s="1741"/>
      <c r="AA112" s="1942"/>
      <c r="AB112" s="1943"/>
      <c r="AC112" s="1945"/>
      <c r="AD112" s="1741">
        <v>957.6</v>
      </c>
      <c r="AE112" s="1975"/>
      <c r="AF112" s="3064"/>
      <c r="AG112" s="1741">
        <v>414.5</v>
      </c>
      <c r="AH112" s="1050"/>
      <c r="AI112" s="62"/>
      <c r="AJ112" s="872">
        <f>ROUND(SUM(+AD112-AG112),1)</f>
        <v>543.1</v>
      </c>
      <c r="AK112" s="872"/>
      <c r="AL112" s="1770">
        <f>ROUND(IF(AG112=0,0,AJ112/ABS(AG112)),3)</f>
        <v>1.31</v>
      </c>
      <c r="AM112" s="1771"/>
    </row>
    <row r="113" spans="1:49" s="864" customFormat="1" ht="15" customHeight="1">
      <c r="A113" s="1047"/>
      <c r="B113" s="101" t="s">
        <v>171</v>
      </c>
      <c r="C113" s="101"/>
      <c r="D113" s="873">
        <v>-0.7</v>
      </c>
      <c r="E113" s="1489"/>
      <c r="F113" s="3766">
        <f t="shared" si="18"/>
        <v>-4.1000000000000005</v>
      </c>
      <c r="G113" s="1489"/>
      <c r="H113" s="873"/>
      <c r="I113" s="1489"/>
      <c r="J113" s="3766"/>
      <c r="K113" s="1495"/>
      <c r="L113" s="3766"/>
      <c r="M113" s="1495"/>
      <c r="N113" s="3766"/>
      <c r="O113" s="1495"/>
      <c r="P113" s="3766"/>
      <c r="Q113" s="1941"/>
      <c r="R113" s="1741"/>
      <c r="S113" s="1941"/>
      <c r="T113" s="3766"/>
      <c r="U113" s="1941"/>
      <c r="V113" s="3766"/>
      <c r="W113" s="1941"/>
      <c r="X113" s="3766"/>
      <c r="Y113" s="1941"/>
      <c r="Z113" s="1741"/>
      <c r="AA113" s="1942"/>
      <c r="AB113" s="1943"/>
      <c r="AC113" s="1945"/>
      <c r="AD113" s="1741">
        <v>-4.8000000000000007</v>
      </c>
      <c r="AE113" s="1975"/>
      <c r="AF113" s="3064"/>
      <c r="AG113" s="3313">
        <v>-12.8</v>
      </c>
      <c r="AH113" s="1050"/>
      <c r="AI113" s="62"/>
      <c r="AJ113" s="1001">
        <f>ROUND(SUM(+AD113-AG113)*-1,1)</f>
        <v>-8</v>
      </c>
      <c r="AK113" s="1001"/>
      <c r="AL113" s="2068">
        <f>ROUND(IF(AG113=0,0,AJ113/ABS(AG113)),3)</f>
        <v>-0.625</v>
      </c>
      <c r="AM113" s="1771"/>
    </row>
    <row r="114" spans="1:49" ht="15" customHeight="1">
      <c r="A114" s="144"/>
      <c r="B114" s="28"/>
      <c r="C114" s="28"/>
      <c r="D114" s="83"/>
      <c r="E114" s="61"/>
      <c r="F114" s="83"/>
      <c r="G114" s="61"/>
      <c r="H114" s="83"/>
      <c r="I114" s="61"/>
      <c r="J114" s="83"/>
      <c r="K114" s="61"/>
      <c r="L114" s="83"/>
      <c r="M114" s="61"/>
      <c r="N114" s="83"/>
      <c r="O114" s="61"/>
      <c r="P114" s="83"/>
      <c r="Q114" s="61"/>
      <c r="R114" s="83"/>
      <c r="S114" s="61"/>
      <c r="T114" s="83"/>
      <c r="U114" s="61"/>
      <c r="V114" s="83"/>
      <c r="W114" s="61"/>
      <c r="X114" s="83"/>
      <c r="Y114" s="61"/>
      <c r="Z114" s="83"/>
      <c r="AA114" s="51"/>
      <c r="AB114" s="61"/>
      <c r="AC114" s="52"/>
      <c r="AD114" s="120"/>
      <c r="AE114" s="62"/>
      <c r="AF114" s="1049"/>
      <c r="AG114" s="62"/>
      <c r="AH114" s="269"/>
      <c r="AI114" s="51"/>
      <c r="AJ114" s="1377"/>
      <c r="AK114" s="897"/>
      <c r="AL114" s="1414"/>
      <c r="AM114" s="763"/>
    </row>
    <row r="115" spans="1:49" ht="15" customHeight="1">
      <c r="A115" s="144"/>
      <c r="B115" s="26" t="s">
        <v>1078</v>
      </c>
      <c r="C115" s="28"/>
      <c r="D115" s="899">
        <f>ROUND(SUM(D112:D114),1)</f>
        <v>434.1</v>
      </c>
      <c r="E115" s="899"/>
      <c r="F115" s="899">
        <f>ROUND(SUM(F112:F114),1)</f>
        <v>518.70000000000005</v>
      </c>
      <c r="G115" s="899"/>
      <c r="H115" s="899">
        <f>ROUND(SUM(H112:H114),1)</f>
        <v>0</v>
      </c>
      <c r="I115" s="899"/>
      <c r="J115" s="899">
        <f>ROUND(SUM(J112:J114),1)</f>
        <v>0</v>
      </c>
      <c r="K115" s="899"/>
      <c r="L115" s="899">
        <f>ROUND(SUM(L112:L114),1)</f>
        <v>0</v>
      </c>
      <c r="M115" s="899"/>
      <c r="N115" s="899">
        <f>ROUND(SUM(N112:N114),1)</f>
        <v>0</v>
      </c>
      <c r="O115" s="899"/>
      <c r="P115" s="899">
        <f>ROUND(SUM(P112:P114),1)</f>
        <v>0</v>
      </c>
      <c r="Q115" s="899"/>
      <c r="R115" s="899">
        <f>ROUND(SUM(R112:R114),1)</f>
        <v>0</v>
      </c>
      <c r="S115" s="899"/>
      <c r="T115" s="899">
        <f>ROUND(SUM(T112:T114),1)</f>
        <v>0</v>
      </c>
      <c r="U115" s="899"/>
      <c r="V115" s="899">
        <f>ROUND(SUM(V112:V114),1)</f>
        <v>0</v>
      </c>
      <c r="W115" s="899"/>
      <c r="X115" s="899">
        <f>ROUND(SUM(X112:X114),1)</f>
        <v>0</v>
      </c>
      <c r="Y115" s="899"/>
      <c r="Z115" s="899">
        <f>ROUND(SUM(Z112:Z114),1)</f>
        <v>0</v>
      </c>
      <c r="AA115" s="899"/>
      <c r="AB115" s="899"/>
      <c r="AC115" s="59"/>
      <c r="AD115" s="106">
        <f>ROUND(SUM(AD112:AD114),1)</f>
        <v>952.8</v>
      </c>
      <c r="AE115" s="109"/>
      <c r="AF115" s="3067"/>
      <c r="AG115" s="106">
        <f>ROUND(SUM(AG112:AG114),1)</f>
        <v>401.7</v>
      </c>
      <c r="AH115" s="276"/>
      <c r="AI115" s="71"/>
      <c r="AJ115" s="69">
        <f>ROUND(SUM(AD115-AG115),1)</f>
        <v>551.1</v>
      </c>
      <c r="AK115" s="160"/>
      <c r="AL115" s="1403">
        <f>ROUND(SUM((AD115-AG115)/ABS(AG115)),3)</f>
        <v>1.3720000000000001</v>
      </c>
      <c r="AM115" s="1342"/>
    </row>
    <row r="116" spans="1:49" ht="15" customHeight="1">
      <c r="A116" s="144"/>
      <c r="B116" s="28"/>
      <c r="C116" s="28"/>
      <c r="D116" s="83"/>
      <c r="E116" s="61"/>
      <c r="F116" s="83"/>
      <c r="G116" s="61"/>
      <c r="H116" s="83"/>
      <c r="I116" s="61"/>
      <c r="J116" s="83"/>
      <c r="K116" s="61"/>
      <c r="L116" s="83"/>
      <c r="M116" s="61"/>
      <c r="N116" s="83"/>
      <c r="O116" s="61"/>
      <c r="P116" s="83"/>
      <c r="Q116" s="61"/>
      <c r="R116" s="83"/>
      <c r="S116" s="61"/>
      <c r="T116" s="83"/>
      <c r="U116" s="61"/>
      <c r="V116" s="83"/>
      <c r="W116" s="61"/>
      <c r="X116" s="83"/>
      <c r="Y116" s="61"/>
      <c r="Z116" s="83"/>
      <c r="AA116" s="51"/>
      <c r="AB116" s="61"/>
      <c r="AC116" s="52"/>
      <c r="AD116" s="120"/>
      <c r="AE116" s="62"/>
      <c r="AF116" s="1049"/>
      <c r="AG116" s="120"/>
      <c r="AH116" s="269"/>
      <c r="AI116" s="51"/>
      <c r="AJ116" s="624"/>
      <c r="AK116" s="897"/>
      <c r="AL116" s="1400"/>
      <c r="AM116" s="763"/>
    </row>
    <row r="117" spans="1:49" ht="15" customHeight="1">
      <c r="A117" s="144"/>
      <c r="B117" s="26" t="s">
        <v>162</v>
      </c>
      <c r="C117" s="28"/>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52"/>
      <c r="AD117" s="112"/>
      <c r="AE117" s="62"/>
      <c r="AF117" s="1049"/>
      <c r="AG117" s="112"/>
      <c r="AH117" s="269"/>
      <c r="AI117" s="51"/>
      <c r="AJ117" s="624"/>
      <c r="AK117" s="897"/>
      <c r="AL117" s="1400"/>
      <c r="AM117" s="763"/>
    </row>
    <row r="118" spans="1:49" ht="15" customHeight="1">
      <c r="A118" s="144"/>
      <c r="B118" s="26" t="s">
        <v>1125</v>
      </c>
      <c r="C118" s="28"/>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52"/>
      <c r="AD118" s="112"/>
      <c r="AE118" s="62"/>
      <c r="AF118" s="1049"/>
      <c r="AG118" s="133"/>
      <c r="AH118" s="269"/>
      <c r="AI118" s="51"/>
      <c r="AJ118" s="624"/>
      <c r="AK118" s="897"/>
      <c r="AL118" s="1400"/>
      <c r="AM118" s="763"/>
    </row>
    <row r="119" spans="1:49" ht="15" customHeight="1">
      <c r="A119" s="144"/>
      <c r="B119" s="26" t="s">
        <v>1074</v>
      </c>
      <c r="C119" s="28"/>
      <c r="D119" s="806">
        <f>ROUND(SUM(D109+D115),1)</f>
        <v>915.7</v>
      </c>
      <c r="E119" s="1490"/>
      <c r="F119" s="806">
        <f>ROUND(SUM(F109+F115),1)</f>
        <v>225.9</v>
      </c>
      <c r="G119" s="1490"/>
      <c r="H119" s="806">
        <f>ROUND(SUM(H109+H115),1)</f>
        <v>0</v>
      </c>
      <c r="I119" s="1490"/>
      <c r="J119" s="806">
        <f>ROUND(SUM(J109+J115),1)</f>
        <v>0</v>
      </c>
      <c r="K119" s="1490"/>
      <c r="L119" s="806">
        <f>ROUND(SUM(L109+L115),1)</f>
        <v>0</v>
      </c>
      <c r="M119" s="1490"/>
      <c r="N119" s="806">
        <f>ROUND(SUM(N109+N115),1)</f>
        <v>0</v>
      </c>
      <c r="O119" s="1490"/>
      <c r="P119" s="806">
        <f>ROUND(SUM(P109+P115),1)</f>
        <v>0</v>
      </c>
      <c r="Q119" s="1490"/>
      <c r="R119" s="806">
        <f>ROUND(SUM(R109+R115),1)</f>
        <v>0</v>
      </c>
      <c r="S119" s="1490"/>
      <c r="T119" s="806">
        <f>ROUND(SUM(T109+T115),1)</f>
        <v>0</v>
      </c>
      <c r="U119" s="1490"/>
      <c r="V119" s="806">
        <f>ROUND(SUM(V109+V115),1)</f>
        <v>0</v>
      </c>
      <c r="W119" s="1490"/>
      <c r="X119" s="806">
        <f>ROUND(SUM(X109+X115),1)</f>
        <v>0</v>
      </c>
      <c r="Y119" s="1490"/>
      <c r="Z119" s="806">
        <f>ROUND(SUM(Z109+Z115),1)</f>
        <v>0</v>
      </c>
      <c r="AA119" s="1490"/>
      <c r="AB119" s="1811"/>
      <c r="AC119" s="1490"/>
      <c r="AD119" s="1084">
        <f>ROUND(SUM(AD109+AD115),1)</f>
        <v>1141.5999999999999</v>
      </c>
      <c r="AE119" s="3057"/>
      <c r="AF119" s="109"/>
      <c r="AG119" s="1084">
        <f>ROUND(SUM(AG109+AG115),1)</f>
        <v>586.29999999999995</v>
      </c>
      <c r="AH119" s="269"/>
      <c r="AI119" s="1490"/>
      <c r="AJ119" s="806">
        <f>ROUND(SUM(AJ109+AJ115),1)</f>
        <v>555.29999999999995</v>
      </c>
      <c r="AK119" s="1490"/>
      <c r="AL119" s="1810">
        <f>ROUND(IF(AG119=0,0,AJ119/ABS(AG119)),3)</f>
        <v>0.94699999999999995</v>
      </c>
      <c r="AM119" s="763"/>
    </row>
    <row r="120" spans="1:49" ht="15" customHeight="1">
      <c r="A120" s="144"/>
      <c r="B120" s="26"/>
      <c r="C120" s="28"/>
      <c r="D120" s="159"/>
      <c r="E120" s="159"/>
      <c r="F120" s="159"/>
      <c r="G120" s="159"/>
      <c r="H120" s="159"/>
      <c r="I120" s="159"/>
      <c r="J120" s="159"/>
      <c r="K120" s="159"/>
      <c r="L120" s="159"/>
      <c r="M120" s="159"/>
      <c r="N120" s="159"/>
      <c r="O120" s="159"/>
      <c r="P120" s="159"/>
      <c r="Q120" s="159"/>
      <c r="R120" s="159"/>
      <c r="S120" s="159"/>
      <c r="T120" s="213"/>
      <c r="U120" s="159"/>
      <c r="V120" s="159"/>
      <c r="W120" s="159"/>
      <c r="X120" s="159"/>
      <c r="Y120" s="159"/>
      <c r="Z120" s="159"/>
      <c r="AA120" s="159"/>
      <c r="AB120" s="159"/>
      <c r="AC120" s="1919"/>
      <c r="AD120" s="111"/>
      <c r="AE120" s="111"/>
      <c r="AF120" s="3068"/>
      <c r="AG120" s="111"/>
      <c r="AH120" s="54"/>
      <c r="AI120" s="265"/>
      <c r="AJ120" s="1379"/>
      <c r="AK120" s="1379"/>
      <c r="AL120" s="1415"/>
      <c r="AM120" s="763"/>
    </row>
    <row r="121" spans="1:49" ht="17.25" customHeight="1" thickBot="1">
      <c r="A121" s="144"/>
      <c r="B121" s="26" t="s">
        <v>1084</v>
      </c>
      <c r="C121" s="28"/>
      <c r="D121" s="261">
        <f>ROUND(SUM(+D119+D13),1)</f>
        <v>8528.2000000000007</v>
      </c>
      <c r="E121" s="159"/>
      <c r="F121" s="261">
        <f>ROUND(SUM(+F119+F13),1)</f>
        <v>8754.1</v>
      </c>
      <c r="G121" s="159"/>
      <c r="H121" s="261">
        <f>ROUND(SUM(+H119+H13),1)</f>
        <v>0</v>
      </c>
      <c r="I121" s="159"/>
      <c r="J121" s="261">
        <f>ROUND(SUM(+J119+J13),1)</f>
        <v>0</v>
      </c>
      <c r="K121" s="159"/>
      <c r="L121" s="261">
        <f>ROUND(SUM(+L119+L13),1)</f>
        <v>0</v>
      </c>
      <c r="M121" s="159"/>
      <c r="N121" s="261">
        <f>ROUND(SUM(+N119+N13),1)</f>
        <v>0</v>
      </c>
      <c r="O121" s="159"/>
      <c r="P121" s="261">
        <f>ROUND(SUM(+P119+P13),1)</f>
        <v>0</v>
      </c>
      <c r="Q121" s="159"/>
      <c r="R121" s="261">
        <f>ROUND(SUM(+R119+R13),1)</f>
        <v>0</v>
      </c>
      <c r="S121" s="159"/>
      <c r="T121" s="261">
        <f>ROUND(SUM(+T119+T13),1)</f>
        <v>0</v>
      </c>
      <c r="U121" s="159"/>
      <c r="V121" s="261">
        <f>ROUND(SUM(+V119+V13),1)</f>
        <v>0</v>
      </c>
      <c r="W121" s="159"/>
      <c r="X121" s="261">
        <f>ROUND(SUM(+X119+X13),1)</f>
        <v>0</v>
      </c>
      <c r="Y121" s="159"/>
      <c r="Z121" s="261">
        <f>ROUND(SUM(+Z119+Z13),1)</f>
        <v>0</v>
      </c>
      <c r="AA121" s="159"/>
      <c r="AB121" s="159"/>
      <c r="AC121" s="1919"/>
      <c r="AD121" s="256">
        <f>ROUND(SUM(+AD119+AD13),1)</f>
        <v>8754.1</v>
      </c>
      <c r="AE121" s="111"/>
      <c r="AF121" s="3068"/>
      <c r="AG121" s="256">
        <f>ROUND(SUM(+AG119+AG13),1)</f>
        <v>6294.9</v>
      </c>
      <c r="AH121" s="54"/>
      <c r="AI121" s="265"/>
      <c r="AJ121" s="261">
        <f>ROUND(SUM(+AJ119+AJ13),1)</f>
        <v>2459.1999999999998</v>
      </c>
      <c r="AK121" s="1379"/>
      <c r="AL121" s="1808">
        <f>ROUND(IF(AG121=0,0,AJ121/ABS(AG121)),3)</f>
        <v>0.39100000000000001</v>
      </c>
      <c r="AM121" s="763"/>
    </row>
    <row r="122" spans="1:49" ht="15" customHeight="1" thickTop="1">
      <c r="A122" s="144"/>
      <c r="B122" s="26"/>
      <c r="C122" s="28"/>
      <c r="D122" s="159"/>
      <c r="E122" s="159"/>
      <c r="F122" s="159"/>
      <c r="G122" s="159"/>
      <c r="H122" s="159"/>
      <c r="I122" s="159"/>
      <c r="J122" s="159"/>
      <c r="K122" s="159"/>
      <c r="L122" s="159"/>
      <c r="M122" s="159"/>
      <c r="N122" s="159"/>
      <c r="O122" s="159"/>
      <c r="P122" s="213"/>
      <c r="Q122" s="159"/>
      <c r="R122" s="159"/>
      <c r="S122" s="159"/>
      <c r="T122" s="159"/>
      <c r="U122" s="159"/>
      <c r="V122" s="159"/>
      <c r="W122" s="159"/>
      <c r="X122" s="159"/>
      <c r="Y122" s="159"/>
      <c r="Z122" s="159"/>
      <c r="AA122" s="159"/>
      <c r="AB122" s="159"/>
      <c r="AC122" s="54"/>
      <c r="AD122" s="111"/>
      <c r="AE122" s="111"/>
      <c r="AF122" s="111"/>
      <c r="AG122" s="111"/>
      <c r="AH122" s="54"/>
      <c r="AI122" s="34"/>
      <c r="AJ122" s="1379"/>
      <c r="AK122" s="1379"/>
      <c r="AL122" s="1415"/>
      <c r="AM122" s="763"/>
    </row>
    <row r="123" spans="1:49" ht="15" customHeight="1">
      <c r="B123" s="2668"/>
      <c r="C123" s="27"/>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c r="AA123" s="262"/>
      <c r="AB123" s="262"/>
      <c r="AC123" s="262"/>
      <c r="AD123" s="2063"/>
      <c r="AE123" s="2063"/>
      <c r="AF123" s="2063"/>
      <c r="AG123" s="998" t="s">
        <v>14</v>
      </c>
      <c r="AH123" s="262"/>
      <c r="AI123" s="262"/>
      <c r="AJ123" s="1378"/>
      <c r="AK123" s="1378"/>
      <c r="AL123" s="1400"/>
      <c r="AM123" s="763"/>
      <c r="AN123" s="289"/>
      <c r="AO123" s="289"/>
      <c r="AP123" s="289"/>
      <c r="AQ123" s="289"/>
      <c r="AR123" s="289"/>
      <c r="AS123" s="289"/>
      <c r="AT123" s="289"/>
      <c r="AU123" s="289"/>
      <c r="AV123" s="289"/>
      <c r="AW123" s="289"/>
    </row>
    <row r="124" spans="1:49" ht="15" customHeight="1">
      <c r="B124" s="27"/>
      <c r="AL124" s="1417"/>
      <c r="AM124" s="763"/>
    </row>
    <row r="125" spans="1:49" ht="15" customHeight="1">
      <c r="B125" s="27"/>
      <c r="AL125" s="1417"/>
      <c r="AM125" s="763"/>
    </row>
    <row r="126" spans="1:49">
      <c r="AL126" s="1417"/>
      <c r="AM126" s="763"/>
    </row>
    <row r="127" spans="1:49" ht="15" customHeight="1">
      <c r="AL127" s="1417"/>
      <c r="AM127" s="763"/>
    </row>
    <row r="128" spans="1:49" ht="15" customHeight="1">
      <c r="D128" s="897"/>
      <c r="F128" s="897"/>
      <c r="H128" s="897"/>
      <c r="AJ128" s="1809"/>
      <c r="AL128" s="1417"/>
      <c r="AM128" s="763"/>
    </row>
    <row r="129" spans="38:39" ht="15" customHeight="1">
      <c r="AL129" s="763"/>
      <c r="AM129" s="763"/>
    </row>
    <row r="130" spans="38:39" ht="15" customHeight="1">
      <c r="AL130" s="763"/>
      <c r="AM130" s="763"/>
    </row>
    <row r="131" spans="38:39" ht="15" customHeight="1">
      <c r="AL131" s="763"/>
      <c r="AM131" s="763"/>
    </row>
    <row r="132" spans="38:39" ht="15" customHeight="1">
      <c r="AL132" s="763"/>
      <c r="AM132" s="763"/>
    </row>
    <row r="133" spans="38:39" ht="15" customHeight="1">
      <c r="AL133" s="763"/>
      <c r="AM133" s="763"/>
    </row>
    <row r="134" spans="38:39" ht="15" customHeight="1">
      <c r="AL134" s="763"/>
      <c r="AM134" s="763"/>
    </row>
    <row r="135" spans="38:39" ht="15" customHeight="1">
      <c r="AL135" s="763"/>
      <c r="AM135" s="763"/>
    </row>
    <row r="136" spans="38:39" ht="15" customHeight="1">
      <c r="AL136" s="763"/>
      <c r="AM136" s="763"/>
    </row>
    <row r="137" spans="38:39" ht="15" customHeight="1">
      <c r="AL137" s="763"/>
      <c r="AM137" s="763"/>
    </row>
    <row r="138" spans="38:39" ht="15" customHeight="1">
      <c r="AL138" s="763"/>
      <c r="AM138" s="763"/>
    </row>
    <row r="139" spans="38:39" ht="15" customHeight="1">
      <c r="AL139" s="763"/>
      <c r="AM139" s="763"/>
    </row>
    <row r="140" spans="38:39" ht="15" customHeight="1">
      <c r="AL140" s="763"/>
      <c r="AM140" s="763"/>
    </row>
    <row r="141" spans="38:39" ht="15" customHeight="1">
      <c r="AL141" s="763"/>
      <c r="AM141" s="763"/>
    </row>
    <row r="142" spans="38:39" ht="15" customHeight="1">
      <c r="AL142" s="763"/>
      <c r="AM142" s="763"/>
    </row>
    <row r="143" spans="38:39" ht="15" customHeight="1">
      <c r="AL143" s="763"/>
      <c r="AM143" s="763"/>
    </row>
    <row r="144" spans="38:39" ht="15" customHeight="1">
      <c r="AL144" s="763"/>
      <c r="AM144" s="763"/>
    </row>
    <row r="145" spans="38:39" ht="15" customHeight="1">
      <c r="AL145" s="763"/>
      <c r="AM145" s="763"/>
    </row>
    <row r="146" spans="38:39" ht="15" customHeight="1">
      <c r="AL146" s="763"/>
      <c r="AM146" s="763"/>
    </row>
    <row r="147" spans="38:39" ht="15" customHeight="1">
      <c r="AL147" s="763"/>
      <c r="AM147" s="763"/>
    </row>
    <row r="148" spans="38:39" ht="15" customHeight="1">
      <c r="AL148" s="763"/>
      <c r="AM148" s="763"/>
    </row>
    <row r="149" spans="38:39" ht="15" customHeight="1">
      <c r="AL149" s="763"/>
      <c r="AM149" s="763"/>
    </row>
    <row r="150" spans="38:39" ht="15" customHeight="1">
      <c r="AL150" s="763"/>
      <c r="AM150" s="763"/>
    </row>
    <row r="151" spans="38:39" ht="15" customHeight="1">
      <c r="AL151" s="763"/>
      <c r="AM151" s="763"/>
    </row>
    <row r="152" spans="38:39" ht="15" customHeight="1">
      <c r="AL152" s="763"/>
      <c r="AM152" s="763"/>
    </row>
    <row r="153" spans="38:39" ht="15" customHeight="1">
      <c r="AL153" s="763"/>
      <c r="AM153" s="763"/>
    </row>
    <row r="154" spans="38:39" ht="15" customHeight="1">
      <c r="AL154" s="763"/>
      <c r="AM154" s="763"/>
    </row>
    <row r="155" spans="38:39" ht="11.25" customHeight="1">
      <c r="AL155" s="763"/>
      <c r="AM155" s="763"/>
    </row>
    <row r="156" spans="38:39" ht="15" customHeight="1">
      <c r="AL156" s="763"/>
      <c r="AM156" s="763"/>
    </row>
    <row r="157" spans="38:39" ht="15" customHeight="1">
      <c r="AL157" s="763"/>
      <c r="AM157" s="763"/>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6" min="1" max="37" man="1"/>
  </rowBreaks>
  <ignoredErrors>
    <ignoredError sqref="AL42 AL55 AL47 AL62 AL68 AL36 AL38:AL40 AL24:AL25 AL20 AL28:AL35" unlockedFormula="1"/>
    <ignoredError sqref="AL81" evalError="1"/>
    <ignoredError sqref="AL74:AL76 AL23 AL51 AJ72:AM72 AJ74:AK74 AM74 AJ73:AK73 AM73 AJ71:AK71 AM71 AL97 AL70 AL64 AL57 AL21" formula="1"/>
    <ignoredError sqref="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55" workbookViewId="0"/>
  </sheetViews>
  <sheetFormatPr defaultColWidth="8.6640625" defaultRowHeight="12.75"/>
  <cols>
    <col min="1" max="1" width="1.6640625" style="241" customWidth="1"/>
    <col min="2" max="2" width="44.6640625" style="241" customWidth="1"/>
    <col min="3" max="3" width="1.6640625" style="241" customWidth="1"/>
    <col min="4" max="4" width="15.109375" style="241" bestFit="1" customWidth="1"/>
    <col min="5" max="5" width="1.6640625" style="241" customWidth="1"/>
    <col min="6" max="6" width="12" style="241" customWidth="1"/>
    <col min="7" max="7" width="1.6640625" style="241" customWidth="1"/>
    <col min="8" max="8" width="11.109375" style="241" bestFit="1" customWidth="1"/>
    <col min="9" max="9" width="1.6640625" style="241" customWidth="1"/>
    <col min="10" max="10" width="11" style="241" customWidth="1"/>
    <col min="11" max="11" width="1.6640625" style="241" customWidth="1"/>
    <col min="12" max="12" width="11.109375" style="241" customWidth="1"/>
    <col min="13" max="13" width="1.6640625" style="241" customWidth="1"/>
    <col min="14" max="14" width="12.109375" style="241" customWidth="1"/>
    <col min="15" max="15" width="1.6640625" style="241" customWidth="1"/>
    <col min="16" max="16" width="11" style="241" bestFit="1" customWidth="1"/>
    <col min="17" max="17" width="1.6640625" style="241" customWidth="1"/>
    <col min="18" max="18" width="11.5546875" style="241" bestFit="1" customWidth="1"/>
    <col min="19" max="19" width="1.6640625" style="241" customWidth="1"/>
    <col min="20" max="20" width="11.44140625" style="241" customWidth="1"/>
    <col min="21" max="21" width="1.6640625" style="241" customWidth="1"/>
    <col min="22" max="22" width="11.109375" style="241" customWidth="1"/>
    <col min="23" max="23" width="1.6640625" style="241" customWidth="1"/>
    <col min="24" max="24" width="11.109375" style="241" bestFit="1" customWidth="1"/>
    <col min="25" max="25" width="1.6640625" style="241" customWidth="1"/>
    <col min="26" max="26" width="10.6640625" style="241" bestFit="1" customWidth="1"/>
    <col min="27" max="27" width="1" style="241" customWidth="1"/>
    <col min="28" max="29" width="1.6640625" style="241" customWidth="1"/>
    <col min="30" max="30" width="12.109375" style="864" customWidth="1"/>
    <col min="31" max="32" width="1.109375" style="864" customWidth="1"/>
    <col min="33" max="33" width="11.6640625" style="864" customWidth="1"/>
    <col min="34" max="34" width="1.44140625" style="241" customWidth="1"/>
    <col min="35" max="35" width="0.6640625" style="241" customWidth="1"/>
    <col min="36" max="36" width="13.109375" style="241" bestFit="1" customWidth="1"/>
    <col min="37" max="37" width="0.6640625" style="241" customWidth="1"/>
    <col min="38" max="38" width="13.6640625" style="763" bestFit="1" customWidth="1"/>
    <col min="39" max="16384" width="8.6640625" style="241"/>
  </cols>
  <sheetData>
    <row r="1" spans="1:41" ht="15">
      <c r="B1" s="625" t="s">
        <v>870</v>
      </c>
    </row>
    <row r="2" spans="1:41" ht="15.75">
      <c r="A2" s="240"/>
      <c r="M2" s="26"/>
      <c r="N2" s="26"/>
      <c r="O2" s="259"/>
    </row>
    <row r="3" spans="1:41" ht="18">
      <c r="A3" s="240"/>
      <c r="B3" s="243" t="s">
        <v>0</v>
      </c>
      <c r="M3" s="26"/>
      <c r="N3" s="26"/>
      <c r="O3" s="259"/>
      <c r="AF3" s="2996"/>
      <c r="AG3" s="3337"/>
      <c r="AH3" s="282"/>
      <c r="AI3" s="282"/>
      <c r="AJ3" s="282"/>
      <c r="AK3" s="282"/>
      <c r="AL3" s="244" t="s">
        <v>165</v>
      </c>
    </row>
    <row r="4" spans="1:41" ht="18">
      <c r="A4" s="240"/>
      <c r="B4" s="243" t="s">
        <v>174</v>
      </c>
      <c r="L4" s="26"/>
      <c r="M4" s="26"/>
      <c r="O4" s="259"/>
    </row>
    <row r="5" spans="1:41" ht="18">
      <c r="A5" s="240"/>
      <c r="B5" s="1492" t="s">
        <v>145</v>
      </c>
      <c r="L5" s="259"/>
      <c r="M5" s="259"/>
      <c r="O5" s="259"/>
      <c r="X5" s="283"/>
    </row>
    <row r="6" spans="1:41" ht="20.25">
      <c r="A6" s="240"/>
      <c r="B6" s="1492" t="str">
        <f>'Cashflow Governmental'!A6</f>
        <v xml:space="preserve">FISCAL YEAR 2022-2023   </v>
      </c>
      <c r="L6" s="259"/>
      <c r="M6" s="259"/>
      <c r="O6" s="259"/>
      <c r="AL6" s="764"/>
    </row>
    <row r="7" spans="1:41" ht="18">
      <c r="A7" s="240"/>
      <c r="B7" s="243" t="s">
        <v>1253</v>
      </c>
      <c r="AI7" s="144"/>
      <c r="AJ7" s="144"/>
      <c r="AK7" s="144"/>
      <c r="AL7" s="765"/>
    </row>
    <row r="8" spans="1:41" ht="13.5" customHeight="1">
      <c r="A8" s="240"/>
      <c r="B8" s="290"/>
      <c r="AI8" s="144"/>
      <c r="AJ8" s="144"/>
      <c r="AK8" s="144"/>
      <c r="AL8" s="765"/>
    </row>
    <row r="9" spans="1:41" ht="15.75">
      <c r="A9" s="240"/>
      <c r="L9" s="259"/>
      <c r="M9" s="259"/>
      <c r="N9" s="259"/>
      <c r="O9" s="259"/>
      <c r="AC9" s="3953" t="str">
        <f>'Exhibit G'!AC9:AL9</f>
        <v>2 Months Ended May 31</v>
      </c>
      <c r="AD9" s="3953"/>
      <c r="AE9" s="3953"/>
      <c r="AF9" s="3953"/>
      <c r="AG9" s="3953"/>
      <c r="AH9" s="3953"/>
      <c r="AI9" s="3953"/>
      <c r="AJ9" s="3953"/>
      <c r="AK9" s="3953"/>
      <c r="AL9" s="3953"/>
    </row>
    <row r="10" spans="1:41" ht="15.75">
      <c r="A10" s="240"/>
      <c r="B10" s="27"/>
      <c r="C10" s="27"/>
      <c r="D10" s="725" t="str">
        <f>'Cashflow Governmental'!C13</f>
        <v>2022</v>
      </c>
      <c r="E10" s="26"/>
      <c r="F10" s="26"/>
      <c r="G10" s="26"/>
      <c r="H10" s="26"/>
      <c r="I10" s="26"/>
      <c r="J10" s="26"/>
      <c r="K10" s="26"/>
      <c r="L10" s="26"/>
      <c r="M10" s="26"/>
      <c r="N10" s="26"/>
      <c r="O10" s="26"/>
      <c r="P10" s="26"/>
      <c r="Q10" s="26"/>
      <c r="R10" s="26"/>
      <c r="S10" s="26"/>
      <c r="T10" s="26"/>
      <c r="U10" s="26"/>
      <c r="V10" s="725">
        <f>'Cashflow Governmental'!U13</f>
        <v>2023</v>
      </c>
      <c r="W10" s="26"/>
      <c r="X10" s="26"/>
      <c r="Y10" s="26"/>
      <c r="Z10" s="26"/>
      <c r="AA10" s="26"/>
      <c r="AB10" s="26"/>
      <c r="AC10" s="26"/>
      <c r="AD10" s="3052"/>
      <c r="AE10" s="3052"/>
      <c r="AF10" s="3052"/>
      <c r="AG10" s="3052"/>
      <c r="AH10" s="204"/>
      <c r="AI10" s="203"/>
      <c r="AJ10" s="729" t="s">
        <v>7</v>
      </c>
      <c r="AK10" s="729"/>
      <c r="AL10" s="766" t="s">
        <v>8</v>
      </c>
      <c r="AM10" s="732"/>
      <c r="AN10" s="732"/>
      <c r="AO10" s="732"/>
    </row>
    <row r="11" spans="1:41" ht="15.75">
      <c r="A11" s="240"/>
      <c r="B11" s="27"/>
      <c r="C11" s="27"/>
      <c r="D11" s="716" t="s">
        <v>122</v>
      </c>
      <c r="E11" s="26"/>
      <c r="F11" s="716" t="s">
        <v>123</v>
      </c>
      <c r="G11" s="26"/>
      <c r="H11" s="716" t="s">
        <v>124</v>
      </c>
      <c r="I11" s="26"/>
      <c r="J11" s="716" t="s">
        <v>125</v>
      </c>
      <c r="K11" s="26"/>
      <c r="L11" s="716" t="s">
        <v>126</v>
      </c>
      <c r="M11" s="26"/>
      <c r="N11" s="716" t="s">
        <v>141</v>
      </c>
      <c r="O11" s="26"/>
      <c r="P11" s="716" t="s">
        <v>142</v>
      </c>
      <c r="Q11" s="26"/>
      <c r="R11" s="716" t="s">
        <v>129</v>
      </c>
      <c r="S11" s="26"/>
      <c r="T11" s="716" t="s">
        <v>130</v>
      </c>
      <c r="U11" s="26"/>
      <c r="V11" s="716" t="s">
        <v>131</v>
      </c>
      <c r="W11" s="26"/>
      <c r="X11" s="716" t="s">
        <v>132</v>
      </c>
      <c r="Y11" s="26"/>
      <c r="Z11" s="716" t="s">
        <v>182</v>
      </c>
      <c r="AA11" s="716"/>
      <c r="AB11" s="26"/>
      <c r="AC11" s="26"/>
      <c r="AD11" s="720">
        <f>'Cashflow Governmental'!AB14</f>
        <v>2022</v>
      </c>
      <c r="AE11" s="720"/>
      <c r="AF11" s="99" t="s">
        <v>14</v>
      </c>
      <c r="AG11" s="720">
        <f>'Cashflow Governmental'!AE14</f>
        <v>2021</v>
      </c>
      <c r="AH11" s="715"/>
      <c r="AI11" s="203"/>
      <c r="AJ11" s="734" t="s">
        <v>11</v>
      </c>
      <c r="AK11" s="728"/>
      <c r="AL11" s="767" t="s">
        <v>12</v>
      </c>
      <c r="AM11" s="732"/>
      <c r="AN11" s="732"/>
      <c r="AO11" s="732"/>
    </row>
    <row r="12" spans="1:41" ht="6.75" customHeight="1">
      <c r="A12" s="240"/>
      <c r="B12" s="27"/>
      <c r="C12" s="27"/>
      <c r="D12" s="40"/>
      <c r="E12" s="27"/>
      <c r="F12" s="40"/>
      <c r="G12" s="27"/>
      <c r="H12" s="40"/>
      <c r="I12" s="27"/>
      <c r="J12" s="40"/>
      <c r="K12" s="27"/>
      <c r="L12" s="40"/>
      <c r="M12" s="27"/>
      <c r="N12" s="264"/>
      <c r="O12" s="27"/>
      <c r="P12" s="40"/>
      <c r="Q12" s="27"/>
      <c r="R12" s="40"/>
      <c r="S12" s="27"/>
      <c r="T12" s="40"/>
      <c r="U12" s="27"/>
      <c r="V12" s="40"/>
      <c r="W12" s="27"/>
      <c r="X12" s="40"/>
      <c r="Y12" s="27"/>
      <c r="Z12" s="40"/>
      <c r="AA12" s="34"/>
      <c r="AB12" s="27"/>
      <c r="AC12" s="1036"/>
      <c r="AD12" s="3069"/>
      <c r="AE12" s="3069"/>
      <c r="AF12" s="3059"/>
      <c r="AG12" s="3069"/>
      <c r="AH12" s="34"/>
      <c r="AI12" s="265"/>
      <c r="AJ12" s="27"/>
      <c r="AK12" s="27"/>
      <c r="AL12" s="258"/>
    </row>
    <row r="13" spans="1:41" ht="15.75">
      <c r="A13" s="240"/>
      <c r="B13" s="1803" t="s">
        <v>1148</v>
      </c>
      <c r="C13" s="27"/>
      <c r="D13" s="300">
        <v>14325.7</v>
      </c>
      <c r="E13" s="27"/>
      <c r="F13" s="213">
        <f>D94</f>
        <v>14277.5</v>
      </c>
      <c r="G13" s="27"/>
      <c r="H13" s="213"/>
      <c r="I13" s="27"/>
      <c r="J13" s="213"/>
      <c r="K13" s="27"/>
      <c r="L13" s="213"/>
      <c r="M13" s="27"/>
      <c r="N13" s="213"/>
      <c r="O13" s="27"/>
      <c r="P13" s="213"/>
      <c r="Q13" s="27"/>
      <c r="R13" s="213"/>
      <c r="S13" s="27"/>
      <c r="T13" s="213"/>
      <c r="U13" s="27"/>
      <c r="V13" s="213"/>
      <c r="W13" s="27"/>
      <c r="X13" s="213"/>
      <c r="Y13" s="27"/>
      <c r="Z13" s="213"/>
      <c r="AA13" s="34"/>
      <c r="AB13" s="27"/>
      <c r="AC13" s="1036"/>
      <c r="AD13" s="133">
        <f>D13</f>
        <v>14325.7</v>
      </c>
      <c r="AE13" s="1066"/>
      <c r="AF13" s="3059"/>
      <c r="AG13" s="133">
        <v>4960.7</v>
      </c>
      <c r="AH13" s="34"/>
      <c r="AI13" s="265"/>
      <c r="AJ13" s="88">
        <f>+AD13-AG13</f>
        <v>9365</v>
      </c>
      <c r="AK13" s="27"/>
      <c r="AL13" s="267">
        <f>-AJ13/AG13</f>
        <v>-1.8878384099018284</v>
      </c>
    </row>
    <row r="14" spans="1:41" ht="15.75">
      <c r="A14" s="240"/>
      <c r="B14" s="1803"/>
      <c r="C14" s="27"/>
      <c r="D14" s="34"/>
      <c r="E14" s="27"/>
      <c r="F14" s="34"/>
      <c r="G14" s="27"/>
      <c r="H14" s="34"/>
      <c r="I14" s="27"/>
      <c r="J14" s="34"/>
      <c r="K14" s="27"/>
      <c r="L14" s="34"/>
      <c r="M14" s="27"/>
      <c r="N14" s="1035"/>
      <c r="O14" s="27"/>
      <c r="P14" s="34"/>
      <c r="Q14" s="27"/>
      <c r="R14" s="34"/>
      <c r="S14" s="27"/>
      <c r="T14" s="34"/>
      <c r="U14" s="27"/>
      <c r="V14" s="34"/>
      <c r="W14" s="27"/>
      <c r="X14" s="34"/>
      <c r="Y14" s="27"/>
      <c r="Z14" s="34"/>
      <c r="AA14" s="34"/>
      <c r="AB14" s="1813"/>
      <c r="AC14" s="34"/>
      <c r="AD14" s="1066"/>
      <c r="AE14" s="1066"/>
      <c r="AF14" s="3059"/>
      <c r="AG14" s="1066"/>
      <c r="AH14" s="268"/>
      <c r="AI14" s="34"/>
      <c r="AJ14" s="27"/>
      <c r="AK14" s="27"/>
      <c r="AL14" s="258"/>
    </row>
    <row r="15" spans="1:41" ht="15" customHeight="1">
      <c r="A15" s="144"/>
      <c r="B15" s="26" t="s">
        <v>13</v>
      </c>
      <c r="C15" s="28"/>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06"/>
      <c r="AD15" s="100"/>
      <c r="AE15" s="100"/>
      <c r="AF15" s="3060"/>
      <c r="AG15" s="100"/>
      <c r="AH15" s="287"/>
      <c r="AI15" s="34"/>
      <c r="AJ15" s="286"/>
      <c r="AK15" s="286"/>
      <c r="AL15" s="292"/>
    </row>
    <row r="16" spans="1:41" ht="7.5" customHeight="1">
      <c r="A16" s="144"/>
      <c r="B16" s="28"/>
      <c r="C16" s="28"/>
      <c r="D16" s="164"/>
      <c r="E16" s="159"/>
      <c r="F16" s="164"/>
      <c r="G16" s="159"/>
      <c r="H16" s="164"/>
      <c r="I16" s="159"/>
      <c r="J16" s="164"/>
      <c r="K16" s="159"/>
      <c r="L16" s="164"/>
      <c r="M16" s="159"/>
      <c r="N16" s="164"/>
      <c r="O16" s="159"/>
      <c r="P16" s="164"/>
      <c r="Q16" s="159"/>
      <c r="R16" s="164"/>
      <c r="S16" s="159"/>
      <c r="T16" s="164"/>
      <c r="U16" s="159"/>
      <c r="V16" s="164"/>
      <c r="W16" s="61"/>
      <c r="X16" s="164"/>
      <c r="Y16" s="61"/>
      <c r="Z16" s="164"/>
      <c r="AA16" s="164"/>
      <c r="AB16" s="159"/>
      <c r="AC16" s="246"/>
      <c r="AD16" s="112"/>
      <c r="AE16" s="3070"/>
      <c r="AF16" s="3073"/>
      <c r="AG16" s="350"/>
      <c r="AH16" s="287"/>
      <c r="AI16" s="34"/>
      <c r="AJ16" s="920"/>
      <c r="AK16" s="624"/>
      <c r="AL16" s="887"/>
    </row>
    <row r="17" spans="1:39" ht="15" customHeight="1">
      <c r="A17" s="144"/>
      <c r="B17" s="255" t="s">
        <v>918</v>
      </c>
      <c r="C17" s="28"/>
      <c r="D17" s="72"/>
      <c r="E17" s="159"/>
      <c r="F17" s="164"/>
      <c r="G17" s="159"/>
      <c r="H17" s="134"/>
      <c r="I17" s="159"/>
      <c r="J17" s="134"/>
      <c r="K17" s="159"/>
      <c r="L17" s="134"/>
      <c r="M17" s="159"/>
      <c r="N17" s="134"/>
      <c r="O17" s="159"/>
      <c r="P17" s="291"/>
      <c r="Q17" s="159"/>
      <c r="R17" s="163"/>
      <c r="S17" s="159"/>
      <c r="T17" s="164"/>
      <c r="U17" s="159"/>
      <c r="V17" s="72"/>
      <c r="W17" s="61"/>
      <c r="X17" s="72"/>
      <c r="Y17" s="61"/>
      <c r="Z17" s="72"/>
      <c r="AA17" s="72"/>
      <c r="AB17" s="159"/>
      <c r="AC17" s="246"/>
      <c r="AD17" s="112"/>
      <c r="AE17" s="112"/>
      <c r="AF17" s="1049"/>
      <c r="AG17" s="112"/>
      <c r="AH17" s="269"/>
      <c r="AI17" s="51"/>
      <c r="AJ17" s="920"/>
      <c r="AK17" s="920"/>
      <c r="AL17" s="649"/>
    </row>
    <row r="18" spans="1:39" ht="15" customHeight="1">
      <c r="A18" s="144"/>
      <c r="B18" s="869" t="s">
        <v>1033</v>
      </c>
      <c r="C18" s="28"/>
      <c r="D18" s="661" t="s">
        <v>14</v>
      </c>
      <c r="E18" s="159"/>
      <c r="F18" s="164"/>
      <c r="G18" s="159"/>
      <c r="H18" s="134"/>
      <c r="I18" s="159"/>
      <c r="J18" s="134"/>
      <c r="K18" s="159"/>
      <c r="L18" s="134"/>
      <c r="M18" s="159"/>
      <c r="N18" s="134"/>
      <c r="O18" s="159"/>
      <c r="P18" s="291"/>
      <c r="Q18" s="159"/>
      <c r="R18" s="163"/>
      <c r="S18" s="159"/>
      <c r="T18" s="164"/>
      <c r="U18" s="159"/>
      <c r="V18" s="72"/>
      <c r="W18" s="61"/>
      <c r="X18" s="72"/>
      <c r="Y18" s="61"/>
      <c r="Z18" s="72"/>
      <c r="AA18" s="72"/>
      <c r="AB18" s="159"/>
      <c r="AC18" s="246"/>
      <c r="AD18" s="112"/>
      <c r="AE18" s="112"/>
      <c r="AF18" s="1049"/>
      <c r="AG18" s="112"/>
      <c r="AH18" s="269"/>
      <c r="AI18" s="51"/>
      <c r="AJ18" s="920"/>
      <c r="AK18" s="920"/>
      <c r="AL18" s="649"/>
    </row>
    <row r="19" spans="1:39" ht="15" customHeight="1">
      <c r="A19" s="144"/>
      <c r="B19" s="869" t="s">
        <v>950</v>
      </c>
      <c r="C19" s="28"/>
      <c r="D19" s="663">
        <f>AD19</f>
        <v>0</v>
      </c>
      <c r="E19" s="871"/>
      <c r="F19" s="3767">
        <f>$AD19-D19</f>
        <v>0</v>
      </c>
      <c r="G19" s="872"/>
      <c r="H19" s="3767"/>
      <c r="I19" s="872"/>
      <c r="J19" s="3767"/>
      <c r="K19" s="1495"/>
      <c r="L19" s="3767"/>
      <c r="M19" s="1495"/>
      <c r="N19" s="3767"/>
      <c r="O19" s="1748"/>
      <c r="P19" s="3767"/>
      <c r="Q19" s="1930"/>
      <c r="R19" s="1741"/>
      <c r="S19" s="1930"/>
      <c r="T19" s="1741"/>
      <c r="U19" s="1930"/>
      <c r="V19" s="1741"/>
      <c r="W19" s="1930"/>
      <c r="X19" s="1741"/>
      <c r="Y19" s="1930"/>
      <c r="Z19" s="1741"/>
      <c r="AA19" s="1931"/>
      <c r="AB19" s="1794"/>
      <c r="AC19" s="1932"/>
      <c r="AD19" s="1741">
        <v>0</v>
      </c>
      <c r="AE19" s="1943"/>
      <c r="AF19" s="1945"/>
      <c r="AG19" s="1741">
        <v>0</v>
      </c>
      <c r="AH19" s="1349"/>
      <c r="AI19" s="920"/>
      <c r="AJ19" s="872">
        <f>ROUND(SUM(+AD19-AG19),1)</f>
        <v>0</v>
      </c>
      <c r="AK19" s="920"/>
      <c r="AL19" s="1406">
        <f>ROUND(IF(AG19=0,0,AJ19/ABS(AG19)),3)</f>
        <v>0</v>
      </c>
    </row>
    <row r="20" spans="1:39" s="864" customFormat="1" ht="15" customHeight="1">
      <c r="A20" s="1047"/>
      <c r="B20" s="869" t="s">
        <v>1034</v>
      </c>
      <c r="C20" s="101"/>
      <c r="D20" s="663" t="s">
        <v>14</v>
      </c>
      <c r="E20" s="793"/>
      <c r="F20" s="663"/>
      <c r="G20" s="793"/>
      <c r="H20" s="663"/>
      <c r="I20" s="793"/>
      <c r="J20" s="3767"/>
      <c r="K20" s="134"/>
      <c r="L20" s="663"/>
      <c r="M20" s="134"/>
      <c r="N20" s="663"/>
      <c r="O20" s="134"/>
      <c r="P20" s="1741"/>
      <c r="Q20" s="1934"/>
      <c r="R20" s="1741"/>
      <c r="S20" s="1934"/>
      <c r="T20" s="1741"/>
      <c r="U20" s="1934"/>
      <c r="V20" s="1741"/>
      <c r="W20" s="1938"/>
      <c r="X20" s="1741"/>
      <c r="Y20" s="1938"/>
      <c r="Z20" s="1741"/>
      <c r="AA20" s="1937"/>
      <c r="AB20" s="1934"/>
      <c r="AC20" s="1939"/>
      <c r="AD20" s="1938"/>
      <c r="AE20" s="1938"/>
      <c r="AF20" s="1940"/>
      <c r="AG20" s="1938"/>
      <c r="AH20" s="1050"/>
      <c r="AI20" s="62"/>
      <c r="AJ20" s="1001"/>
      <c r="AK20" s="1001"/>
      <c r="AL20" s="1416"/>
    </row>
    <row r="21" spans="1:39" s="864" customFormat="1" ht="15" customHeight="1">
      <c r="A21" s="1047"/>
      <c r="B21" s="869" t="s">
        <v>952</v>
      </c>
      <c r="C21" s="101"/>
      <c r="D21" s="663">
        <v>5.3000000000000007</v>
      </c>
      <c r="E21" s="793"/>
      <c r="F21" s="3767">
        <f t="shared" ref="F21:F33" si="0">$AD21-D21</f>
        <v>40.799999999999997</v>
      </c>
      <c r="G21" s="793"/>
      <c r="H21" s="663"/>
      <c r="I21" s="793"/>
      <c r="J21" s="3767"/>
      <c r="K21" s="1495"/>
      <c r="L21" s="3767"/>
      <c r="M21" s="1495"/>
      <c r="N21" s="3767"/>
      <c r="O21" s="1495"/>
      <c r="P21" s="3767"/>
      <c r="Q21" s="1941"/>
      <c r="R21" s="1741"/>
      <c r="S21" s="1941"/>
      <c r="T21" s="1741"/>
      <c r="U21" s="1941"/>
      <c r="V21" s="1741"/>
      <c r="W21" s="1941"/>
      <c r="X21" s="1741"/>
      <c r="Y21" s="1941"/>
      <c r="Z21" s="1741"/>
      <c r="AA21" s="1942"/>
      <c r="AB21" s="1943"/>
      <c r="AC21" s="1944"/>
      <c r="AD21" s="1741">
        <v>46.1</v>
      </c>
      <c r="AE21" s="1943"/>
      <c r="AF21" s="1945"/>
      <c r="AG21" s="1741">
        <v>41.1</v>
      </c>
      <c r="AH21" s="1050"/>
      <c r="AI21" s="62"/>
      <c r="AJ21" s="1001">
        <f>ROUND(SUM(+AD21-AG21),1)</f>
        <v>5</v>
      </c>
      <c r="AK21" s="1001"/>
      <c r="AL21" s="1677">
        <f>ROUND(IF(AG21=0,0,AJ21/ABS(AG21)),3)</f>
        <v>0.122</v>
      </c>
      <c r="AM21" s="1760"/>
    </row>
    <row r="22" spans="1:39" ht="15" customHeight="1">
      <c r="A22" s="144"/>
      <c r="B22" s="869" t="s">
        <v>953</v>
      </c>
      <c r="C22" s="28"/>
      <c r="D22" s="663">
        <v>0</v>
      </c>
      <c r="E22" s="793"/>
      <c r="F22" s="3767">
        <f t="shared" si="0"/>
        <v>0</v>
      </c>
      <c r="G22" s="793"/>
      <c r="H22" s="663"/>
      <c r="I22" s="793"/>
      <c r="J22" s="3767"/>
      <c r="K22" s="1495"/>
      <c r="L22" s="3767"/>
      <c r="M22" s="1495"/>
      <c r="N22" s="3767"/>
      <c r="O22" s="1495"/>
      <c r="P22" s="3767"/>
      <c r="Q22" s="1941"/>
      <c r="R22" s="1741"/>
      <c r="S22" s="1941"/>
      <c r="T22" s="1741"/>
      <c r="U22" s="1941"/>
      <c r="V22" s="1741"/>
      <c r="W22" s="1941"/>
      <c r="X22" s="1741"/>
      <c r="Y22" s="1941"/>
      <c r="Z22" s="1741"/>
      <c r="AA22" s="1942"/>
      <c r="AB22" s="1943"/>
      <c r="AC22" s="1944"/>
      <c r="AD22" s="1741">
        <v>0</v>
      </c>
      <c r="AE22" s="1943"/>
      <c r="AF22" s="1945"/>
      <c r="AG22" s="1741">
        <v>0</v>
      </c>
      <c r="AH22" s="269"/>
      <c r="AI22" s="51"/>
      <c r="AJ22" s="920">
        <f t="shared" ref="AJ22:AJ51" si="1">ROUND(SUM(+AD22-AG22),1)</f>
        <v>0</v>
      </c>
      <c r="AK22" s="920"/>
      <c r="AL22" s="1406">
        <f>ROUND(IF(AG22=0,0,AJ22/ABS(AG22)),3)</f>
        <v>0</v>
      </c>
    </row>
    <row r="23" spans="1:39" ht="15" customHeight="1">
      <c r="A23" s="144"/>
      <c r="B23" s="869" t="s">
        <v>954</v>
      </c>
      <c r="C23" s="28"/>
      <c r="D23" s="663">
        <v>0</v>
      </c>
      <c r="E23" s="793"/>
      <c r="F23" s="3767">
        <f t="shared" si="0"/>
        <v>0</v>
      </c>
      <c r="G23" s="793"/>
      <c r="H23" s="663"/>
      <c r="I23" s="793"/>
      <c r="J23" s="3767"/>
      <c r="K23" s="1495"/>
      <c r="L23" s="3767"/>
      <c r="M23" s="1495"/>
      <c r="N23" s="3767"/>
      <c r="O23" s="1495"/>
      <c r="P23" s="3767"/>
      <c r="Q23" s="1941"/>
      <c r="R23" s="1741"/>
      <c r="S23" s="1941"/>
      <c r="T23" s="1741"/>
      <c r="U23" s="1941"/>
      <c r="V23" s="1741"/>
      <c r="W23" s="1941"/>
      <c r="X23" s="1741"/>
      <c r="Y23" s="1941"/>
      <c r="Z23" s="1741"/>
      <c r="AA23" s="1942"/>
      <c r="AB23" s="1943"/>
      <c r="AC23" s="1944"/>
      <c r="AD23" s="1741">
        <v>0</v>
      </c>
      <c r="AE23" s="1943"/>
      <c r="AF23" s="1945"/>
      <c r="AG23" s="1741">
        <v>0</v>
      </c>
      <c r="AH23" s="269"/>
      <c r="AI23" s="51"/>
      <c r="AJ23" s="920">
        <f t="shared" si="1"/>
        <v>0</v>
      </c>
      <c r="AK23" s="920"/>
      <c r="AL23" s="1406">
        <f>ROUND(IF(AG23=0,0,AJ23/ABS(AG23)),3)</f>
        <v>0</v>
      </c>
    </row>
    <row r="24" spans="1:39" ht="15" customHeight="1">
      <c r="A24" s="144"/>
      <c r="B24" s="869" t="s">
        <v>955</v>
      </c>
      <c r="C24" s="28"/>
      <c r="D24" s="663">
        <v>0</v>
      </c>
      <c r="E24" s="793"/>
      <c r="F24" s="3767">
        <f t="shared" si="0"/>
        <v>0</v>
      </c>
      <c r="G24" s="793"/>
      <c r="H24" s="663"/>
      <c r="I24" s="793"/>
      <c r="J24" s="3767"/>
      <c r="K24" s="1495"/>
      <c r="L24" s="3767"/>
      <c r="M24" s="1495"/>
      <c r="N24" s="3767"/>
      <c r="O24" s="1495"/>
      <c r="P24" s="3767"/>
      <c r="Q24" s="1941"/>
      <c r="R24" s="1741"/>
      <c r="S24" s="1941"/>
      <c r="T24" s="1741"/>
      <c r="U24" s="1941"/>
      <c r="V24" s="1741"/>
      <c r="W24" s="1941"/>
      <c r="X24" s="1741"/>
      <c r="Y24" s="1941"/>
      <c r="Z24" s="1741"/>
      <c r="AA24" s="1942"/>
      <c r="AB24" s="1943"/>
      <c r="AC24" s="1944"/>
      <c r="AD24" s="1741">
        <v>0</v>
      </c>
      <c r="AE24" s="1943"/>
      <c r="AF24" s="1945"/>
      <c r="AG24" s="1741">
        <v>0</v>
      </c>
      <c r="AH24" s="269"/>
      <c r="AI24" s="51"/>
      <c r="AJ24" s="920">
        <f t="shared" si="1"/>
        <v>0</v>
      </c>
      <c r="AK24" s="920"/>
      <c r="AL24" s="1406">
        <f>ROUND(IF(AG24=0,0,AJ24/ABS(AG24)),3)</f>
        <v>0</v>
      </c>
    </row>
    <row r="25" spans="1:39" ht="15" customHeight="1">
      <c r="A25" s="144"/>
      <c r="B25" s="869" t="s">
        <v>1038</v>
      </c>
      <c r="C25" s="28"/>
      <c r="D25" s="663" t="s">
        <v>14</v>
      </c>
      <c r="E25" s="793"/>
      <c r="F25" s="3767"/>
      <c r="G25" s="793"/>
      <c r="H25" s="663"/>
      <c r="I25" s="793"/>
      <c r="J25" s="3767"/>
      <c r="K25" s="134"/>
      <c r="L25" s="3767"/>
      <c r="M25" s="134"/>
      <c r="N25" s="3767"/>
      <c r="O25" s="134"/>
      <c r="P25" s="1741"/>
      <c r="Q25" s="1934"/>
      <c r="R25" s="1741"/>
      <c r="S25" s="1934"/>
      <c r="T25" s="1741"/>
      <c r="U25" s="1934"/>
      <c r="V25" s="1741"/>
      <c r="W25" s="1938"/>
      <c r="X25" s="1741"/>
      <c r="Y25" s="1938"/>
      <c r="Z25" s="1741"/>
      <c r="AA25" s="1937"/>
      <c r="AB25" s="1934"/>
      <c r="AC25" s="1939"/>
      <c r="AD25" s="1938"/>
      <c r="AE25" s="1938"/>
      <c r="AF25" s="1940"/>
      <c r="AG25" s="1938"/>
      <c r="AH25" s="269"/>
      <c r="AI25" s="51"/>
      <c r="AJ25" s="920"/>
      <c r="AK25" s="920"/>
      <c r="AL25" s="1406"/>
    </row>
    <row r="26" spans="1:39" ht="15" customHeight="1">
      <c r="A26" s="144"/>
      <c r="B26" s="869" t="s">
        <v>956</v>
      </c>
      <c r="C26" s="28"/>
      <c r="D26" s="663">
        <v>0</v>
      </c>
      <c r="E26" s="793"/>
      <c r="F26" s="3767">
        <f t="shared" si="0"/>
        <v>0</v>
      </c>
      <c r="G26" s="793"/>
      <c r="H26" s="663"/>
      <c r="I26" s="793"/>
      <c r="J26" s="3767"/>
      <c r="K26" s="1495"/>
      <c r="L26" s="3767"/>
      <c r="M26" s="1495"/>
      <c r="N26" s="3767"/>
      <c r="O26" s="1495"/>
      <c r="P26" s="3767"/>
      <c r="Q26" s="1941"/>
      <c r="R26" s="1741"/>
      <c r="S26" s="1941"/>
      <c r="T26" s="1741"/>
      <c r="U26" s="1941"/>
      <c r="V26" s="1741"/>
      <c r="W26" s="1941"/>
      <c r="X26" s="1741"/>
      <c r="Y26" s="1941"/>
      <c r="Z26" s="1741"/>
      <c r="AA26" s="1942"/>
      <c r="AB26" s="1943"/>
      <c r="AC26" s="1944"/>
      <c r="AD26" s="1741">
        <v>0</v>
      </c>
      <c r="AE26" s="1943"/>
      <c r="AF26" s="1945"/>
      <c r="AG26" s="1741">
        <v>0</v>
      </c>
      <c r="AH26" s="269"/>
      <c r="AI26" s="51"/>
      <c r="AJ26" s="920">
        <f t="shared" si="1"/>
        <v>0</v>
      </c>
      <c r="AK26" s="920"/>
      <c r="AL26" s="1406">
        <f t="shared" ref="AL26:AL31" si="2">ROUND(IF(AG26=0,0,AJ26/ABS(AG26)),3)</f>
        <v>0</v>
      </c>
    </row>
    <row r="27" spans="1:39" ht="15" customHeight="1">
      <c r="A27" s="144"/>
      <c r="B27" s="869" t="s">
        <v>957</v>
      </c>
      <c r="C27" s="28"/>
      <c r="D27" s="663">
        <v>0</v>
      </c>
      <c r="E27" s="793"/>
      <c r="F27" s="3767">
        <f t="shared" si="0"/>
        <v>0</v>
      </c>
      <c r="G27" s="793"/>
      <c r="H27" s="663"/>
      <c r="I27" s="793"/>
      <c r="J27" s="3767"/>
      <c r="K27" s="1495"/>
      <c r="L27" s="3767"/>
      <c r="M27" s="1495"/>
      <c r="N27" s="3767"/>
      <c r="O27" s="1495"/>
      <c r="P27" s="3767"/>
      <c r="Q27" s="1941"/>
      <c r="R27" s="1741"/>
      <c r="S27" s="1941"/>
      <c r="T27" s="1741"/>
      <c r="U27" s="1941"/>
      <c r="V27" s="1741"/>
      <c r="W27" s="1941"/>
      <c r="X27" s="1741"/>
      <c r="Y27" s="1941"/>
      <c r="Z27" s="1741"/>
      <c r="AA27" s="1942"/>
      <c r="AB27" s="1943"/>
      <c r="AC27" s="1944"/>
      <c r="AD27" s="1741">
        <v>0</v>
      </c>
      <c r="AE27" s="1943"/>
      <c r="AF27" s="1945"/>
      <c r="AG27" s="1741">
        <v>0</v>
      </c>
      <c r="AH27" s="269"/>
      <c r="AI27" s="51"/>
      <c r="AJ27" s="920">
        <f t="shared" si="1"/>
        <v>0</v>
      </c>
      <c r="AK27" s="920"/>
      <c r="AL27" s="1406">
        <f t="shared" si="2"/>
        <v>0</v>
      </c>
    </row>
    <row r="28" spans="1:39" ht="15" customHeight="1">
      <c r="A28" s="144"/>
      <c r="B28" s="869" t="s">
        <v>958</v>
      </c>
      <c r="C28" s="28"/>
      <c r="D28" s="663">
        <v>0</v>
      </c>
      <c r="E28" s="793"/>
      <c r="F28" s="3767">
        <f t="shared" si="0"/>
        <v>0</v>
      </c>
      <c r="G28" s="793"/>
      <c r="H28" s="663"/>
      <c r="I28" s="793"/>
      <c r="J28" s="3767"/>
      <c r="K28" s="1495"/>
      <c r="L28" s="3767"/>
      <c r="M28" s="1495"/>
      <c r="N28" s="3767"/>
      <c r="O28" s="1495"/>
      <c r="P28" s="3767"/>
      <c r="Q28" s="1941"/>
      <c r="R28" s="1741"/>
      <c r="S28" s="1941"/>
      <c r="T28" s="1741"/>
      <c r="U28" s="1941"/>
      <c r="V28" s="1741"/>
      <c r="W28" s="1941"/>
      <c r="X28" s="1741"/>
      <c r="Y28" s="1941"/>
      <c r="Z28" s="1741"/>
      <c r="AA28" s="1942"/>
      <c r="AB28" s="1943"/>
      <c r="AC28" s="1944"/>
      <c r="AD28" s="1741">
        <v>0</v>
      </c>
      <c r="AE28" s="1943"/>
      <c r="AF28" s="1945"/>
      <c r="AG28" s="1741">
        <v>0</v>
      </c>
      <c r="AH28" s="269"/>
      <c r="AI28" s="51"/>
      <c r="AJ28" s="920">
        <f t="shared" si="1"/>
        <v>0</v>
      </c>
      <c r="AK28" s="920"/>
      <c r="AL28" s="1406">
        <f t="shared" si="2"/>
        <v>0</v>
      </c>
    </row>
    <row r="29" spans="1:39" ht="15" customHeight="1">
      <c r="A29" s="144"/>
      <c r="B29" s="869" t="s">
        <v>959</v>
      </c>
      <c r="C29" s="28"/>
      <c r="D29" s="663">
        <v>0</v>
      </c>
      <c r="E29" s="793"/>
      <c r="F29" s="3767">
        <f t="shared" si="0"/>
        <v>0</v>
      </c>
      <c r="G29" s="793"/>
      <c r="H29" s="663"/>
      <c r="I29" s="793"/>
      <c r="J29" s="3767"/>
      <c r="K29" s="1495"/>
      <c r="L29" s="3767"/>
      <c r="M29" s="1495"/>
      <c r="N29" s="3767"/>
      <c r="O29" s="1495"/>
      <c r="P29" s="3767"/>
      <c r="Q29" s="1941"/>
      <c r="R29" s="1741"/>
      <c r="S29" s="1941"/>
      <c r="T29" s="1741"/>
      <c r="U29" s="1941"/>
      <c r="V29" s="1741"/>
      <c r="W29" s="1941"/>
      <c r="X29" s="1741"/>
      <c r="Y29" s="1941"/>
      <c r="Z29" s="1741"/>
      <c r="AA29" s="1942"/>
      <c r="AB29" s="1943"/>
      <c r="AC29" s="1944"/>
      <c r="AD29" s="1741">
        <v>0</v>
      </c>
      <c r="AE29" s="1943"/>
      <c r="AF29" s="1945"/>
      <c r="AG29" s="1741">
        <v>0</v>
      </c>
      <c r="AH29" s="269"/>
      <c r="AI29" s="51"/>
      <c r="AJ29" s="920">
        <f t="shared" si="1"/>
        <v>0</v>
      </c>
      <c r="AK29" s="920"/>
      <c r="AL29" s="1406">
        <f t="shared" si="2"/>
        <v>0</v>
      </c>
    </row>
    <row r="30" spans="1:39" ht="15" customHeight="1">
      <c r="A30" s="144"/>
      <c r="B30" s="869" t="s">
        <v>960</v>
      </c>
      <c r="C30" s="28"/>
      <c r="D30" s="663">
        <v>0</v>
      </c>
      <c r="E30" s="793"/>
      <c r="F30" s="3767">
        <f t="shared" si="0"/>
        <v>0</v>
      </c>
      <c r="G30" s="793"/>
      <c r="H30" s="663"/>
      <c r="I30" s="793"/>
      <c r="J30" s="3767"/>
      <c r="K30" s="1495"/>
      <c r="L30" s="3767"/>
      <c r="M30" s="1495"/>
      <c r="N30" s="3767"/>
      <c r="O30" s="1495"/>
      <c r="P30" s="3767"/>
      <c r="Q30" s="1941"/>
      <c r="R30" s="1741"/>
      <c r="S30" s="1941"/>
      <c r="T30" s="1741"/>
      <c r="U30" s="1941"/>
      <c r="V30" s="1741"/>
      <c r="W30" s="1941"/>
      <c r="X30" s="1741"/>
      <c r="Y30" s="1941"/>
      <c r="Z30" s="1741"/>
      <c r="AA30" s="1942"/>
      <c r="AB30" s="1943"/>
      <c r="AC30" s="1944"/>
      <c r="AD30" s="1741">
        <v>0</v>
      </c>
      <c r="AE30" s="1943"/>
      <c r="AF30" s="1945"/>
      <c r="AG30" s="1741">
        <v>0</v>
      </c>
      <c r="AH30" s="269"/>
      <c r="AI30" s="51"/>
      <c r="AJ30" s="920">
        <f t="shared" si="1"/>
        <v>0</v>
      </c>
      <c r="AK30" s="920"/>
      <c r="AL30" s="1406">
        <f t="shared" si="2"/>
        <v>0</v>
      </c>
    </row>
    <row r="31" spans="1:39" ht="15" customHeight="1">
      <c r="A31" s="144"/>
      <c r="B31" s="869" t="s">
        <v>919</v>
      </c>
      <c r="C31" s="28"/>
      <c r="D31" s="663">
        <v>0.7</v>
      </c>
      <c r="E31" s="793"/>
      <c r="F31" s="3767">
        <f t="shared" si="0"/>
        <v>0.7</v>
      </c>
      <c r="G31" s="793"/>
      <c r="H31" s="663"/>
      <c r="I31" s="793"/>
      <c r="J31" s="3767"/>
      <c r="K31" s="1495"/>
      <c r="L31" s="3767"/>
      <c r="M31" s="1495"/>
      <c r="N31" s="3767"/>
      <c r="O31" s="1495"/>
      <c r="P31" s="3767"/>
      <c r="Q31" s="1941"/>
      <c r="R31" s="1741"/>
      <c r="S31" s="1941"/>
      <c r="T31" s="1741"/>
      <c r="U31" s="1941"/>
      <c r="V31" s="1741"/>
      <c r="W31" s="1941"/>
      <c r="X31" s="1741"/>
      <c r="Y31" s="1941"/>
      <c r="Z31" s="1741"/>
      <c r="AA31" s="1942"/>
      <c r="AB31" s="1943"/>
      <c r="AC31" s="1944"/>
      <c r="AD31" s="1741">
        <v>1.4</v>
      </c>
      <c r="AE31" s="1943"/>
      <c r="AF31" s="1945"/>
      <c r="AG31" s="1741">
        <v>0.8</v>
      </c>
      <c r="AH31" s="269"/>
      <c r="AI31" s="51"/>
      <c r="AJ31" s="920">
        <f>ROUND(SUM(+AD31-AG31),1)</f>
        <v>0.6</v>
      </c>
      <c r="AK31" s="920"/>
      <c r="AL31" s="1406">
        <f t="shared" si="2"/>
        <v>0.75</v>
      </c>
    </row>
    <row r="32" spans="1:39" s="864" customFormat="1" ht="15" customHeight="1">
      <c r="A32" s="1047"/>
      <c r="B32" s="869" t="s">
        <v>920</v>
      </c>
      <c r="C32" s="101"/>
      <c r="D32" s="663">
        <v>3.5</v>
      </c>
      <c r="E32" s="793"/>
      <c r="F32" s="3767">
        <f t="shared" si="0"/>
        <v>5.6</v>
      </c>
      <c r="G32" s="793"/>
      <c r="H32" s="663"/>
      <c r="I32" s="793"/>
      <c r="J32" s="3767"/>
      <c r="K32" s="1495"/>
      <c r="L32" s="3767"/>
      <c r="M32" s="1495"/>
      <c r="N32" s="3767"/>
      <c r="O32" s="1495"/>
      <c r="P32" s="3767"/>
      <c r="Q32" s="1941"/>
      <c r="R32" s="1741"/>
      <c r="S32" s="1941"/>
      <c r="T32" s="1741"/>
      <c r="U32" s="1941"/>
      <c r="V32" s="1741"/>
      <c r="W32" s="1941"/>
      <c r="X32" s="1741"/>
      <c r="Y32" s="1941"/>
      <c r="Z32" s="1741"/>
      <c r="AA32" s="1942"/>
      <c r="AB32" s="1943"/>
      <c r="AC32" s="1944"/>
      <c r="AD32" s="1741">
        <v>9.1</v>
      </c>
      <c r="AE32" s="1943"/>
      <c r="AF32" s="1945"/>
      <c r="AG32" s="1741">
        <v>1.1000000000000001</v>
      </c>
      <c r="AH32" s="1050"/>
      <c r="AI32" s="62"/>
      <c r="AJ32" s="1001">
        <f t="shared" si="1"/>
        <v>8</v>
      </c>
      <c r="AK32" s="1001"/>
      <c r="AL32" s="1677">
        <f>ROUND(IF(AG32=0,1,AJ32/ABS(AG32)),3)</f>
        <v>7.2729999999999997</v>
      </c>
    </row>
    <row r="33" spans="1:38" s="864" customFormat="1" ht="15" customHeight="1">
      <c r="A33" s="1047"/>
      <c r="B33" s="869" t="s">
        <v>937</v>
      </c>
      <c r="C33" s="101"/>
      <c r="D33" s="663">
        <v>0</v>
      </c>
      <c r="E33" s="793"/>
      <c r="F33" s="3767">
        <f t="shared" si="0"/>
        <v>0</v>
      </c>
      <c r="G33" s="793"/>
      <c r="H33" s="663"/>
      <c r="I33" s="793"/>
      <c r="J33" s="3767"/>
      <c r="K33" s="1495"/>
      <c r="L33" s="3767"/>
      <c r="M33" s="1495"/>
      <c r="N33" s="3767"/>
      <c r="O33" s="1495"/>
      <c r="P33" s="3767"/>
      <c r="Q33" s="1941"/>
      <c r="R33" s="1741"/>
      <c r="S33" s="1941"/>
      <c r="T33" s="1741"/>
      <c r="U33" s="1941"/>
      <c r="V33" s="1741"/>
      <c r="W33" s="1941"/>
      <c r="X33" s="1741"/>
      <c r="Y33" s="1941"/>
      <c r="Z33" s="1741"/>
      <c r="AA33" s="1942"/>
      <c r="AB33" s="1943"/>
      <c r="AC33" s="1944"/>
      <c r="AD33" s="1741">
        <v>0</v>
      </c>
      <c r="AE33" s="1943"/>
      <c r="AF33" s="1945"/>
      <c r="AG33" s="1741">
        <v>0</v>
      </c>
      <c r="AH33" s="1050"/>
      <c r="AI33" s="62"/>
      <c r="AJ33" s="1001">
        <f>ROUND(SUM(+AD33-AG33),1)</f>
        <v>0</v>
      </c>
      <c r="AK33" s="1001"/>
      <c r="AL33" s="1677">
        <f>ROUND(IF(AG33=0,0,AJ33/ABS(AG33)),3)</f>
        <v>0</v>
      </c>
    </row>
    <row r="34" spans="1:38" s="864" customFormat="1" ht="15" customHeight="1">
      <c r="A34" s="1047"/>
      <c r="B34" s="869" t="s">
        <v>1036</v>
      </c>
      <c r="C34" s="101"/>
      <c r="D34" s="663" t="s">
        <v>14</v>
      </c>
      <c r="E34" s="793"/>
      <c r="F34" s="663"/>
      <c r="G34" s="793"/>
      <c r="H34" s="663"/>
      <c r="I34" s="793"/>
      <c r="J34" s="3767"/>
      <c r="K34" s="134"/>
      <c r="L34" s="3767"/>
      <c r="M34" s="134"/>
      <c r="N34" s="3767"/>
      <c r="O34" s="134"/>
      <c r="P34" s="3767"/>
      <c r="Q34" s="1934"/>
      <c r="R34" s="1741"/>
      <c r="S34" s="1934"/>
      <c r="T34" s="1741"/>
      <c r="U34" s="1934"/>
      <c r="V34" s="1741"/>
      <c r="W34" s="1938"/>
      <c r="X34" s="1741"/>
      <c r="Y34" s="1938"/>
      <c r="Z34" s="1741"/>
      <c r="AA34" s="1937"/>
      <c r="AB34" s="1934"/>
      <c r="AC34" s="1939"/>
      <c r="AD34" s="1938"/>
      <c r="AE34" s="1938"/>
      <c r="AF34" s="1940"/>
      <c r="AG34" s="1938"/>
      <c r="AH34" s="1050"/>
      <c r="AI34" s="62"/>
      <c r="AJ34" s="1001"/>
      <c r="AK34" s="1001"/>
      <c r="AL34" s="1416"/>
    </row>
    <row r="35" spans="1:38" s="864" customFormat="1" ht="15" customHeight="1">
      <c r="A35" s="1047"/>
      <c r="B35" s="869" t="s">
        <v>963</v>
      </c>
      <c r="C35" s="101"/>
      <c r="D35" s="663">
        <v>0</v>
      </c>
      <c r="E35" s="793"/>
      <c r="F35" s="3767">
        <f t="shared" ref="F35:F39" si="3">$AD35-D35</f>
        <v>0</v>
      </c>
      <c r="G35" s="793"/>
      <c r="H35" s="663"/>
      <c r="I35" s="793"/>
      <c r="J35" s="3767"/>
      <c r="K35" s="1495"/>
      <c r="L35" s="3767"/>
      <c r="M35" s="1495"/>
      <c r="N35" s="3767"/>
      <c r="O35" s="1495"/>
      <c r="P35" s="3767"/>
      <c r="Q35" s="1941"/>
      <c r="R35" s="1741"/>
      <c r="S35" s="1941"/>
      <c r="T35" s="1741"/>
      <c r="U35" s="1941"/>
      <c r="V35" s="1741"/>
      <c r="W35" s="1941"/>
      <c r="X35" s="1741"/>
      <c r="Y35" s="1941"/>
      <c r="Z35" s="1741"/>
      <c r="AA35" s="1942"/>
      <c r="AB35" s="1943"/>
      <c r="AC35" s="1944"/>
      <c r="AD35" s="1741">
        <v>0</v>
      </c>
      <c r="AE35" s="1943"/>
      <c r="AF35" s="1945"/>
      <c r="AG35" s="1741">
        <v>0</v>
      </c>
      <c r="AH35" s="1050"/>
      <c r="AI35" s="62"/>
      <c r="AJ35" s="1001">
        <f t="shared" si="1"/>
        <v>0</v>
      </c>
      <c r="AK35" s="1001"/>
      <c r="AL35" s="1677">
        <f t="shared" ref="AL35:AL39" si="4">ROUND(IF(AG35=0,0,AJ35/ABS(AG35)),3)</f>
        <v>0</v>
      </c>
    </row>
    <row r="36" spans="1:38" s="864" customFormat="1" ht="15" customHeight="1">
      <c r="A36" s="1047"/>
      <c r="B36" s="869" t="s">
        <v>964</v>
      </c>
      <c r="C36" s="101"/>
      <c r="D36" s="663">
        <v>0</v>
      </c>
      <c r="E36" s="793"/>
      <c r="F36" s="3767">
        <f t="shared" si="3"/>
        <v>0</v>
      </c>
      <c r="G36" s="793"/>
      <c r="H36" s="663"/>
      <c r="I36" s="793"/>
      <c r="J36" s="3767"/>
      <c r="K36" s="1495"/>
      <c r="L36" s="3767"/>
      <c r="M36" s="1495"/>
      <c r="N36" s="3767"/>
      <c r="O36" s="1495"/>
      <c r="P36" s="3767"/>
      <c r="Q36" s="1941"/>
      <c r="R36" s="1741"/>
      <c r="S36" s="1941"/>
      <c r="T36" s="1741"/>
      <c r="U36" s="1941"/>
      <c r="V36" s="1741"/>
      <c r="W36" s="1941"/>
      <c r="X36" s="1741"/>
      <c r="Y36" s="1941"/>
      <c r="Z36" s="1741"/>
      <c r="AA36" s="1942"/>
      <c r="AB36" s="1943"/>
      <c r="AC36" s="1944"/>
      <c r="AD36" s="1741">
        <v>0</v>
      </c>
      <c r="AE36" s="1943"/>
      <c r="AF36" s="1945"/>
      <c r="AG36" s="1741">
        <v>0</v>
      </c>
      <c r="AH36" s="1050"/>
      <c r="AI36" s="62"/>
      <c r="AJ36" s="1001">
        <f t="shared" si="1"/>
        <v>0</v>
      </c>
      <c r="AK36" s="1001"/>
      <c r="AL36" s="1677">
        <f t="shared" si="4"/>
        <v>0</v>
      </c>
    </row>
    <row r="37" spans="1:38" s="864" customFormat="1" ht="15" customHeight="1">
      <c r="A37" s="1047"/>
      <c r="B37" s="869" t="s">
        <v>965</v>
      </c>
      <c r="C37" s="101"/>
      <c r="D37" s="663">
        <v>0</v>
      </c>
      <c r="E37" s="793"/>
      <c r="F37" s="3767">
        <f t="shared" si="3"/>
        <v>0</v>
      </c>
      <c r="G37" s="793"/>
      <c r="H37" s="663"/>
      <c r="I37" s="793"/>
      <c r="J37" s="3767"/>
      <c r="K37" s="1495"/>
      <c r="L37" s="3767"/>
      <c r="M37" s="1495"/>
      <c r="N37" s="3767"/>
      <c r="O37" s="1495"/>
      <c r="P37" s="3767"/>
      <c r="Q37" s="1941"/>
      <c r="R37" s="1741"/>
      <c r="S37" s="1941"/>
      <c r="T37" s="1741"/>
      <c r="U37" s="1941"/>
      <c r="V37" s="1741"/>
      <c r="W37" s="1941"/>
      <c r="X37" s="1741"/>
      <c r="Y37" s="1941"/>
      <c r="Z37" s="1741"/>
      <c r="AA37" s="1942"/>
      <c r="AB37" s="1943"/>
      <c r="AC37" s="1944"/>
      <c r="AD37" s="1741">
        <v>0</v>
      </c>
      <c r="AE37" s="1943"/>
      <c r="AF37" s="1945"/>
      <c r="AG37" s="1741">
        <v>0</v>
      </c>
      <c r="AH37" s="1050"/>
      <c r="AI37" s="62"/>
      <c r="AJ37" s="1001">
        <f t="shared" si="1"/>
        <v>0</v>
      </c>
      <c r="AK37" s="1001"/>
      <c r="AL37" s="1677">
        <f t="shared" si="4"/>
        <v>0</v>
      </c>
    </row>
    <row r="38" spans="1:38" s="864" customFormat="1" ht="15" customHeight="1">
      <c r="A38" s="1047"/>
      <c r="B38" s="869" t="s">
        <v>966</v>
      </c>
      <c r="C38" s="101"/>
      <c r="D38" s="663">
        <v>0</v>
      </c>
      <c r="E38" s="793"/>
      <c r="F38" s="3767">
        <f t="shared" si="3"/>
        <v>0</v>
      </c>
      <c r="G38" s="793"/>
      <c r="H38" s="663"/>
      <c r="I38" s="793"/>
      <c r="J38" s="3767"/>
      <c r="K38" s="1495"/>
      <c r="L38" s="3767"/>
      <c r="M38" s="1495"/>
      <c r="N38" s="3767"/>
      <c r="O38" s="1495"/>
      <c r="P38" s="3767"/>
      <c r="Q38" s="1941"/>
      <c r="R38" s="1741"/>
      <c r="S38" s="1941"/>
      <c r="T38" s="1741"/>
      <c r="U38" s="1941"/>
      <c r="V38" s="1741"/>
      <c r="W38" s="1941"/>
      <c r="X38" s="1741"/>
      <c r="Y38" s="1941"/>
      <c r="Z38" s="1741"/>
      <c r="AA38" s="1942"/>
      <c r="AB38" s="1943"/>
      <c r="AC38" s="1944"/>
      <c r="AD38" s="1741">
        <v>0</v>
      </c>
      <c r="AE38" s="1943"/>
      <c r="AF38" s="1945"/>
      <c r="AG38" s="1741">
        <v>0</v>
      </c>
      <c r="AH38" s="1050"/>
      <c r="AI38" s="62"/>
      <c r="AJ38" s="1001">
        <f t="shared" si="1"/>
        <v>0</v>
      </c>
      <c r="AK38" s="1001"/>
      <c r="AL38" s="1677">
        <f t="shared" si="4"/>
        <v>0</v>
      </c>
    </row>
    <row r="39" spans="1:38" s="864" customFormat="1" ht="15" customHeight="1">
      <c r="A39" s="1047"/>
      <c r="B39" s="869" t="s">
        <v>938</v>
      </c>
      <c r="C39" s="101"/>
      <c r="D39" s="663">
        <v>0</v>
      </c>
      <c r="E39" s="793"/>
      <c r="F39" s="3767">
        <f t="shared" si="3"/>
        <v>0</v>
      </c>
      <c r="G39" s="793"/>
      <c r="H39" s="663"/>
      <c r="I39" s="793"/>
      <c r="J39" s="3767"/>
      <c r="K39" s="1495"/>
      <c r="L39" s="3767"/>
      <c r="M39" s="1495"/>
      <c r="N39" s="3767"/>
      <c r="O39" s="1495"/>
      <c r="P39" s="3767"/>
      <c r="Q39" s="1941"/>
      <c r="R39" s="1741"/>
      <c r="S39" s="1941"/>
      <c r="T39" s="1741"/>
      <c r="U39" s="1941"/>
      <c r="V39" s="1741"/>
      <c r="W39" s="1941"/>
      <c r="X39" s="1741"/>
      <c r="Y39" s="1941"/>
      <c r="Z39" s="1741"/>
      <c r="AA39" s="1942"/>
      <c r="AB39" s="1943"/>
      <c r="AC39" s="1944"/>
      <c r="AD39" s="1741">
        <v>0</v>
      </c>
      <c r="AE39" s="1943"/>
      <c r="AF39" s="1945"/>
      <c r="AG39" s="1741">
        <v>0</v>
      </c>
      <c r="AH39" s="1050"/>
      <c r="AI39" s="62"/>
      <c r="AJ39" s="1001">
        <f t="shared" si="1"/>
        <v>0</v>
      </c>
      <c r="AK39" s="1001"/>
      <c r="AL39" s="1677">
        <f t="shared" si="4"/>
        <v>0</v>
      </c>
    </row>
    <row r="40" spans="1:38" s="864" customFormat="1" ht="15" customHeight="1">
      <c r="A40" s="1047"/>
      <c r="B40" s="869" t="s">
        <v>1037</v>
      </c>
      <c r="C40" s="101"/>
      <c r="D40" s="663" t="s">
        <v>14</v>
      </c>
      <c r="E40" s="793"/>
      <c r="F40" s="663"/>
      <c r="G40" s="793"/>
      <c r="H40" s="663"/>
      <c r="I40" s="793"/>
      <c r="J40" s="3767"/>
      <c r="K40" s="134"/>
      <c r="L40" s="3767"/>
      <c r="M40" s="134"/>
      <c r="N40" s="3767"/>
      <c r="O40" s="134"/>
      <c r="P40" s="3767"/>
      <c r="Q40" s="1934"/>
      <c r="R40" s="1741"/>
      <c r="S40" s="1934"/>
      <c r="T40" s="1741"/>
      <c r="U40" s="1934"/>
      <c r="V40" s="1741"/>
      <c r="W40" s="1938"/>
      <c r="X40" s="1741"/>
      <c r="Y40" s="1938"/>
      <c r="Z40" s="1741"/>
      <c r="AA40" s="1937"/>
      <c r="AB40" s="1934"/>
      <c r="AC40" s="1939"/>
      <c r="AD40" s="1938"/>
      <c r="AE40" s="1938"/>
      <c r="AF40" s="1940"/>
      <c r="AG40" s="1938"/>
      <c r="AH40" s="1050"/>
      <c r="AI40" s="62"/>
      <c r="AJ40" s="1001"/>
      <c r="AK40" s="1001"/>
      <c r="AL40" s="1416"/>
    </row>
    <row r="41" spans="1:38" s="864" customFormat="1" ht="15" customHeight="1">
      <c r="A41" s="1047"/>
      <c r="B41" s="869" t="s">
        <v>967</v>
      </c>
      <c r="C41" s="101"/>
      <c r="D41" s="663">
        <v>0</v>
      </c>
      <c r="E41" s="793"/>
      <c r="F41" s="3767">
        <f t="shared" ref="F41:F51" si="5">$AD41-D41</f>
        <v>0</v>
      </c>
      <c r="G41" s="793"/>
      <c r="H41" s="663"/>
      <c r="I41" s="793"/>
      <c r="J41" s="3767"/>
      <c r="K41" s="1495"/>
      <c r="L41" s="3767"/>
      <c r="M41" s="1495"/>
      <c r="N41" s="3767"/>
      <c r="O41" s="1495"/>
      <c r="P41" s="3767"/>
      <c r="Q41" s="1941"/>
      <c r="R41" s="1741"/>
      <c r="S41" s="1941"/>
      <c r="T41" s="1741"/>
      <c r="U41" s="1941"/>
      <c r="V41" s="1741"/>
      <c r="W41" s="1941"/>
      <c r="X41" s="1741"/>
      <c r="Y41" s="1941"/>
      <c r="Z41" s="1741"/>
      <c r="AA41" s="1942"/>
      <c r="AB41" s="1943"/>
      <c r="AC41" s="1944"/>
      <c r="AD41" s="1741">
        <v>0</v>
      </c>
      <c r="AE41" s="1943"/>
      <c r="AF41" s="1945"/>
      <c r="AG41" s="1741">
        <v>0</v>
      </c>
      <c r="AH41" s="1050"/>
      <c r="AI41" s="62"/>
      <c r="AJ41" s="1001">
        <f t="shared" si="1"/>
        <v>0</v>
      </c>
      <c r="AK41" s="1001"/>
      <c r="AL41" s="1677">
        <f t="shared" ref="AL41:AL48" si="6">ROUND(IF(AG41=0,0,AJ41/ABS(AG41)),3)</f>
        <v>0</v>
      </c>
    </row>
    <row r="42" spans="1:38" s="864" customFormat="1" ht="15" customHeight="1">
      <c r="A42" s="1047"/>
      <c r="B42" s="869" t="s">
        <v>968</v>
      </c>
      <c r="C42" s="101"/>
      <c r="D42" s="663">
        <v>0</v>
      </c>
      <c r="E42" s="793"/>
      <c r="F42" s="3767">
        <f t="shared" si="5"/>
        <v>0</v>
      </c>
      <c r="G42" s="793"/>
      <c r="H42" s="663"/>
      <c r="I42" s="793"/>
      <c r="J42" s="3767"/>
      <c r="K42" s="1495"/>
      <c r="L42" s="3767"/>
      <c r="M42" s="1495"/>
      <c r="N42" s="3767"/>
      <c r="O42" s="1495"/>
      <c r="P42" s="3767"/>
      <c r="Q42" s="1941"/>
      <c r="R42" s="1741"/>
      <c r="S42" s="1941"/>
      <c r="T42" s="1741"/>
      <c r="U42" s="1941"/>
      <c r="V42" s="1741"/>
      <c r="W42" s="1941"/>
      <c r="X42" s="1741"/>
      <c r="Y42" s="1941"/>
      <c r="Z42" s="1741"/>
      <c r="AA42" s="1942"/>
      <c r="AB42" s="1943"/>
      <c r="AC42" s="1944"/>
      <c r="AD42" s="1741">
        <v>0</v>
      </c>
      <c r="AE42" s="1943"/>
      <c r="AF42" s="1945"/>
      <c r="AG42" s="1741">
        <v>0</v>
      </c>
      <c r="AH42" s="1050"/>
      <c r="AI42" s="62"/>
      <c r="AJ42" s="1001">
        <f t="shared" si="1"/>
        <v>0</v>
      </c>
      <c r="AK42" s="1001"/>
      <c r="AL42" s="1677">
        <f t="shared" si="6"/>
        <v>0</v>
      </c>
    </row>
    <row r="43" spans="1:38" s="864" customFormat="1" ht="15" customHeight="1">
      <c r="A43" s="1047"/>
      <c r="B43" s="869" t="s">
        <v>969</v>
      </c>
      <c r="C43" s="101"/>
      <c r="D43" s="663">
        <v>0</v>
      </c>
      <c r="E43" s="793"/>
      <c r="F43" s="3767">
        <f t="shared" si="5"/>
        <v>0.2</v>
      </c>
      <c r="G43" s="793"/>
      <c r="H43" s="663"/>
      <c r="I43" s="793"/>
      <c r="J43" s="3767"/>
      <c r="K43" s="1495"/>
      <c r="L43" s="3767"/>
      <c r="M43" s="1495"/>
      <c r="N43" s="3767"/>
      <c r="O43" s="1495"/>
      <c r="P43" s="3767"/>
      <c r="Q43" s="1941"/>
      <c r="R43" s="1741"/>
      <c r="S43" s="1941"/>
      <c r="T43" s="1741"/>
      <c r="U43" s="1941"/>
      <c r="V43" s="1741"/>
      <c r="W43" s="1941"/>
      <c r="X43" s="1741"/>
      <c r="Y43" s="1941"/>
      <c r="Z43" s="1741"/>
      <c r="AA43" s="1942"/>
      <c r="AB43" s="1943"/>
      <c r="AC43" s="1944"/>
      <c r="AD43" s="1741">
        <v>0.2</v>
      </c>
      <c r="AE43" s="1943"/>
      <c r="AF43" s="1945"/>
      <c r="AG43" s="1741">
        <v>0</v>
      </c>
      <c r="AH43" s="1050"/>
      <c r="AI43" s="62"/>
      <c r="AJ43" s="1001">
        <f t="shared" si="1"/>
        <v>0.2</v>
      </c>
      <c r="AK43" s="1001"/>
      <c r="AL43" s="1677">
        <f>ROUND(IF(AG43=0,1,AJ43/ABS(AG43)),3)</f>
        <v>1</v>
      </c>
    </row>
    <row r="44" spans="1:38" s="864" customFormat="1" ht="15" customHeight="1">
      <c r="A44" s="1047"/>
      <c r="B44" s="869" t="s">
        <v>970</v>
      </c>
      <c r="C44" s="101"/>
      <c r="D44" s="663">
        <v>0</v>
      </c>
      <c r="E44" s="793"/>
      <c r="F44" s="3767">
        <f t="shared" si="5"/>
        <v>0</v>
      </c>
      <c r="G44" s="793"/>
      <c r="H44" s="663"/>
      <c r="I44" s="793"/>
      <c r="J44" s="3767"/>
      <c r="K44" s="1495"/>
      <c r="L44" s="3767"/>
      <c r="M44" s="1495"/>
      <c r="N44" s="3767"/>
      <c r="O44" s="1495"/>
      <c r="P44" s="3767"/>
      <c r="Q44" s="1941"/>
      <c r="R44" s="1741"/>
      <c r="S44" s="1941"/>
      <c r="T44" s="1741"/>
      <c r="U44" s="1941"/>
      <c r="V44" s="1741"/>
      <c r="W44" s="1941"/>
      <c r="X44" s="1741"/>
      <c r="Y44" s="1941"/>
      <c r="Z44" s="1741"/>
      <c r="AA44" s="1942"/>
      <c r="AB44" s="1943"/>
      <c r="AC44" s="1944"/>
      <c r="AD44" s="1741">
        <v>0</v>
      </c>
      <c r="AE44" s="1943"/>
      <c r="AF44" s="1945"/>
      <c r="AG44" s="1741">
        <v>0</v>
      </c>
      <c r="AH44" s="1050"/>
      <c r="AI44" s="62"/>
      <c r="AJ44" s="1001">
        <f t="shared" si="1"/>
        <v>0</v>
      </c>
      <c r="AK44" s="1001"/>
      <c r="AL44" s="1677">
        <f t="shared" si="6"/>
        <v>0</v>
      </c>
    </row>
    <row r="45" spans="1:38" s="864" customFormat="1" ht="15" customHeight="1">
      <c r="A45" s="1047"/>
      <c r="B45" s="869" t="s">
        <v>971</v>
      </c>
      <c r="C45" s="101"/>
      <c r="D45" s="663">
        <v>0</v>
      </c>
      <c r="E45" s="793"/>
      <c r="F45" s="3767">
        <f t="shared" si="5"/>
        <v>0</v>
      </c>
      <c r="G45" s="793"/>
      <c r="H45" s="663"/>
      <c r="I45" s="793"/>
      <c r="J45" s="3767"/>
      <c r="K45" s="1495"/>
      <c r="L45" s="3767"/>
      <c r="M45" s="1495"/>
      <c r="N45" s="3767"/>
      <c r="O45" s="1495"/>
      <c r="P45" s="3767"/>
      <c r="Q45" s="1941"/>
      <c r="R45" s="1741"/>
      <c r="S45" s="1941"/>
      <c r="T45" s="1741"/>
      <c r="U45" s="1941"/>
      <c r="V45" s="1741"/>
      <c r="W45" s="1941"/>
      <c r="X45" s="1741"/>
      <c r="Y45" s="1941"/>
      <c r="Z45" s="1741"/>
      <c r="AA45" s="1942"/>
      <c r="AB45" s="1943"/>
      <c r="AC45" s="1944"/>
      <c r="AD45" s="1741">
        <v>0</v>
      </c>
      <c r="AE45" s="1943"/>
      <c r="AF45" s="1945"/>
      <c r="AG45" s="1741">
        <v>0</v>
      </c>
      <c r="AH45" s="1050"/>
      <c r="AI45" s="62"/>
      <c r="AJ45" s="1001">
        <f t="shared" si="1"/>
        <v>0</v>
      </c>
      <c r="AK45" s="1001"/>
      <c r="AL45" s="1677">
        <f t="shared" si="6"/>
        <v>0</v>
      </c>
    </row>
    <row r="46" spans="1:38" s="864" customFormat="1" ht="15" customHeight="1">
      <c r="A46" s="1047"/>
      <c r="B46" s="869" t="s">
        <v>972</v>
      </c>
      <c r="C46" s="101"/>
      <c r="D46" s="663">
        <v>7.2</v>
      </c>
      <c r="E46" s="793"/>
      <c r="F46" s="3767">
        <f t="shared" si="5"/>
        <v>8.3000000000000007</v>
      </c>
      <c r="G46" s="793"/>
      <c r="H46" s="663"/>
      <c r="I46" s="793"/>
      <c r="J46" s="3767"/>
      <c r="K46" s="1495"/>
      <c r="L46" s="3767"/>
      <c r="M46" s="1495"/>
      <c r="N46" s="3767"/>
      <c r="O46" s="1495"/>
      <c r="P46" s="3767"/>
      <c r="Q46" s="1941"/>
      <c r="R46" s="1741"/>
      <c r="S46" s="1941"/>
      <c r="T46" s="1741"/>
      <c r="U46" s="1941"/>
      <c r="V46" s="1741"/>
      <c r="W46" s="1941"/>
      <c r="X46" s="1741"/>
      <c r="Y46" s="1941"/>
      <c r="Z46" s="1741"/>
      <c r="AA46" s="1942"/>
      <c r="AB46" s="1943"/>
      <c r="AC46" s="1944"/>
      <c r="AD46" s="1741">
        <v>15.5</v>
      </c>
      <c r="AE46" s="1943"/>
      <c r="AF46" s="1945"/>
      <c r="AG46" s="1741">
        <v>14</v>
      </c>
      <c r="AH46" s="1050"/>
      <c r="AI46" s="62"/>
      <c r="AJ46" s="1001">
        <f t="shared" si="1"/>
        <v>1.5</v>
      </c>
      <c r="AK46" s="1001"/>
      <c r="AL46" s="1677">
        <f t="shared" si="6"/>
        <v>0.107</v>
      </c>
    </row>
    <row r="47" spans="1:38" ht="15" customHeight="1">
      <c r="A47" s="144"/>
      <c r="B47" s="869" t="s">
        <v>973</v>
      </c>
      <c r="C47" s="28"/>
      <c r="D47" s="663">
        <v>0</v>
      </c>
      <c r="E47" s="793"/>
      <c r="F47" s="3767">
        <f t="shared" si="5"/>
        <v>0</v>
      </c>
      <c r="G47" s="793"/>
      <c r="H47" s="663"/>
      <c r="I47" s="793"/>
      <c r="J47" s="3767"/>
      <c r="K47" s="1495"/>
      <c r="L47" s="3767"/>
      <c r="M47" s="1495"/>
      <c r="N47" s="3767"/>
      <c r="O47" s="1495"/>
      <c r="P47" s="3767"/>
      <c r="Q47" s="1941"/>
      <c r="R47" s="1741"/>
      <c r="S47" s="1941"/>
      <c r="T47" s="1741"/>
      <c r="U47" s="1941"/>
      <c r="V47" s="1741"/>
      <c r="W47" s="1941"/>
      <c r="X47" s="1741"/>
      <c r="Y47" s="1941"/>
      <c r="Z47" s="1741"/>
      <c r="AA47" s="1942"/>
      <c r="AB47" s="1943"/>
      <c r="AC47" s="1944"/>
      <c r="AD47" s="1741">
        <v>0</v>
      </c>
      <c r="AE47" s="1943"/>
      <c r="AF47" s="1945"/>
      <c r="AG47" s="1741">
        <v>0</v>
      </c>
      <c r="AH47" s="269"/>
      <c r="AI47" s="51"/>
      <c r="AJ47" s="920">
        <f t="shared" si="1"/>
        <v>0</v>
      </c>
      <c r="AK47" s="920"/>
      <c r="AL47" s="1406">
        <f t="shared" si="6"/>
        <v>0</v>
      </c>
    </row>
    <row r="48" spans="1:38" ht="15" customHeight="1">
      <c r="A48" s="144"/>
      <c r="B48" s="869" t="s">
        <v>974</v>
      </c>
      <c r="C48" s="28"/>
      <c r="D48" s="663">
        <v>0</v>
      </c>
      <c r="E48" s="793"/>
      <c r="F48" s="3767">
        <f t="shared" si="5"/>
        <v>0</v>
      </c>
      <c r="G48" s="793"/>
      <c r="H48" s="663"/>
      <c r="I48" s="793"/>
      <c r="J48" s="3767"/>
      <c r="K48" s="1495"/>
      <c r="L48" s="3767"/>
      <c r="M48" s="1495"/>
      <c r="N48" s="3767"/>
      <c r="O48" s="1495"/>
      <c r="P48" s="3767"/>
      <c r="Q48" s="1941"/>
      <c r="R48" s="1741"/>
      <c r="S48" s="1941"/>
      <c r="T48" s="1741"/>
      <c r="U48" s="1941"/>
      <c r="V48" s="1741"/>
      <c r="W48" s="1941"/>
      <c r="X48" s="1741"/>
      <c r="Y48" s="1941"/>
      <c r="Z48" s="1741"/>
      <c r="AA48" s="1942"/>
      <c r="AB48" s="1943"/>
      <c r="AC48" s="1944"/>
      <c r="AD48" s="1741">
        <v>0</v>
      </c>
      <c r="AE48" s="1943"/>
      <c r="AF48" s="1945"/>
      <c r="AG48" s="1741">
        <v>0</v>
      </c>
      <c r="AH48" s="269"/>
      <c r="AI48" s="51"/>
      <c r="AJ48" s="920">
        <f t="shared" si="1"/>
        <v>0</v>
      </c>
      <c r="AK48" s="920"/>
      <c r="AL48" s="1406">
        <f t="shared" si="6"/>
        <v>0</v>
      </c>
    </row>
    <row r="49" spans="1:38" s="864" customFormat="1" ht="15" customHeight="1">
      <c r="A49" s="1047"/>
      <c r="B49" s="869" t="s">
        <v>975</v>
      </c>
      <c r="C49" s="101"/>
      <c r="D49" s="663">
        <v>0.3</v>
      </c>
      <c r="E49" s="793"/>
      <c r="F49" s="3767">
        <f t="shared" si="5"/>
        <v>0</v>
      </c>
      <c r="G49" s="793"/>
      <c r="H49" s="663"/>
      <c r="I49" s="793"/>
      <c r="J49" s="3767"/>
      <c r="K49" s="1495"/>
      <c r="L49" s="3767"/>
      <c r="M49" s="1495"/>
      <c r="N49" s="3767"/>
      <c r="O49" s="1495"/>
      <c r="P49" s="3767"/>
      <c r="Q49" s="1941"/>
      <c r="R49" s="1741"/>
      <c r="S49" s="1941"/>
      <c r="T49" s="1741"/>
      <c r="U49" s="1941"/>
      <c r="V49" s="1741"/>
      <c r="W49" s="1941"/>
      <c r="X49" s="1741"/>
      <c r="Y49" s="1941"/>
      <c r="Z49" s="1741"/>
      <c r="AA49" s="1942"/>
      <c r="AB49" s="1943"/>
      <c r="AC49" s="1944"/>
      <c r="AD49" s="1741">
        <v>0.3</v>
      </c>
      <c r="AE49" s="1943"/>
      <c r="AF49" s="1945"/>
      <c r="AG49" s="1741">
        <v>1.7</v>
      </c>
      <c r="AH49" s="1050"/>
      <c r="AI49" s="62"/>
      <c r="AJ49" s="1001">
        <f t="shared" si="1"/>
        <v>-1.4</v>
      </c>
      <c r="AK49" s="1001"/>
      <c r="AL49" s="1677">
        <f>ROUND(IF(AG49=0,1,AJ49/ABS(AG49)),3)</f>
        <v>-0.82399999999999995</v>
      </c>
    </row>
    <row r="50" spans="1:38" s="864" customFormat="1" ht="15" customHeight="1">
      <c r="A50" s="1047"/>
      <c r="B50" s="869" t="s">
        <v>948</v>
      </c>
      <c r="C50" s="101"/>
      <c r="D50" s="663">
        <v>0</v>
      </c>
      <c r="E50" s="793"/>
      <c r="F50" s="3767">
        <f t="shared" si="5"/>
        <v>0</v>
      </c>
      <c r="G50" s="793"/>
      <c r="H50" s="663"/>
      <c r="I50" s="793"/>
      <c r="J50" s="3767"/>
      <c r="K50" s="1495"/>
      <c r="L50" s="3767"/>
      <c r="M50" s="1495"/>
      <c r="N50" s="3767"/>
      <c r="O50" s="1495"/>
      <c r="P50" s="3767"/>
      <c r="Q50" s="1941"/>
      <c r="R50" s="1741"/>
      <c r="S50" s="1941"/>
      <c r="T50" s="1741"/>
      <c r="U50" s="1941"/>
      <c r="V50" s="1741"/>
      <c r="W50" s="1941"/>
      <c r="X50" s="1741"/>
      <c r="Y50" s="1941"/>
      <c r="Z50" s="1741"/>
      <c r="AA50" s="1942"/>
      <c r="AB50" s="1943"/>
      <c r="AC50" s="1944"/>
      <c r="AD50" s="1741">
        <v>0</v>
      </c>
      <c r="AE50" s="1943"/>
      <c r="AF50" s="1945"/>
      <c r="AG50" s="1741">
        <v>0</v>
      </c>
      <c r="AH50" s="1050"/>
      <c r="AI50" s="62"/>
      <c r="AJ50" s="1001">
        <f t="shared" si="1"/>
        <v>0</v>
      </c>
      <c r="AK50" s="1001"/>
      <c r="AL50" s="1677">
        <f>ROUND(IF(AG50=0,0,AJ50/ABS(AG50)),3)</f>
        <v>0</v>
      </c>
    </row>
    <row r="51" spans="1:38" s="864" customFormat="1" ht="15" customHeight="1">
      <c r="A51" s="1047"/>
      <c r="B51" s="869" t="s">
        <v>949</v>
      </c>
      <c r="C51" s="101"/>
      <c r="D51" s="663">
        <v>0</v>
      </c>
      <c r="E51" s="793"/>
      <c r="F51" s="3767">
        <f t="shared" si="5"/>
        <v>0</v>
      </c>
      <c r="G51" s="793"/>
      <c r="H51" s="663"/>
      <c r="I51" s="793"/>
      <c r="J51" s="3767"/>
      <c r="K51" s="1495"/>
      <c r="L51" s="3767"/>
      <c r="M51" s="1495"/>
      <c r="N51" s="3767"/>
      <c r="O51" s="1495"/>
      <c r="P51" s="3767"/>
      <c r="Q51" s="1941"/>
      <c r="R51" s="1741"/>
      <c r="S51" s="1941"/>
      <c r="T51" s="1741"/>
      <c r="U51" s="1941"/>
      <c r="V51" s="1741"/>
      <c r="W51" s="1941"/>
      <c r="X51" s="1741"/>
      <c r="Y51" s="1941"/>
      <c r="Z51" s="1741"/>
      <c r="AA51" s="1942"/>
      <c r="AB51" s="1943"/>
      <c r="AC51" s="1944"/>
      <c r="AD51" s="1741">
        <v>0</v>
      </c>
      <c r="AE51" s="1943"/>
      <c r="AF51" s="1945"/>
      <c r="AG51" s="1741">
        <v>0</v>
      </c>
      <c r="AH51" s="1050"/>
      <c r="AI51" s="62"/>
      <c r="AJ51" s="1001">
        <f t="shared" si="1"/>
        <v>0</v>
      </c>
      <c r="AK51" s="1001"/>
      <c r="AL51" s="1677">
        <f>ROUND(IF(AG51=0,0,AJ51/ABS(AG51)),3)</f>
        <v>0</v>
      </c>
    </row>
    <row r="52" spans="1:38" s="864" customFormat="1" ht="15" customHeight="1">
      <c r="A52" s="1047"/>
      <c r="B52" s="304" t="s">
        <v>1076</v>
      </c>
      <c r="C52" s="101"/>
      <c r="D52" s="1051">
        <f>ROUND(SUM(D19:D51),1)</f>
        <v>17</v>
      </c>
      <c r="E52" s="868"/>
      <c r="F52" s="1051">
        <f>ROUND(SUM(F19:F51),1)</f>
        <v>55.6</v>
      </c>
      <c r="G52" s="868"/>
      <c r="H52" s="1051">
        <f>ROUND(SUM(H19:H51),1)</f>
        <v>0</v>
      </c>
      <c r="I52" s="868"/>
      <c r="J52" s="1051">
        <f>ROUND(SUM(J19:J51),1)</f>
        <v>0</v>
      </c>
      <c r="K52" s="134"/>
      <c r="L52" s="1051">
        <f>ROUND(SUM(L19:L51),1)</f>
        <v>0</v>
      </c>
      <c r="M52" s="134"/>
      <c r="N52" s="1051">
        <f>ROUND(SUM(N19:N51),1)</f>
        <v>0</v>
      </c>
      <c r="O52" s="134"/>
      <c r="P52" s="1946">
        <f>ROUND(SUM(P19:P51),1)</f>
        <v>0</v>
      </c>
      <c r="Q52" s="1934"/>
      <c r="R52" s="1946">
        <f>ROUND(SUM(R19:R51),1)</f>
        <v>0</v>
      </c>
      <c r="S52" s="1934"/>
      <c r="T52" s="1946">
        <f>ROUND(SUM(T19:T51),1)</f>
        <v>0</v>
      </c>
      <c r="U52" s="1934"/>
      <c r="V52" s="1946">
        <f>ROUND(SUM(V19:V51),1)</f>
        <v>0</v>
      </c>
      <c r="W52" s="1938"/>
      <c r="X52" s="1946">
        <f>ROUND(SUM(X19:X51),1)</f>
        <v>0</v>
      </c>
      <c r="Y52" s="1938"/>
      <c r="Z52" s="1946">
        <f>ROUND(SUM(Z19:Z51),1)</f>
        <v>0</v>
      </c>
      <c r="AA52" s="1947"/>
      <c r="AB52" s="1934"/>
      <c r="AC52" s="1939"/>
      <c r="AD52" s="1946">
        <f>ROUND(SUM(AD19:AD51),1)</f>
        <v>72.599999999999994</v>
      </c>
      <c r="AE52" s="1938"/>
      <c r="AF52" s="1940"/>
      <c r="AG52" s="1946">
        <f>ROUND(SUM(AG19:AG51),1)</f>
        <v>58.7</v>
      </c>
      <c r="AH52" s="1050"/>
      <c r="AI52" s="62"/>
      <c r="AJ52" s="1051">
        <f>ROUND(SUM(AJ19:AJ51),1)</f>
        <v>13.9</v>
      </c>
      <c r="AK52" s="1001"/>
      <c r="AL52" s="1418">
        <f>ROUND(SUM((AD52-AG52)/ABS(AG52)),3)</f>
        <v>0.23699999999999999</v>
      </c>
    </row>
    <row r="53" spans="1:38" s="864" customFormat="1" ht="15" customHeight="1">
      <c r="A53" s="1047"/>
      <c r="B53" s="869"/>
      <c r="C53" s="101"/>
      <c r="D53" s="663"/>
      <c r="E53" s="868"/>
      <c r="F53" s="1099"/>
      <c r="G53" s="868"/>
      <c r="H53" s="872"/>
      <c r="I53" s="868"/>
      <c r="J53" s="872"/>
      <c r="K53" s="134"/>
      <c r="L53" s="872"/>
      <c r="M53" s="134"/>
      <c r="N53" s="112"/>
      <c r="O53" s="134"/>
      <c r="P53" s="1933"/>
      <c r="Q53" s="1934"/>
      <c r="R53" s="1935"/>
      <c r="S53" s="1934"/>
      <c r="T53" s="1936"/>
      <c r="U53" s="1934"/>
      <c r="V53" s="1937"/>
      <c r="W53" s="1938"/>
      <c r="X53" s="1937"/>
      <c r="Y53" s="1938"/>
      <c r="Z53" s="1937"/>
      <c r="AA53" s="1937"/>
      <c r="AB53" s="1934"/>
      <c r="AC53" s="1939"/>
      <c r="AD53" s="1938"/>
      <c r="AE53" s="1938"/>
      <c r="AF53" s="1940"/>
      <c r="AG53" s="1938"/>
      <c r="AH53" s="1050"/>
      <c r="AI53" s="62"/>
      <c r="AJ53" s="1001"/>
      <c r="AK53" s="1001"/>
      <c r="AL53" s="1416"/>
    </row>
    <row r="54" spans="1:38" ht="15" customHeight="1">
      <c r="A54" s="144"/>
      <c r="B54" s="274" t="s">
        <v>146</v>
      </c>
      <c r="C54" s="28"/>
      <c r="D54" s="663">
        <v>6617.3</v>
      </c>
      <c r="E54" s="793"/>
      <c r="F54" s="3767">
        <f t="shared" ref="F54" si="7">$AD54-D54</f>
        <v>7336.9000000000005</v>
      </c>
      <c r="G54" s="793"/>
      <c r="H54" s="663"/>
      <c r="I54" s="793"/>
      <c r="J54" s="3767"/>
      <c r="K54" s="1495"/>
      <c r="L54" s="3767"/>
      <c r="M54" s="1495"/>
      <c r="N54" s="3767"/>
      <c r="O54" s="1495"/>
      <c r="P54" s="3767"/>
      <c r="Q54" s="1941"/>
      <c r="R54" s="1741"/>
      <c r="S54" s="1941"/>
      <c r="T54" s="1741"/>
      <c r="U54" s="1941"/>
      <c r="V54" s="1741"/>
      <c r="W54" s="1941"/>
      <c r="X54" s="1741"/>
      <c r="Y54" s="1941"/>
      <c r="Z54" s="1741"/>
      <c r="AA54" s="1942"/>
      <c r="AB54" s="1943"/>
      <c r="AC54" s="1944"/>
      <c r="AD54" s="1741">
        <v>13954.2</v>
      </c>
      <c r="AE54" s="1943"/>
      <c r="AF54" s="1945"/>
      <c r="AG54" s="1741">
        <v>25381.3</v>
      </c>
      <c r="AH54" s="269"/>
      <c r="AI54" s="51"/>
      <c r="AJ54" s="920">
        <f>ROUND(SUM(+AD54-AG54),1)</f>
        <v>-11427.1</v>
      </c>
      <c r="AK54" s="920"/>
      <c r="AL54" s="1419">
        <f>ROUND(SUM((AD54-AG54)/ABS(AG54)),3)</f>
        <v>-0.45</v>
      </c>
    </row>
    <row r="55" spans="1:38" ht="15" customHeight="1">
      <c r="A55" s="144"/>
      <c r="B55" s="28"/>
      <c r="C55" s="28"/>
      <c r="D55" s="1792"/>
      <c r="E55" s="793"/>
      <c r="F55" s="3592"/>
      <c r="G55" s="793"/>
      <c r="H55" s="1792"/>
      <c r="I55" s="793"/>
      <c r="J55" s="1792"/>
      <c r="K55" s="159"/>
      <c r="L55" s="1792"/>
      <c r="M55" s="159"/>
      <c r="N55" s="162"/>
      <c r="O55" s="159"/>
      <c r="P55" s="1435"/>
      <c r="Q55" s="1431"/>
      <c r="R55" s="1435"/>
      <c r="S55" s="1431"/>
      <c r="T55" s="1948"/>
      <c r="U55" s="1431"/>
      <c r="V55" s="1948"/>
      <c r="W55" s="1949"/>
      <c r="X55" s="1948"/>
      <c r="Y55" s="1949"/>
      <c r="Z55" s="1948"/>
      <c r="AA55" s="1950"/>
      <c r="AB55" s="1431"/>
      <c r="AC55" s="1951"/>
      <c r="AD55" s="1994"/>
      <c r="AE55" s="1920"/>
      <c r="AF55" s="1940"/>
      <c r="AG55" s="1994"/>
      <c r="AH55" s="269"/>
      <c r="AI55" s="51"/>
      <c r="AJ55" s="1380"/>
      <c r="AK55" s="1381"/>
      <c r="AL55" s="1420"/>
    </row>
    <row r="56" spans="1:38" ht="15" customHeight="1">
      <c r="A56" s="144"/>
      <c r="B56" s="26" t="s">
        <v>147</v>
      </c>
      <c r="C56" s="28"/>
      <c r="D56" s="899">
        <f>ROUND(SUM(+D52+D54),2)</f>
        <v>6634.3</v>
      </c>
      <c r="E56" s="201"/>
      <c r="F56" s="106">
        <f>ROUND(SUM(+F52+F54),2)</f>
        <v>7392.5</v>
      </c>
      <c r="G56" s="201"/>
      <c r="H56" s="899">
        <f>ROUND(SUM(+H52+H54),2)</f>
        <v>0</v>
      </c>
      <c r="I56" s="201"/>
      <c r="J56" s="899">
        <f>ROUND(SUM(+J52+J54),2)</f>
        <v>0</v>
      </c>
      <c r="K56" s="201"/>
      <c r="L56" s="899">
        <f>ROUND(SUM(+L52+L54),2)</f>
        <v>0</v>
      </c>
      <c r="M56" s="201"/>
      <c r="N56" s="899">
        <f>ROUND(SUM(+N52+N54),2)</f>
        <v>0</v>
      </c>
      <c r="O56" s="201"/>
      <c r="P56" s="1429">
        <f>ROUND(SUM(+P52+P54),2)</f>
        <v>0</v>
      </c>
      <c r="Q56" s="1953"/>
      <c r="R56" s="1429">
        <f>ROUND(SUM(+R52+R54),2)</f>
        <v>0</v>
      </c>
      <c r="S56" s="1953"/>
      <c r="T56" s="1429">
        <f>ROUND(SUM(+T52+T54),2)</f>
        <v>0</v>
      </c>
      <c r="U56" s="1953"/>
      <c r="V56" s="1429">
        <f>ROUND(SUM(+V52+V54),2)</f>
        <v>0</v>
      </c>
      <c r="W56" s="1429"/>
      <c r="X56" s="1429">
        <f>ROUND(SUM(+X52+X54),2)</f>
        <v>0</v>
      </c>
      <c r="Y56" s="1429"/>
      <c r="Z56" s="1429">
        <f>ROUND(SUM(+Z52+Z54),2)</f>
        <v>0</v>
      </c>
      <c r="AA56" s="1429"/>
      <c r="AB56" s="1953"/>
      <c r="AC56" s="1954"/>
      <c r="AD56" s="1993">
        <f>ROUND(SUM(+AD52+AD54),1)</f>
        <v>14026.8</v>
      </c>
      <c r="AE56" s="1430"/>
      <c r="AF56" s="3048"/>
      <c r="AG56" s="1993">
        <f>ROUND(SUM(+AG52+AG54),1)</f>
        <v>25440</v>
      </c>
      <c r="AH56" s="276"/>
      <c r="AI56" s="71"/>
      <c r="AJ56" s="806">
        <f>ROUND(SUM(+AJ52+AJ54),1)</f>
        <v>-11413.2</v>
      </c>
      <c r="AK56" s="278"/>
      <c r="AL56" s="1421">
        <f>ROUND(SUM((AD56-AG56)/ABS(AG56)),3)</f>
        <v>-0.44900000000000001</v>
      </c>
    </row>
    <row r="57" spans="1:38" ht="15" customHeight="1">
      <c r="A57" s="144"/>
      <c r="B57" s="28"/>
      <c r="C57" s="28"/>
      <c r="D57" s="1792"/>
      <c r="E57" s="793"/>
      <c r="F57" s="1019"/>
      <c r="G57" s="793"/>
      <c r="H57" s="667"/>
      <c r="I57" s="793"/>
      <c r="J57" s="667"/>
      <c r="K57" s="159"/>
      <c r="L57" s="667"/>
      <c r="M57" s="159"/>
      <c r="N57" s="83"/>
      <c r="O57" s="159"/>
      <c r="P57" s="1948"/>
      <c r="Q57" s="1431"/>
      <c r="R57" s="1948"/>
      <c r="S57" s="1431"/>
      <c r="T57" s="1948"/>
      <c r="U57" s="1431"/>
      <c r="V57" s="1994"/>
      <c r="W57" s="1938"/>
      <c r="X57" s="1994"/>
      <c r="Y57" s="1938"/>
      <c r="Z57" s="1994"/>
      <c r="AA57" s="1920"/>
      <c r="AB57" s="1934"/>
      <c r="AC57" s="1939"/>
      <c r="AD57" s="2109"/>
      <c r="AE57" s="1961"/>
      <c r="AF57" s="3074"/>
      <c r="AG57" s="2109"/>
      <c r="AH57" s="1761"/>
      <c r="AI57" s="1066"/>
      <c r="AJ57" s="1762"/>
      <c r="AK57" s="1762"/>
      <c r="AL57" s="1763"/>
    </row>
    <row r="58" spans="1:38" ht="15" customHeight="1">
      <c r="A58" s="144"/>
      <c r="B58" s="167" t="s">
        <v>22</v>
      </c>
      <c r="C58" s="28"/>
      <c r="D58" s="793"/>
      <c r="E58" s="793"/>
      <c r="F58" s="872"/>
      <c r="G58" s="793"/>
      <c r="H58" s="1489"/>
      <c r="I58" s="793"/>
      <c r="J58" s="1489"/>
      <c r="K58" s="159"/>
      <c r="L58" s="1489"/>
      <c r="M58" s="159"/>
      <c r="N58" s="61"/>
      <c r="O58" s="159"/>
      <c r="P58" s="1949"/>
      <c r="Q58" s="1431"/>
      <c r="R58" s="1949"/>
      <c r="S58" s="1431"/>
      <c r="T58" s="1949"/>
      <c r="U58" s="1431"/>
      <c r="V58" s="1938"/>
      <c r="W58" s="1938"/>
      <c r="X58" s="1938"/>
      <c r="Y58" s="1938"/>
      <c r="Z58" s="1938"/>
      <c r="AA58" s="1938"/>
      <c r="AB58" s="1934"/>
      <c r="AC58" s="1939"/>
      <c r="AD58" s="1934"/>
      <c r="AE58" s="1961"/>
      <c r="AF58" s="3074"/>
      <c r="AG58" s="1934"/>
      <c r="AH58" s="1761"/>
      <c r="AI58" s="1066"/>
      <c r="AJ58" s="1762"/>
      <c r="AK58" s="1762"/>
      <c r="AL58" s="1763"/>
    </row>
    <row r="59" spans="1:38" ht="15" customHeight="1">
      <c r="A59" s="144"/>
      <c r="B59" s="669" t="s">
        <v>148</v>
      </c>
      <c r="C59" s="28"/>
      <c r="D59" s="661"/>
      <c r="E59" s="793"/>
      <c r="F59" s="663"/>
      <c r="G59" s="793"/>
      <c r="H59" s="663"/>
      <c r="I59" s="793"/>
      <c r="J59" s="663"/>
      <c r="K59" s="159"/>
      <c r="L59" s="663"/>
      <c r="M59" s="159"/>
      <c r="N59" s="113"/>
      <c r="O59" s="159"/>
      <c r="P59" s="1957"/>
      <c r="Q59" s="1431"/>
      <c r="R59" s="1958"/>
      <c r="S59" s="1431"/>
      <c r="T59" s="1958"/>
      <c r="U59" s="1431"/>
      <c r="V59" s="1938"/>
      <c r="W59" s="1938"/>
      <c r="X59" s="1938"/>
      <c r="Y59" s="1938"/>
      <c r="Z59" s="1938"/>
      <c r="AA59" s="1938"/>
      <c r="AB59" s="1934"/>
      <c r="AC59" s="1939"/>
      <c r="AD59" s="1934"/>
      <c r="AE59" s="1961"/>
      <c r="AF59" s="3074"/>
      <c r="AG59" s="1934"/>
      <c r="AH59" s="1761"/>
      <c r="AI59" s="1066"/>
      <c r="AJ59" s="1749"/>
      <c r="AK59" s="1762"/>
      <c r="AL59" s="1767"/>
    </row>
    <row r="60" spans="1:38" s="864" customFormat="1" ht="15" customHeight="1">
      <c r="A60" s="1047"/>
      <c r="B60" s="1765" t="s">
        <v>24</v>
      </c>
      <c r="C60" s="101"/>
      <c r="D60" s="663">
        <v>545.5</v>
      </c>
      <c r="E60" s="793"/>
      <c r="F60" s="3767">
        <f t="shared" ref="F60:F69" si="8">$AD60-D60</f>
        <v>758.7</v>
      </c>
      <c r="G60" s="793"/>
      <c r="H60" s="663"/>
      <c r="I60" s="793"/>
      <c r="J60" s="3767"/>
      <c r="K60" s="1495"/>
      <c r="L60" s="3767"/>
      <c r="M60" s="1495"/>
      <c r="N60" s="3767"/>
      <c r="O60" s="663"/>
      <c r="P60" s="3767"/>
      <c r="Q60" s="1941"/>
      <c r="R60" s="1741"/>
      <c r="S60" s="1941"/>
      <c r="T60" s="1741"/>
      <c r="U60" s="1941"/>
      <c r="V60" s="1741"/>
      <c r="W60" s="1941"/>
      <c r="X60" s="1741"/>
      <c r="Y60" s="1941"/>
      <c r="Z60" s="1741"/>
      <c r="AA60" s="1942"/>
      <c r="AB60" s="1943"/>
      <c r="AC60" s="1944"/>
      <c r="AD60" s="1741">
        <v>1304.2</v>
      </c>
      <c r="AE60" s="1943"/>
      <c r="AF60" s="1945"/>
      <c r="AG60" s="1741">
        <v>753.9</v>
      </c>
      <c r="AH60" s="1050"/>
      <c r="AI60" s="62"/>
      <c r="AJ60" s="872">
        <f>ROUND(SUM(+AD60-AG60),1)</f>
        <v>550.29999999999995</v>
      </c>
      <c r="AK60" s="872"/>
      <c r="AL60" s="1677">
        <f>ROUND(IF(AG60=0,0,AJ60/ABS(AG60)),3)</f>
        <v>0.73</v>
      </c>
    </row>
    <row r="61" spans="1:38" ht="15" customHeight="1">
      <c r="A61" s="144"/>
      <c r="B61" s="173" t="s">
        <v>25</v>
      </c>
      <c r="C61" s="28"/>
      <c r="D61" s="663">
        <v>0</v>
      </c>
      <c r="E61" s="793"/>
      <c r="F61" s="3767">
        <f t="shared" si="8"/>
        <v>0</v>
      </c>
      <c r="G61" s="793"/>
      <c r="H61" s="663"/>
      <c r="I61" s="793"/>
      <c r="J61" s="3767"/>
      <c r="K61" s="1495"/>
      <c r="L61" s="3767"/>
      <c r="M61" s="1495"/>
      <c r="N61" s="3767"/>
      <c r="O61" s="1495"/>
      <c r="P61" s="3767"/>
      <c r="Q61" s="1941"/>
      <c r="R61" s="1741"/>
      <c r="S61" s="1941"/>
      <c r="T61" s="1741"/>
      <c r="U61" s="1941"/>
      <c r="V61" s="1741"/>
      <c r="W61" s="1941"/>
      <c r="X61" s="1741"/>
      <c r="Y61" s="1941"/>
      <c r="Z61" s="1741"/>
      <c r="AA61" s="1942"/>
      <c r="AB61" s="1943"/>
      <c r="AC61" s="1944"/>
      <c r="AD61" s="1741">
        <v>0</v>
      </c>
      <c r="AE61" s="1943"/>
      <c r="AF61" s="1945"/>
      <c r="AG61" s="1741">
        <v>0.4</v>
      </c>
      <c r="AH61" s="1050"/>
      <c r="AI61" s="62"/>
      <c r="AJ61" s="872">
        <f>ROUND(SUM(+AD61-AG61),1)</f>
        <v>-0.4</v>
      </c>
      <c r="AK61" s="872"/>
      <c r="AL61" s="1781">
        <f>ROUND(IF(AG61=0,1,AJ61/ABS(AG61)),3)</f>
        <v>-1</v>
      </c>
    </row>
    <row r="62" spans="1:38" s="864" customFormat="1" ht="15" customHeight="1">
      <c r="A62" s="1047"/>
      <c r="B62" s="1765" t="s">
        <v>26</v>
      </c>
      <c r="C62" s="101"/>
      <c r="D62" s="663">
        <v>1.1000000000000001</v>
      </c>
      <c r="E62" s="793"/>
      <c r="F62" s="3767">
        <f t="shared" si="8"/>
        <v>11.5</v>
      </c>
      <c r="G62" s="793"/>
      <c r="H62" s="663"/>
      <c r="I62" s="793"/>
      <c r="J62" s="3767"/>
      <c r="K62" s="1495"/>
      <c r="L62" s="3767"/>
      <c r="M62" s="1495"/>
      <c r="N62" s="3767"/>
      <c r="O62" s="1495"/>
      <c r="P62" s="3767"/>
      <c r="Q62" s="1941"/>
      <c r="R62" s="1741"/>
      <c r="S62" s="1941"/>
      <c r="T62" s="1741"/>
      <c r="U62" s="1941"/>
      <c r="V62" s="1741"/>
      <c r="W62" s="1941"/>
      <c r="X62" s="1741"/>
      <c r="Y62" s="1941"/>
      <c r="Z62" s="1741"/>
      <c r="AA62" s="1942"/>
      <c r="AB62" s="1943"/>
      <c r="AC62" s="1944"/>
      <c r="AD62" s="1741">
        <v>12.6</v>
      </c>
      <c r="AE62" s="1943"/>
      <c r="AF62" s="1945"/>
      <c r="AG62" s="1741">
        <v>33.1</v>
      </c>
      <c r="AH62" s="1050"/>
      <c r="AI62" s="62"/>
      <c r="AJ62" s="872">
        <f>ROUND(SUM(+AD62-AG62),1)</f>
        <v>-20.5</v>
      </c>
      <c r="AK62" s="872"/>
      <c r="AL62" s="3657">
        <f>ROUND(IF(AG62=0,0,AJ62/ABS(AG62)),3)</f>
        <v>-0.61899999999999999</v>
      </c>
    </row>
    <row r="63" spans="1:38" s="864" customFormat="1" ht="15" customHeight="1">
      <c r="A63" s="1047"/>
      <c r="B63" s="1765" t="s">
        <v>27</v>
      </c>
      <c r="C63" s="101"/>
      <c r="D63" s="663" t="s">
        <v>14</v>
      </c>
      <c r="E63" s="793"/>
      <c r="F63" s="3767"/>
      <c r="G63" s="793"/>
      <c r="H63" s="663"/>
      <c r="I63" s="793"/>
      <c r="J63" s="3767"/>
      <c r="K63" s="1495"/>
      <c r="L63" s="3767"/>
      <c r="M63" s="1495"/>
      <c r="N63" s="3767"/>
      <c r="O63" s="1495"/>
      <c r="P63" s="3767"/>
      <c r="Q63" s="1941"/>
      <c r="R63" s="1741"/>
      <c r="S63" s="1941"/>
      <c r="T63" s="1741"/>
      <c r="U63" s="1941"/>
      <c r="V63" s="1741"/>
      <c r="W63" s="1941"/>
      <c r="X63" s="1741"/>
      <c r="Y63" s="1941"/>
      <c r="Z63" s="1741"/>
      <c r="AA63" s="1942"/>
      <c r="AB63" s="1943"/>
      <c r="AC63" s="1944"/>
      <c r="AD63" s="1741"/>
      <c r="AE63" s="1943"/>
      <c r="AF63" s="1945"/>
      <c r="AG63" s="1741"/>
      <c r="AH63" s="1050"/>
      <c r="AI63" s="62"/>
      <c r="AJ63" s="663"/>
      <c r="AK63" s="1749"/>
      <c r="AL63" s="1767"/>
    </row>
    <row r="64" spans="1:38" s="864" customFormat="1" ht="15" customHeight="1">
      <c r="A64" s="1047"/>
      <c r="B64" s="1766" t="s">
        <v>28</v>
      </c>
      <c r="C64" s="101"/>
      <c r="D64" s="663">
        <v>4771.8</v>
      </c>
      <c r="E64" s="793"/>
      <c r="F64" s="3767">
        <f t="shared" si="8"/>
        <v>3972.4999999999991</v>
      </c>
      <c r="G64" s="793"/>
      <c r="H64" s="663"/>
      <c r="I64" s="793"/>
      <c r="J64" s="3767"/>
      <c r="K64" s="1495"/>
      <c r="L64" s="3767"/>
      <c r="M64" s="1495"/>
      <c r="N64" s="3767"/>
      <c r="O64" s="1495"/>
      <c r="P64" s="3767"/>
      <c r="Q64" s="1941"/>
      <c r="R64" s="1741"/>
      <c r="S64" s="1941"/>
      <c r="T64" s="1741"/>
      <c r="U64" s="1941"/>
      <c r="V64" s="1741"/>
      <c r="W64" s="1941"/>
      <c r="X64" s="1741"/>
      <c r="Y64" s="1941"/>
      <c r="Z64" s="1741"/>
      <c r="AA64" s="1942"/>
      <c r="AB64" s="1943"/>
      <c r="AC64" s="1944"/>
      <c r="AD64" s="1741">
        <v>8744.2999999999993</v>
      </c>
      <c r="AE64" s="1943"/>
      <c r="AF64" s="1945"/>
      <c r="AG64" s="1741">
        <v>7111.7</v>
      </c>
      <c r="AH64" s="1050"/>
      <c r="AI64" s="62"/>
      <c r="AJ64" s="872">
        <f t="shared" ref="AJ64:AJ69" si="9">ROUND(SUM(+AD64-AG64),1)</f>
        <v>1632.6</v>
      </c>
      <c r="AK64" s="872"/>
      <c r="AL64" s="1677">
        <f t="shared" ref="AL64:AL69" si="10">ROUND(IF(AG64=0,0,AJ64/ABS(AG64)),3)</f>
        <v>0.23</v>
      </c>
    </row>
    <row r="65" spans="1:38" s="864" customFormat="1" ht="15" customHeight="1">
      <c r="A65" s="1047"/>
      <c r="B65" s="1765" t="s">
        <v>29</v>
      </c>
      <c r="C65" s="101"/>
      <c r="D65" s="663">
        <v>459.6</v>
      </c>
      <c r="E65" s="793"/>
      <c r="F65" s="3767">
        <f t="shared" si="8"/>
        <v>608.4</v>
      </c>
      <c r="G65" s="793"/>
      <c r="H65" s="663"/>
      <c r="I65" s="793"/>
      <c r="J65" s="3767"/>
      <c r="K65" s="1495"/>
      <c r="L65" s="3767"/>
      <c r="M65" s="1495"/>
      <c r="N65" s="3767"/>
      <c r="O65" s="1495"/>
      <c r="P65" s="3767"/>
      <c r="Q65" s="1941"/>
      <c r="R65" s="1741"/>
      <c r="S65" s="1941"/>
      <c r="T65" s="1741"/>
      <c r="U65" s="1941"/>
      <c r="V65" s="1741"/>
      <c r="W65" s="1941"/>
      <c r="X65" s="1741"/>
      <c r="Y65" s="1941"/>
      <c r="Z65" s="1741"/>
      <c r="AA65" s="1942"/>
      <c r="AB65" s="1943"/>
      <c r="AC65" s="1944"/>
      <c r="AD65" s="1741">
        <v>1068</v>
      </c>
      <c r="AE65" s="1943"/>
      <c r="AF65" s="1945"/>
      <c r="AG65" s="1741">
        <v>1031.3</v>
      </c>
      <c r="AH65" s="1050"/>
      <c r="AI65" s="62"/>
      <c r="AJ65" s="872">
        <f t="shared" si="9"/>
        <v>36.700000000000003</v>
      </c>
      <c r="AK65" s="872"/>
      <c r="AL65" s="1677">
        <f t="shared" si="10"/>
        <v>3.5999999999999997E-2</v>
      </c>
    </row>
    <row r="66" spans="1:38" s="864" customFormat="1" ht="15" customHeight="1">
      <c r="A66" s="1047"/>
      <c r="B66" s="1765" t="s">
        <v>30</v>
      </c>
      <c r="C66" s="101"/>
      <c r="D66" s="663">
        <v>57.9</v>
      </c>
      <c r="E66" s="793"/>
      <c r="F66" s="3767">
        <f t="shared" si="8"/>
        <v>103.29999999999998</v>
      </c>
      <c r="G66" s="793"/>
      <c r="H66" s="663"/>
      <c r="I66" s="793"/>
      <c r="J66" s="3767"/>
      <c r="K66" s="1495"/>
      <c r="L66" s="3767"/>
      <c r="M66" s="1495"/>
      <c r="N66" s="3767"/>
      <c r="O66" s="1495"/>
      <c r="P66" s="3767"/>
      <c r="Q66" s="1941"/>
      <c r="R66" s="1741"/>
      <c r="S66" s="1941"/>
      <c r="T66" s="1741"/>
      <c r="U66" s="1941"/>
      <c r="V66" s="1741"/>
      <c r="W66" s="1941"/>
      <c r="X66" s="1741"/>
      <c r="Y66" s="1941"/>
      <c r="Z66" s="1741"/>
      <c r="AA66" s="1942"/>
      <c r="AB66" s="1943"/>
      <c r="AC66" s="1944"/>
      <c r="AD66" s="1741">
        <v>161.19999999999999</v>
      </c>
      <c r="AE66" s="1943"/>
      <c r="AF66" s="1945"/>
      <c r="AG66" s="1741">
        <v>191.9</v>
      </c>
      <c r="AH66" s="1050"/>
      <c r="AI66" s="62"/>
      <c r="AJ66" s="872">
        <f t="shared" si="9"/>
        <v>-30.7</v>
      </c>
      <c r="AK66" s="872"/>
      <c r="AL66" s="1677">
        <f t="shared" si="10"/>
        <v>-0.16</v>
      </c>
    </row>
    <row r="67" spans="1:38" s="864" customFormat="1" ht="15" customHeight="1">
      <c r="A67" s="1047"/>
      <c r="B67" s="1765" t="s">
        <v>31</v>
      </c>
      <c r="C67" s="101"/>
      <c r="D67" s="663">
        <v>441.4</v>
      </c>
      <c r="E67" s="793"/>
      <c r="F67" s="3767">
        <f t="shared" si="8"/>
        <v>545.30000000000007</v>
      </c>
      <c r="G67" s="793"/>
      <c r="H67" s="663"/>
      <c r="I67" s="793"/>
      <c r="J67" s="3767"/>
      <c r="K67" s="1495"/>
      <c r="L67" s="3767"/>
      <c r="M67" s="1495"/>
      <c r="N67" s="3767"/>
      <c r="O67" s="1495"/>
      <c r="P67" s="3767"/>
      <c r="Q67" s="1941"/>
      <c r="R67" s="1741"/>
      <c r="S67" s="1941"/>
      <c r="T67" s="1741"/>
      <c r="U67" s="1941"/>
      <c r="V67" s="1741"/>
      <c r="W67" s="1941"/>
      <c r="X67" s="1741"/>
      <c r="Y67" s="1941"/>
      <c r="Z67" s="1741"/>
      <c r="AA67" s="1942"/>
      <c r="AB67" s="1943"/>
      <c r="AC67" s="1944"/>
      <c r="AD67" s="1741">
        <v>986.7</v>
      </c>
      <c r="AE67" s="1943"/>
      <c r="AF67" s="1945"/>
      <c r="AG67" s="1741">
        <v>358.9</v>
      </c>
      <c r="AH67" s="1050"/>
      <c r="AI67" s="62"/>
      <c r="AJ67" s="872">
        <f t="shared" si="9"/>
        <v>627.79999999999995</v>
      </c>
      <c r="AK67" s="872"/>
      <c r="AL67" s="1677">
        <f t="shared" si="10"/>
        <v>1.7490000000000001</v>
      </c>
    </row>
    <row r="68" spans="1:38" s="864" customFormat="1" ht="15" customHeight="1">
      <c r="A68" s="1047"/>
      <c r="B68" s="1765" t="s">
        <v>32</v>
      </c>
      <c r="C68" s="101"/>
      <c r="D68" s="663">
        <v>0</v>
      </c>
      <c r="E68" s="793"/>
      <c r="F68" s="3767">
        <f t="shared" si="8"/>
        <v>1.8</v>
      </c>
      <c r="G68" s="793"/>
      <c r="H68" s="663"/>
      <c r="I68" s="793"/>
      <c r="J68" s="3767"/>
      <c r="K68" s="1495"/>
      <c r="L68" s="3767"/>
      <c r="M68" s="1495"/>
      <c r="N68" s="3767"/>
      <c r="O68" s="1495"/>
      <c r="P68" s="3767"/>
      <c r="Q68" s="1941"/>
      <c r="R68" s="1741"/>
      <c r="S68" s="1941"/>
      <c r="T68" s="1741"/>
      <c r="U68" s="1941"/>
      <c r="V68" s="1741"/>
      <c r="W68" s="1941"/>
      <c r="X68" s="1741"/>
      <c r="Y68" s="1941"/>
      <c r="Z68" s="1741"/>
      <c r="AA68" s="1942"/>
      <c r="AB68" s="1943"/>
      <c r="AC68" s="1944"/>
      <c r="AD68" s="1742">
        <v>1.8</v>
      </c>
      <c r="AE68" s="1943"/>
      <c r="AF68" s="1945"/>
      <c r="AG68" s="1741">
        <v>0.2</v>
      </c>
      <c r="AH68" s="1050"/>
      <c r="AI68" s="62"/>
      <c r="AJ68" s="872">
        <f t="shared" si="9"/>
        <v>1.6</v>
      </c>
      <c r="AK68" s="872"/>
      <c r="AL68" s="1677">
        <f>ROUND(IF(AG68=0,1,AJ68/ABS(AG68)),3)</f>
        <v>8</v>
      </c>
    </row>
    <row r="69" spans="1:38" s="864" customFormat="1" ht="15" customHeight="1">
      <c r="A69" s="1047"/>
      <c r="B69" s="1765" t="s">
        <v>33</v>
      </c>
      <c r="C69" s="101"/>
      <c r="D69" s="663">
        <v>6</v>
      </c>
      <c r="E69" s="793"/>
      <c r="F69" s="3767">
        <f t="shared" si="8"/>
        <v>-5.0999999999999996</v>
      </c>
      <c r="G69" s="793"/>
      <c r="H69" s="663"/>
      <c r="I69" s="793"/>
      <c r="J69" s="3767"/>
      <c r="K69" s="1495"/>
      <c r="L69" s="3767"/>
      <c r="M69" s="1495"/>
      <c r="N69" s="3767"/>
      <c r="O69" s="1495"/>
      <c r="P69" s="3767"/>
      <c r="Q69" s="1941"/>
      <c r="R69" s="1741"/>
      <c r="S69" s="1941"/>
      <c r="T69" s="1741"/>
      <c r="U69" s="1941"/>
      <c r="V69" s="1741"/>
      <c r="W69" s="1941"/>
      <c r="X69" s="1741"/>
      <c r="Y69" s="1941"/>
      <c r="Z69" s="1741"/>
      <c r="AA69" s="1942"/>
      <c r="AB69" s="1943"/>
      <c r="AC69" s="1944"/>
      <c r="AD69" s="1741">
        <v>0.9</v>
      </c>
      <c r="AE69" s="1943"/>
      <c r="AF69" s="1945"/>
      <c r="AG69" s="1741">
        <v>5.8999999999999995</v>
      </c>
      <c r="AH69" s="1050"/>
      <c r="AI69" s="62"/>
      <c r="AJ69" s="872">
        <f t="shared" si="9"/>
        <v>-5</v>
      </c>
      <c r="AK69" s="1001"/>
      <c r="AL69" s="1764">
        <f t="shared" si="10"/>
        <v>-0.84699999999999998</v>
      </c>
    </row>
    <row r="70" spans="1:38" ht="15" customHeight="1">
      <c r="A70" s="144"/>
      <c r="B70" s="26" t="s">
        <v>1079</v>
      </c>
      <c r="C70" s="28"/>
      <c r="D70" s="288">
        <f>ROUND(SUM(D60:D69),2)</f>
        <v>6283.3</v>
      </c>
      <c r="E70" s="201"/>
      <c r="F70" s="1073">
        <f>ROUND(SUM(F60:F69),2)</f>
        <v>5996.4</v>
      </c>
      <c r="G70" s="160"/>
      <c r="H70" s="288">
        <f>ROUND(SUM(H60:H69),2)</f>
        <v>0</v>
      </c>
      <c r="I70" s="201"/>
      <c r="J70" s="288">
        <f>ROUND(SUM(J60:J69),2)</f>
        <v>0</v>
      </c>
      <c r="K70" s="201"/>
      <c r="L70" s="288">
        <f>ROUND(SUM(L60:L69),2)</f>
        <v>0</v>
      </c>
      <c r="M70" s="201"/>
      <c r="N70" s="288">
        <f>ROUND(SUM(N60:N69),2)</f>
        <v>0</v>
      </c>
      <c r="O70" s="201"/>
      <c r="P70" s="1959">
        <f>ROUND(SUM(P60:P69),2)</f>
        <v>0</v>
      </c>
      <c r="Q70" s="1953"/>
      <c r="R70" s="1959">
        <f>ROUND(SUM(R60:R69),2)</f>
        <v>0</v>
      </c>
      <c r="S70" s="1953"/>
      <c r="T70" s="1959">
        <f>ROUND(SUM(T60:T69),2)</f>
        <v>0</v>
      </c>
      <c r="U70" s="1953"/>
      <c r="V70" s="1959">
        <f>ROUND(SUM(V60:V69),2)</f>
        <v>0</v>
      </c>
      <c r="W70" s="1993"/>
      <c r="X70" s="2110">
        <f>ROUND(SUM(X60:X69),2)</f>
        <v>0</v>
      </c>
      <c r="Y70" s="1993"/>
      <c r="Z70" s="2110">
        <f>ROUND(SUM(Z60:Z69),2)</f>
        <v>0</v>
      </c>
      <c r="AA70" s="1430"/>
      <c r="AB70" s="2111"/>
      <c r="AC70" s="2112"/>
      <c r="AD70" s="1960">
        <f>ROUND(SUM(AD60:AD69),1)</f>
        <v>12279.7</v>
      </c>
      <c r="AE70" s="1430"/>
      <c r="AF70" s="3048"/>
      <c r="AG70" s="1960">
        <f>ROUND(SUM(AG60:AG69),1)</f>
        <v>9487.2999999999993</v>
      </c>
      <c r="AH70" s="1769"/>
      <c r="AI70" s="109"/>
      <c r="AJ70" s="105">
        <f>ROUND(SUM(AD70-AG70),1)</f>
        <v>2792.4</v>
      </c>
      <c r="AK70" s="2113"/>
      <c r="AL70" s="2114">
        <f>ROUND(SUM((AD70-AG70)/ABS(AG70)),3)</f>
        <v>0.29399999999999998</v>
      </c>
    </row>
    <row r="71" spans="1:38" s="864" customFormat="1" ht="15" customHeight="1">
      <c r="A71" s="1047"/>
      <c r="B71" s="101" t="s">
        <v>149</v>
      </c>
      <c r="C71" s="101"/>
      <c r="D71" s="793"/>
      <c r="E71" s="793"/>
      <c r="F71" s="872"/>
      <c r="G71" s="793"/>
      <c r="H71" s="1489"/>
      <c r="I71" s="793"/>
      <c r="J71" s="1489"/>
      <c r="K71" s="134"/>
      <c r="L71" s="1489"/>
      <c r="M71" s="134"/>
      <c r="N71" s="112"/>
      <c r="O71" s="134"/>
      <c r="P71" s="1938"/>
      <c r="Q71" s="1934"/>
      <c r="R71" s="1938"/>
      <c r="S71" s="1934"/>
      <c r="T71" s="1938"/>
      <c r="U71" s="1934"/>
      <c r="V71" s="1938"/>
      <c r="W71" s="1938"/>
      <c r="X71" s="1938"/>
      <c r="Y71" s="1938"/>
      <c r="Z71" s="1938"/>
      <c r="AA71" s="1938"/>
      <c r="AB71" s="1934"/>
      <c r="AC71" s="1939"/>
      <c r="AD71" s="1934"/>
      <c r="AE71" s="1961"/>
      <c r="AF71" s="3074"/>
      <c r="AG71" s="1934"/>
      <c r="AH71" s="1761"/>
      <c r="AI71" s="1066"/>
      <c r="AJ71" s="1762"/>
      <c r="AK71" s="1762"/>
      <c r="AL71" s="1763"/>
    </row>
    <row r="72" spans="1:38" s="864" customFormat="1" ht="15" customHeight="1">
      <c r="A72" s="1047"/>
      <c r="B72" s="101" t="s">
        <v>150</v>
      </c>
      <c r="C72" s="101"/>
      <c r="D72" s="663">
        <v>53.6</v>
      </c>
      <c r="E72" s="793"/>
      <c r="F72" s="3767">
        <f t="shared" ref="F72:F74" si="11">$AD72-D72</f>
        <v>54.499999999999993</v>
      </c>
      <c r="G72" s="793"/>
      <c r="H72" s="663"/>
      <c r="I72" s="793"/>
      <c r="J72" s="3767"/>
      <c r="K72" s="1495"/>
      <c r="L72" s="3767"/>
      <c r="M72" s="1495"/>
      <c r="N72" s="3767"/>
      <c r="O72" s="1495"/>
      <c r="P72" s="3767"/>
      <c r="Q72" s="1941"/>
      <c r="R72" s="1741"/>
      <c r="S72" s="1941"/>
      <c r="T72" s="1741"/>
      <c r="U72" s="1941"/>
      <c r="V72" s="1741"/>
      <c r="W72" s="1941"/>
      <c r="X72" s="1741"/>
      <c r="Y72" s="1941"/>
      <c r="Z72" s="1741"/>
      <c r="AA72" s="1942"/>
      <c r="AB72" s="1943"/>
      <c r="AC72" s="1944"/>
      <c r="AD72" s="1741">
        <v>108.1</v>
      </c>
      <c r="AE72" s="1943"/>
      <c r="AF72" s="1945"/>
      <c r="AG72" s="1741">
        <v>101.9</v>
      </c>
      <c r="AH72" s="1050"/>
      <c r="AI72" s="62"/>
      <c r="AJ72" s="872">
        <f>ROUND(SUM(+AD72-AG72),1)</f>
        <v>6.2</v>
      </c>
      <c r="AK72" s="872"/>
      <c r="AL72" s="1677">
        <f>ROUND(IF(AG72=0,0,AJ72/ABS(AG72)),3)</f>
        <v>6.0999999999999999E-2</v>
      </c>
    </row>
    <row r="73" spans="1:38" s="864" customFormat="1" ht="15" customHeight="1">
      <c r="A73" s="1047"/>
      <c r="B73" s="101" t="s">
        <v>176</v>
      </c>
      <c r="C73" s="101"/>
      <c r="D73" s="663">
        <v>80.2</v>
      </c>
      <c r="E73" s="793"/>
      <c r="F73" s="3767">
        <f t="shared" si="11"/>
        <v>169.5</v>
      </c>
      <c r="G73" s="793"/>
      <c r="H73" s="663"/>
      <c r="I73" s="793"/>
      <c r="J73" s="3767"/>
      <c r="K73" s="1495"/>
      <c r="L73" s="3767"/>
      <c r="M73" s="1495"/>
      <c r="N73" s="3767"/>
      <c r="O73" s="1495"/>
      <c r="P73" s="3767"/>
      <c r="Q73" s="1941"/>
      <c r="R73" s="1741"/>
      <c r="S73" s="1941"/>
      <c r="T73" s="1741"/>
      <c r="U73" s="1941"/>
      <c r="V73" s="1741"/>
      <c r="W73" s="1941"/>
      <c r="X73" s="1741"/>
      <c r="Y73" s="1941"/>
      <c r="Z73" s="1741"/>
      <c r="AA73" s="1942"/>
      <c r="AB73" s="1943"/>
      <c r="AC73" s="1944"/>
      <c r="AD73" s="1741">
        <v>249.7</v>
      </c>
      <c r="AE73" s="1943"/>
      <c r="AF73" s="1945"/>
      <c r="AG73" s="1741">
        <v>262.60000000000002</v>
      </c>
      <c r="AH73" s="1050"/>
      <c r="AI73" s="62"/>
      <c r="AJ73" s="872">
        <f>ROUND(SUM(+AD73-AG73),1)</f>
        <v>-12.9</v>
      </c>
      <c r="AK73" s="872"/>
      <c r="AL73" s="1677">
        <f>ROUND(IF(AG73=0,0,AJ73/ABS(AG73)),3)</f>
        <v>-4.9000000000000002E-2</v>
      </c>
    </row>
    <row r="74" spans="1:38" s="864" customFormat="1" ht="15" customHeight="1">
      <c r="A74" s="1047"/>
      <c r="B74" s="101" t="s">
        <v>152</v>
      </c>
      <c r="C74" s="101"/>
      <c r="D74" s="663">
        <v>24.6</v>
      </c>
      <c r="E74" s="793"/>
      <c r="F74" s="3767">
        <f t="shared" si="11"/>
        <v>33.6</v>
      </c>
      <c r="G74" s="793"/>
      <c r="H74" s="663"/>
      <c r="I74" s="793"/>
      <c r="J74" s="3767"/>
      <c r="K74" s="1495"/>
      <c r="L74" s="3767"/>
      <c r="M74" s="1495"/>
      <c r="N74" s="3767"/>
      <c r="O74" s="1495"/>
      <c r="P74" s="3767"/>
      <c r="Q74" s="1941"/>
      <c r="R74" s="1741"/>
      <c r="S74" s="1941"/>
      <c r="T74" s="1741"/>
      <c r="U74" s="1941"/>
      <c r="V74" s="1741"/>
      <c r="W74" s="1941"/>
      <c r="X74" s="1741"/>
      <c r="Y74" s="1941"/>
      <c r="Z74" s="1741"/>
      <c r="AA74" s="1942"/>
      <c r="AB74" s="1943"/>
      <c r="AC74" s="1944"/>
      <c r="AD74" s="1741">
        <v>58.2</v>
      </c>
      <c r="AE74" s="1943"/>
      <c r="AF74" s="1945"/>
      <c r="AG74" s="1741">
        <v>52.4</v>
      </c>
      <c r="AH74" s="1050"/>
      <c r="AI74" s="62"/>
      <c r="AJ74" s="872">
        <f>ROUND(SUM(+AD74-AG74),1)</f>
        <v>5.8</v>
      </c>
      <c r="AK74" s="872"/>
      <c r="AL74" s="1677">
        <f>ROUND(IF(AG74=0,0,AJ74/ABS(AG74)),3)</f>
        <v>0.111</v>
      </c>
    </row>
    <row r="75" spans="1:38" s="864" customFormat="1" ht="15" customHeight="1">
      <c r="A75" s="1047"/>
      <c r="B75" s="3013" t="s">
        <v>1265</v>
      </c>
      <c r="C75" s="101"/>
      <c r="D75" s="663" t="s">
        <v>14</v>
      </c>
      <c r="E75" s="793"/>
      <c r="F75" s="663"/>
      <c r="G75" s="793"/>
      <c r="H75" s="663"/>
      <c r="I75" s="793"/>
      <c r="J75" s="3767"/>
      <c r="K75" s="1495"/>
      <c r="L75" s="3767"/>
      <c r="M75" s="1495"/>
      <c r="N75" s="3767"/>
      <c r="O75" s="1495"/>
      <c r="P75" s="3767"/>
      <c r="Q75" s="1941"/>
      <c r="R75" s="1741"/>
      <c r="S75" s="1941"/>
      <c r="T75" s="1741"/>
      <c r="U75" s="1941"/>
      <c r="V75" s="1741"/>
      <c r="W75" s="1941"/>
      <c r="X75" s="1741"/>
      <c r="Y75" s="1941"/>
      <c r="Z75" s="1741"/>
      <c r="AA75" s="1942"/>
      <c r="AB75" s="1943"/>
      <c r="AC75" s="1944"/>
      <c r="AD75" s="1741"/>
      <c r="AE75" s="1943"/>
      <c r="AF75" s="1945"/>
      <c r="AG75" s="1741"/>
      <c r="AH75" s="1050"/>
      <c r="AI75" s="62"/>
      <c r="AJ75" s="872"/>
      <c r="AK75" s="872"/>
      <c r="AL75" s="1677"/>
    </row>
    <row r="76" spans="1:38" s="864" customFormat="1" ht="15" customHeight="1">
      <c r="A76" s="1047"/>
      <c r="B76" s="3013" t="s">
        <v>1355</v>
      </c>
      <c r="C76" s="101"/>
      <c r="D76" s="663">
        <v>0</v>
      </c>
      <c r="E76" s="793"/>
      <c r="F76" s="3767">
        <f t="shared" ref="F76:F77" si="12">$AD76-D76</f>
        <v>0</v>
      </c>
      <c r="G76" s="793"/>
      <c r="H76" s="663"/>
      <c r="I76" s="793"/>
      <c r="J76" s="3767"/>
      <c r="K76" s="1495"/>
      <c r="L76" s="3767"/>
      <c r="M76" s="1495"/>
      <c r="N76" s="3767"/>
      <c r="O76" s="1495"/>
      <c r="P76" s="3767"/>
      <c r="Q76" s="1941"/>
      <c r="R76" s="1741"/>
      <c r="S76" s="1941"/>
      <c r="T76" s="1741"/>
      <c r="U76" s="1941"/>
      <c r="V76" s="1741"/>
      <c r="W76" s="1941"/>
      <c r="X76" s="1741"/>
      <c r="Y76" s="1941"/>
      <c r="Z76" s="1741"/>
      <c r="AA76" s="1942"/>
      <c r="AB76" s="1943"/>
      <c r="AC76" s="1944"/>
      <c r="AD76" s="1741">
        <v>0</v>
      </c>
      <c r="AE76" s="1943"/>
      <c r="AF76" s="1945"/>
      <c r="AG76" s="1741">
        <v>0</v>
      </c>
      <c r="AH76" s="1050"/>
      <c r="AI76" s="62"/>
      <c r="AJ76" s="872">
        <f>ROUND(SUM(+AD76-AG76),1)</f>
        <v>0</v>
      </c>
      <c r="AK76" s="872"/>
      <c r="AL76" s="1677">
        <f>ROUND(IF(AG76=0,0,AJ76/ABS(AG76)),3)</f>
        <v>0</v>
      </c>
    </row>
    <row r="77" spans="1:38" s="864" customFormat="1" ht="15" customHeight="1">
      <c r="A77" s="1047"/>
      <c r="B77" s="101" t="s">
        <v>177</v>
      </c>
      <c r="C77" s="101"/>
      <c r="D77" s="663">
        <v>0</v>
      </c>
      <c r="E77" s="793"/>
      <c r="F77" s="3767">
        <f t="shared" si="12"/>
        <v>0</v>
      </c>
      <c r="G77" s="793"/>
      <c r="H77" s="663"/>
      <c r="I77" s="793"/>
      <c r="J77" s="3767"/>
      <c r="K77" s="1495"/>
      <c r="L77" s="3767"/>
      <c r="M77" s="1495"/>
      <c r="N77" s="3767"/>
      <c r="O77" s="1495"/>
      <c r="P77" s="3767"/>
      <c r="Q77" s="1941"/>
      <c r="R77" s="1741"/>
      <c r="S77" s="1941"/>
      <c r="T77" s="1741"/>
      <c r="U77" s="1941"/>
      <c r="V77" s="1741"/>
      <c r="W77" s="1941"/>
      <c r="X77" s="1741"/>
      <c r="Y77" s="1941"/>
      <c r="Z77" s="1741"/>
      <c r="AA77" s="1942"/>
      <c r="AB77" s="1943"/>
      <c r="AC77" s="1944"/>
      <c r="AD77" s="1741">
        <v>0</v>
      </c>
      <c r="AE77" s="1943"/>
      <c r="AF77" s="1945"/>
      <c r="AG77" s="1741">
        <v>0</v>
      </c>
      <c r="AH77" s="1050"/>
      <c r="AI77" s="62"/>
      <c r="AJ77" s="872">
        <f>ROUND(SUM(+AD77-AG77),1)</f>
        <v>0</v>
      </c>
      <c r="AK77" s="1001"/>
      <c r="AL77" s="1764">
        <f>ROUND(IF(AG77=0,0,AJ77/ABS(AG77)),3)</f>
        <v>0</v>
      </c>
    </row>
    <row r="78" spans="1:38" ht="15" customHeight="1">
      <c r="A78" s="144"/>
      <c r="B78" s="28"/>
      <c r="C78" s="28"/>
      <c r="D78" s="1792"/>
      <c r="E78" s="793"/>
      <c r="F78" s="1019"/>
      <c r="G78" s="793"/>
      <c r="H78" s="667"/>
      <c r="I78" s="793"/>
      <c r="J78" s="667"/>
      <c r="K78" s="159"/>
      <c r="L78" s="667"/>
      <c r="M78" s="159"/>
      <c r="N78" s="83"/>
      <c r="O78" s="159"/>
      <c r="P78" s="1948"/>
      <c r="Q78" s="1431"/>
      <c r="R78" s="1948"/>
      <c r="S78" s="1431"/>
      <c r="T78" s="1948"/>
      <c r="U78" s="1431"/>
      <c r="V78" s="1994"/>
      <c r="W78" s="1938"/>
      <c r="X78" s="1994"/>
      <c r="Y78" s="1938"/>
      <c r="Z78" s="1994"/>
      <c r="AA78" s="1920"/>
      <c r="AB78" s="1934"/>
      <c r="AC78" s="1939"/>
      <c r="AD78" s="1994"/>
      <c r="AE78" s="1920"/>
      <c r="AF78" s="1940"/>
      <c r="AG78" s="1994"/>
      <c r="AH78" s="1050"/>
      <c r="AI78" s="62"/>
      <c r="AJ78" s="1019"/>
      <c r="AK78" s="1762"/>
      <c r="AL78" s="1416"/>
    </row>
    <row r="79" spans="1:38" ht="15" customHeight="1">
      <c r="A79" s="144"/>
      <c r="B79" s="26" t="s">
        <v>153</v>
      </c>
      <c r="C79" s="28"/>
      <c r="D79" s="899">
        <f>ROUND(SUM(D70:D77),1)</f>
        <v>6441.7</v>
      </c>
      <c r="E79" s="201"/>
      <c r="F79" s="106">
        <f>ROUND(SUM(F70:F77),1)</f>
        <v>6254</v>
      </c>
      <c r="G79" s="201"/>
      <c r="H79" s="899">
        <f>ROUND(SUM(H70:H77),1)</f>
        <v>0</v>
      </c>
      <c r="I79" s="201"/>
      <c r="J79" s="899">
        <f>ROUND(SUM(J70:J77),1)</f>
        <v>0</v>
      </c>
      <c r="K79" s="201"/>
      <c r="L79" s="899">
        <f>ROUND(SUM(L70:L77),1)</f>
        <v>0</v>
      </c>
      <c r="M79" s="201"/>
      <c r="N79" s="899">
        <f>ROUND(SUM(N70:N77),1)</f>
        <v>0</v>
      </c>
      <c r="O79" s="201"/>
      <c r="P79" s="1429">
        <f>ROUND(SUM(P70:P77),1)</f>
        <v>0</v>
      </c>
      <c r="Q79" s="1953"/>
      <c r="R79" s="1429">
        <f>ROUND(SUM(R70:R77),1)</f>
        <v>0</v>
      </c>
      <c r="S79" s="1953"/>
      <c r="T79" s="1429">
        <f>ROUND(SUM(T70:T77),1)</f>
        <v>0</v>
      </c>
      <c r="U79" s="1953"/>
      <c r="V79" s="1429">
        <f>ROUND(SUM(V70:V77),1)</f>
        <v>0</v>
      </c>
      <c r="W79" s="1993"/>
      <c r="X79" s="1993">
        <f>ROUND(SUM(X70:X77),1)</f>
        <v>0</v>
      </c>
      <c r="Y79" s="1993"/>
      <c r="Z79" s="1993">
        <f>ROUND(SUM(Z70:Z77),1)</f>
        <v>0</v>
      </c>
      <c r="AA79" s="1993"/>
      <c r="AB79" s="2111"/>
      <c r="AC79" s="2112"/>
      <c r="AD79" s="1993">
        <f>ROUND(SUM(AD70:AD77),1)</f>
        <v>12695.7</v>
      </c>
      <c r="AE79" s="1430"/>
      <c r="AF79" s="3048"/>
      <c r="AG79" s="1993">
        <f>ROUND(SUM(AG70:AG77),1)</f>
        <v>9904.2000000000007</v>
      </c>
      <c r="AH79" s="1769"/>
      <c r="AI79" s="109"/>
      <c r="AJ79" s="114">
        <f>ROUND(SUM(AD79-AG79),1)</f>
        <v>2791.5</v>
      </c>
      <c r="AK79" s="2115"/>
      <c r="AL79" s="2116">
        <f>ROUND(SUM((AD79-AG79)/ABS(AG79)),3)</f>
        <v>0.28199999999999997</v>
      </c>
    </row>
    <row r="80" spans="1:38" ht="15" customHeight="1">
      <c r="A80" s="144"/>
      <c r="B80" s="28"/>
      <c r="C80" s="28"/>
      <c r="D80" s="1792"/>
      <c r="E80" s="793"/>
      <c r="F80" s="1019"/>
      <c r="G80" s="793"/>
      <c r="H80" s="667"/>
      <c r="I80" s="793"/>
      <c r="J80" s="667"/>
      <c r="K80" s="159"/>
      <c r="L80" s="667"/>
      <c r="M80" s="159"/>
      <c r="N80" s="83"/>
      <c r="O80" s="159"/>
      <c r="P80" s="1948"/>
      <c r="Q80" s="1431"/>
      <c r="R80" s="1948"/>
      <c r="S80" s="1431"/>
      <c r="T80" s="1948"/>
      <c r="U80" s="1431"/>
      <c r="V80" s="1994"/>
      <c r="W80" s="1938"/>
      <c r="X80" s="1994"/>
      <c r="Y80" s="1938"/>
      <c r="Z80" s="1994"/>
      <c r="AA80" s="1920"/>
      <c r="AB80" s="1934"/>
      <c r="AC80" s="1939"/>
      <c r="AD80" s="1994"/>
      <c r="AE80" s="1920"/>
      <c r="AF80" s="1940"/>
      <c r="AG80" s="1994"/>
      <c r="AH80" s="1050"/>
      <c r="AI80" s="1064"/>
      <c r="AJ80" s="663"/>
      <c r="AK80" s="1762"/>
      <c r="AL80" s="1763"/>
    </row>
    <row r="81" spans="1:51" ht="15" customHeight="1">
      <c r="A81" s="144"/>
      <c r="B81" s="26" t="s">
        <v>154</v>
      </c>
      <c r="C81" s="28"/>
      <c r="D81" s="793"/>
      <c r="E81" s="793"/>
      <c r="F81" s="872"/>
      <c r="G81" s="793"/>
      <c r="H81" s="1489"/>
      <c r="I81" s="793"/>
      <c r="J81" s="1489"/>
      <c r="K81" s="159"/>
      <c r="L81" s="1489"/>
      <c r="M81" s="159"/>
      <c r="N81" s="61"/>
      <c r="O81" s="159"/>
      <c r="P81" s="1949"/>
      <c r="Q81" s="1431"/>
      <c r="R81" s="1949"/>
      <c r="S81" s="1431"/>
      <c r="T81" s="1949"/>
      <c r="U81" s="1431"/>
      <c r="V81" s="1938"/>
      <c r="W81" s="1938"/>
      <c r="X81" s="1938"/>
      <c r="Y81" s="1938"/>
      <c r="Z81" s="1938"/>
      <c r="AA81" s="1938"/>
      <c r="AB81" s="1934"/>
      <c r="AC81" s="1939"/>
      <c r="AD81" s="1920"/>
      <c r="AE81" s="3071"/>
      <c r="AF81" s="3075"/>
      <c r="AG81" s="1920"/>
      <c r="AH81" s="1050"/>
      <c r="AI81" s="2117"/>
      <c r="AJ81" s="663"/>
      <c r="AK81" s="1762"/>
      <c r="AL81" s="1763"/>
    </row>
    <row r="82" spans="1:51" ht="15" customHeight="1">
      <c r="A82" s="144"/>
      <c r="B82" s="26" t="s">
        <v>44</v>
      </c>
      <c r="C82" s="28"/>
      <c r="D82" s="899">
        <f>ROUND(SUM(D56-D79),1)</f>
        <v>192.6</v>
      </c>
      <c r="E82" s="201"/>
      <c r="F82" s="899">
        <f>ROUND(SUM(F56-F79),1)</f>
        <v>1138.5</v>
      </c>
      <c r="G82" s="201"/>
      <c r="H82" s="899">
        <f>ROUND(SUM(H56-H79),1)</f>
        <v>0</v>
      </c>
      <c r="I82" s="201"/>
      <c r="J82" s="899">
        <f>ROUND(SUM(J56-J79),1)</f>
        <v>0</v>
      </c>
      <c r="K82" s="201"/>
      <c r="L82" s="899">
        <f>ROUND(SUM(L56-L79),1)</f>
        <v>0</v>
      </c>
      <c r="M82" s="201"/>
      <c r="N82" s="899">
        <f>ROUND(SUM(N56-N79),1)</f>
        <v>0</v>
      </c>
      <c r="O82" s="201"/>
      <c r="P82" s="899">
        <f>ROUND(SUM(P56-P79),1)</f>
        <v>0</v>
      </c>
      <c r="Q82" s="1953"/>
      <c r="R82" s="1429">
        <f>ROUND(SUM(R56-R79),1)</f>
        <v>0</v>
      </c>
      <c r="S82" s="1953"/>
      <c r="T82" s="1429">
        <f>ROUND(SUM(T56-T79),1)</f>
        <v>0</v>
      </c>
      <c r="U82" s="1953"/>
      <c r="V82" s="1429">
        <f>ROUND(SUM(V56-V79),1)</f>
        <v>0</v>
      </c>
      <c r="W82" s="1993"/>
      <c r="X82" s="1429">
        <f>ROUND(SUM(X56-X79),1)</f>
        <v>0</v>
      </c>
      <c r="Y82" s="1993"/>
      <c r="Z82" s="1429">
        <f>ROUND(AD82-D82-F82-H82-J82-L82-N82-P82-R82-T82-V82-X82,1)</f>
        <v>0</v>
      </c>
      <c r="AA82" s="1993"/>
      <c r="AB82" s="2111"/>
      <c r="AC82" s="2112"/>
      <c r="AD82" s="1993">
        <f>ROUND(SUM(AD56-AD79),1)</f>
        <v>1331.1</v>
      </c>
      <c r="AE82" s="1430"/>
      <c r="AF82" s="3048"/>
      <c r="AG82" s="1993">
        <f>ROUND(SUM(AG56-AG79),1)</f>
        <v>15535.8</v>
      </c>
      <c r="AH82" s="1769"/>
      <c r="AI82" s="109"/>
      <c r="AJ82" s="114">
        <f>ROUND(SUM(AD82-AG82),1)</f>
        <v>-14204.7</v>
      </c>
      <c r="AK82" s="2118"/>
      <c r="AL82" s="3444">
        <f>ROUND(SUM((AD82-AG82)/ABS(AG82)),3)</f>
        <v>-0.91400000000000003</v>
      </c>
    </row>
    <row r="83" spans="1:51" ht="15" customHeight="1">
      <c r="A83" s="144"/>
      <c r="B83" s="28"/>
      <c r="C83" s="28"/>
      <c r="D83" s="1792"/>
      <c r="E83" s="793"/>
      <c r="F83" s="1019"/>
      <c r="G83" s="793"/>
      <c r="H83" s="667"/>
      <c r="I83" s="793"/>
      <c r="J83" s="667"/>
      <c r="K83" s="159"/>
      <c r="L83" s="667"/>
      <c r="M83" s="159"/>
      <c r="N83" s="83"/>
      <c r="O83" s="159"/>
      <c r="P83" s="1948"/>
      <c r="Q83" s="1431"/>
      <c r="R83" s="1948"/>
      <c r="S83" s="1431"/>
      <c r="T83" s="1948"/>
      <c r="U83" s="1431"/>
      <c r="V83" s="1994"/>
      <c r="W83" s="1938"/>
      <c r="X83" s="1994"/>
      <c r="Y83" s="1938"/>
      <c r="Z83" s="1994"/>
      <c r="AA83" s="1920"/>
      <c r="AB83" s="1934"/>
      <c r="AC83" s="1939"/>
      <c r="AD83" s="1994"/>
      <c r="AE83" s="1920"/>
      <c r="AF83" s="1940"/>
      <c r="AG83" s="1994"/>
      <c r="AH83" s="1050"/>
      <c r="AI83" s="62"/>
      <c r="AJ83" s="663"/>
      <c r="AK83" s="1762"/>
      <c r="AL83" s="1763"/>
    </row>
    <row r="84" spans="1:51" ht="15" customHeight="1">
      <c r="A84" s="144"/>
      <c r="B84" s="26" t="s">
        <v>45</v>
      </c>
      <c r="C84" s="28"/>
      <c r="D84" s="793"/>
      <c r="E84" s="793"/>
      <c r="F84" s="872"/>
      <c r="G84" s="793"/>
      <c r="H84" s="1489"/>
      <c r="I84" s="793"/>
      <c r="J84" s="1489"/>
      <c r="K84" s="159"/>
      <c r="L84" s="1489"/>
      <c r="M84" s="159"/>
      <c r="N84" s="61"/>
      <c r="O84" s="159"/>
      <c r="P84" s="1949"/>
      <c r="Q84" s="1431"/>
      <c r="R84" s="1949"/>
      <c r="S84" s="1431"/>
      <c r="T84" s="1949"/>
      <c r="U84" s="1431"/>
      <c r="V84" s="1938"/>
      <c r="W84" s="1938"/>
      <c r="X84" s="1938"/>
      <c r="Y84" s="1938"/>
      <c r="Z84" s="1938"/>
      <c r="AA84" s="1938"/>
      <c r="AB84" s="1934"/>
      <c r="AC84" s="1939"/>
      <c r="AD84" s="1938"/>
      <c r="AE84" s="1920"/>
      <c r="AF84" s="1940"/>
      <c r="AG84" s="1938"/>
      <c r="AH84" s="1050"/>
      <c r="AI84" s="62"/>
      <c r="AJ84" s="663"/>
      <c r="AK84" s="1762"/>
      <c r="AL84" s="1763"/>
    </row>
    <row r="85" spans="1:51" s="864" customFormat="1" ht="15" customHeight="1">
      <c r="A85" s="1047"/>
      <c r="B85" s="101" t="s">
        <v>178</v>
      </c>
      <c r="C85" s="101"/>
      <c r="D85" s="663">
        <v>0</v>
      </c>
      <c r="E85" s="793"/>
      <c r="F85" s="3767">
        <f t="shared" ref="F85:F86" si="13">$AD85-D85</f>
        <v>0</v>
      </c>
      <c r="G85" s="793"/>
      <c r="H85" s="663"/>
      <c r="I85" s="793"/>
      <c r="J85" s="3767"/>
      <c r="K85" s="1495"/>
      <c r="L85" s="3767"/>
      <c r="M85" s="1495"/>
      <c r="N85" s="3767"/>
      <c r="O85" s="1495"/>
      <c r="P85" s="3767"/>
      <c r="Q85" s="1941"/>
      <c r="R85" s="1741"/>
      <c r="S85" s="1941"/>
      <c r="T85" s="1741"/>
      <c r="U85" s="1941"/>
      <c r="V85" s="1741"/>
      <c r="W85" s="1941"/>
      <c r="X85" s="1741"/>
      <c r="Y85" s="1941"/>
      <c r="Z85" s="1741"/>
      <c r="AA85" s="1942"/>
      <c r="AB85" s="1943"/>
      <c r="AC85" s="1944"/>
      <c r="AD85" s="1741">
        <v>0</v>
      </c>
      <c r="AE85" s="1943"/>
      <c r="AF85" s="1945"/>
      <c r="AG85" s="1741">
        <v>0</v>
      </c>
      <c r="AH85" s="1050"/>
      <c r="AI85" s="62"/>
      <c r="AJ85" s="1498">
        <f>ROUND(SUM(+AD85-AG85),1)</f>
        <v>0</v>
      </c>
      <c r="AK85" s="1001"/>
      <c r="AL85" s="1677">
        <f>-ROUND(IF(AG85=0,0,AJ85/ABS(AG85)),3)</f>
        <v>0</v>
      </c>
    </row>
    <row r="86" spans="1:51" s="864" customFormat="1" ht="15" customHeight="1">
      <c r="A86" s="1047"/>
      <c r="B86" s="101" t="s">
        <v>179</v>
      </c>
      <c r="C86" s="101"/>
      <c r="D86" s="663">
        <v>-240.8</v>
      </c>
      <c r="E86" s="793"/>
      <c r="F86" s="3767">
        <f t="shared" si="13"/>
        <v>-138.09999999999997</v>
      </c>
      <c r="G86" s="793"/>
      <c r="H86" s="663"/>
      <c r="I86" s="793"/>
      <c r="J86" s="3767"/>
      <c r="K86" s="1495"/>
      <c r="L86" s="3767"/>
      <c r="M86" s="1495"/>
      <c r="N86" s="3767"/>
      <c r="O86" s="1495"/>
      <c r="P86" s="3767"/>
      <c r="Q86" s="1941"/>
      <c r="R86" s="1741"/>
      <c r="S86" s="1941"/>
      <c r="T86" s="1741"/>
      <c r="U86" s="1941"/>
      <c r="V86" s="1741"/>
      <c r="W86" s="1941"/>
      <c r="X86" s="1741"/>
      <c r="Y86" s="1941"/>
      <c r="Z86" s="1741"/>
      <c r="AA86" s="1942"/>
      <c r="AB86" s="1943"/>
      <c r="AC86" s="1944"/>
      <c r="AD86" s="1741">
        <v>-378.9</v>
      </c>
      <c r="AE86" s="1943"/>
      <c r="AF86" s="1945"/>
      <c r="AG86" s="3313">
        <v>-288.7</v>
      </c>
      <c r="AH86" s="1050"/>
      <c r="AI86" s="62"/>
      <c r="AJ86" s="1001">
        <f>ROUND(SUM(+AD86-AG86)*-1,1)</f>
        <v>90.2</v>
      </c>
      <c r="AK86" s="1001"/>
      <c r="AL86" s="1677">
        <f>ROUND(IF(AG86=0,0,AJ86/ABS(AG86)),3)</f>
        <v>0.312</v>
      </c>
    </row>
    <row r="87" spans="1:51" ht="15" customHeight="1">
      <c r="A87" s="144"/>
      <c r="B87" s="28"/>
      <c r="C87" s="28"/>
      <c r="D87" s="162"/>
      <c r="E87" s="159"/>
      <c r="F87" s="120"/>
      <c r="G87" s="159"/>
      <c r="H87" s="83"/>
      <c r="I87" s="159"/>
      <c r="J87" s="83"/>
      <c r="K87" s="159"/>
      <c r="L87" s="83"/>
      <c r="M87" s="159"/>
      <c r="N87" s="83"/>
      <c r="O87" s="159"/>
      <c r="P87" s="1948"/>
      <c r="Q87" s="1431"/>
      <c r="R87" s="1948"/>
      <c r="S87" s="1431"/>
      <c r="T87" s="1948"/>
      <c r="U87" s="1431"/>
      <c r="V87" s="1994"/>
      <c r="W87" s="1938"/>
      <c r="X87" s="1994"/>
      <c r="Y87" s="1938"/>
      <c r="Z87" s="1994"/>
      <c r="AA87" s="1920"/>
      <c r="AB87" s="1934"/>
      <c r="AC87" s="1939"/>
      <c r="AD87" s="1994"/>
      <c r="AE87" s="1920"/>
      <c r="AF87" s="1940"/>
      <c r="AG87" s="1920"/>
      <c r="AH87" s="1050"/>
      <c r="AI87" s="62"/>
      <c r="AJ87" s="2119"/>
      <c r="AK87" s="1762"/>
      <c r="AL87" s="2120"/>
    </row>
    <row r="88" spans="1:51" ht="15" customHeight="1">
      <c r="A88" s="144"/>
      <c r="B88" s="26" t="s">
        <v>1073</v>
      </c>
      <c r="C88" s="28"/>
      <c r="D88" s="57">
        <f>ROUND(SUM(D85:D87),1)</f>
        <v>-240.8</v>
      </c>
      <c r="E88" s="201"/>
      <c r="F88" s="106">
        <f>ROUND(SUM(F85:F87),1)</f>
        <v>-138.1</v>
      </c>
      <c r="G88" s="201"/>
      <c r="H88" s="57">
        <f>ROUND(SUM(H85:H87),1)</f>
        <v>0</v>
      </c>
      <c r="I88" s="201"/>
      <c r="J88" s="57">
        <f>ROUND(SUM(J85:J87),1)</f>
        <v>0</v>
      </c>
      <c r="K88" s="201"/>
      <c r="L88" s="899">
        <f>ROUND(SUM(L85:L87),1)</f>
        <v>0</v>
      </c>
      <c r="M88" s="201"/>
      <c r="N88" s="57">
        <f>ROUND(SUM(N85:N87),1)</f>
        <v>0</v>
      </c>
      <c r="O88" s="201"/>
      <c r="P88" s="1429">
        <f>ROUND(SUM(P85:P87),1)</f>
        <v>0</v>
      </c>
      <c r="Q88" s="1953"/>
      <c r="R88" s="1429">
        <f>ROUND(SUM(R85:R87),1)</f>
        <v>0</v>
      </c>
      <c r="S88" s="1953"/>
      <c r="T88" s="1429">
        <f>ROUND(SUM(T85:T87),1)</f>
        <v>0</v>
      </c>
      <c r="U88" s="1953"/>
      <c r="V88" s="1429">
        <f>ROUND(SUM(V85:V87),1)</f>
        <v>0</v>
      </c>
      <c r="W88" s="1993"/>
      <c r="X88" s="1993">
        <f>ROUND(SUM(X85:X87),1)</f>
        <v>0</v>
      </c>
      <c r="Y88" s="1993"/>
      <c r="Z88" s="1993">
        <f>ROUND(SUM(Z85:Z87),1)</f>
        <v>0</v>
      </c>
      <c r="AA88" s="1993"/>
      <c r="AB88" s="2111"/>
      <c r="AC88" s="2112"/>
      <c r="AD88" s="1993">
        <f>ROUND(SUM(AD85:AD87),1)</f>
        <v>-378.9</v>
      </c>
      <c r="AE88" s="1430"/>
      <c r="AF88" s="3048"/>
      <c r="AG88" s="1993">
        <f>ROUND(SUM(AG85:AG86),1)</f>
        <v>-288.7</v>
      </c>
      <c r="AH88" s="1769"/>
      <c r="AI88" s="109"/>
      <c r="AJ88" s="114">
        <f>-ROUND(SUM(AD88-AG88),1)</f>
        <v>90.2</v>
      </c>
      <c r="AK88" s="2113"/>
      <c r="AL88" s="2116">
        <f>ROUND(SUM((AD88-AG88)/(AG88)),3)</f>
        <v>0.312</v>
      </c>
    </row>
    <row r="89" spans="1:51" ht="15" customHeight="1">
      <c r="A89" s="144"/>
      <c r="B89" s="28"/>
      <c r="C89" s="28"/>
      <c r="D89" s="162"/>
      <c r="E89" s="159"/>
      <c r="F89" s="3593"/>
      <c r="G89" s="159"/>
      <c r="H89" s="162"/>
      <c r="I89" s="159"/>
      <c r="J89" s="162"/>
      <c r="K89" s="159"/>
      <c r="L89" s="162"/>
      <c r="M89" s="159"/>
      <c r="N89" s="162"/>
      <c r="O89" s="159"/>
      <c r="P89" s="1435"/>
      <c r="Q89" s="1431"/>
      <c r="R89" s="1435"/>
      <c r="S89" s="1431"/>
      <c r="T89" s="1435"/>
      <c r="U89" s="1431"/>
      <c r="V89" s="1994"/>
      <c r="W89" s="1938"/>
      <c r="X89" s="1994"/>
      <c r="Y89" s="1938"/>
      <c r="Z89" s="1994"/>
      <c r="AA89" s="1920"/>
      <c r="AB89" s="1934"/>
      <c r="AC89" s="1939"/>
      <c r="AD89" s="1994"/>
      <c r="AE89" s="1920"/>
      <c r="AF89" s="1940"/>
      <c r="AG89" s="1994"/>
      <c r="AH89" s="1050"/>
      <c r="AI89" s="62"/>
      <c r="AJ89" s="663"/>
      <c r="AK89" s="1762"/>
      <c r="AL89" s="1763"/>
    </row>
    <row r="90" spans="1:51" ht="15" customHeight="1">
      <c r="A90" s="144"/>
      <c r="B90" s="26" t="s">
        <v>162</v>
      </c>
      <c r="C90" s="28"/>
      <c r="D90" s="159"/>
      <c r="E90" s="159"/>
      <c r="F90" s="134"/>
      <c r="G90" s="159"/>
      <c r="H90" s="159"/>
      <c r="I90" s="159"/>
      <c r="J90" s="159"/>
      <c r="K90" s="159"/>
      <c r="L90" s="159"/>
      <c r="M90" s="159"/>
      <c r="N90" s="159"/>
      <c r="O90" s="159"/>
      <c r="P90" s="1431"/>
      <c r="Q90" s="1431"/>
      <c r="R90" s="1431"/>
      <c r="S90" s="1431"/>
      <c r="T90" s="1431"/>
      <c r="U90" s="1431"/>
      <c r="V90" s="1934"/>
      <c r="W90" s="1934"/>
      <c r="X90" s="1934"/>
      <c r="Y90" s="1934"/>
      <c r="Z90" s="1934"/>
      <c r="AA90" s="1934"/>
      <c r="AB90" s="1934"/>
      <c r="AC90" s="1939"/>
      <c r="AD90" s="1934"/>
      <c r="AE90" s="1961"/>
      <c r="AF90" s="3074"/>
      <c r="AG90" s="1934"/>
      <c r="AH90" s="1761"/>
      <c r="AI90" s="1066"/>
      <c r="AJ90" s="1762"/>
      <c r="AK90" s="1762"/>
      <c r="AL90" s="1763"/>
    </row>
    <row r="91" spans="1:51" ht="15" customHeight="1">
      <c r="A91" s="144"/>
      <c r="B91" s="26" t="s">
        <v>163</v>
      </c>
      <c r="C91" s="28"/>
      <c r="D91" s="159"/>
      <c r="E91" s="159"/>
      <c r="F91" s="134"/>
      <c r="G91" s="159"/>
      <c r="H91" s="159"/>
      <c r="I91" s="159"/>
      <c r="J91" s="159"/>
      <c r="K91" s="159"/>
      <c r="L91" s="159"/>
      <c r="M91" s="159"/>
      <c r="N91" s="159"/>
      <c r="O91" s="159"/>
      <c r="P91" s="1431"/>
      <c r="Q91" s="1431"/>
      <c r="R91" s="1431"/>
      <c r="S91" s="1431"/>
      <c r="T91" s="1431"/>
      <c r="U91" s="1431"/>
      <c r="V91" s="1934"/>
      <c r="W91" s="1934"/>
      <c r="X91" s="1934"/>
      <c r="Y91" s="1934"/>
      <c r="Z91" s="1934"/>
      <c r="AA91" s="1934"/>
      <c r="AB91" s="1934"/>
      <c r="AC91" s="1939"/>
      <c r="AD91" s="1934"/>
      <c r="AE91" s="1961"/>
      <c r="AF91" s="3074"/>
      <c r="AG91" s="3358"/>
      <c r="AH91" s="1761"/>
      <c r="AI91" s="1066"/>
      <c r="AJ91" s="1762"/>
      <c r="AK91" s="1762"/>
      <c r="AL91" s="1763"/>
    </row>
    <row r="92" spans="1:51" ht="15" customHeight="1">
      <c r="A92" s="144"/>
      <c r="B92" s="26" t="s">
        <v>1074</v>
      </c>
      <c r="C92" s="28"/>
      <c r="D92" s="806">
        <f>ROUND(SUM(D82+D88),1)</f>
        <v>-48.2</v>
      </c>
      <c r="E92" s="159"/>
      <c r="F92" s="3594">
        <f>ROUND(SUM(F82+F88),1)</f>
        <v>1000.4</v>
      </c>
      <c r="G92" s="159"/>
      <c r="H92" s="806">
        <f>ROUND(SUM(H82+H88),1)</f>
        <v>0</v>
      </c>
      <c r="I92" s="51"/>
      <c r="J92" s="806">
        <f>ROUND(SUM(J82+J88),1)</f>
        <v>0</v>
      </c>
      <c r="K92" s="51"/>
      <c r="L92" s="806">
        <f>ROUND(SUM(L82+L88),1)</f>
        <v>0</v>
      </c>
      <c r="M92" s="51"/>
      <c r="N92" s="806">
        <f>ROUND(SUM(N82+N88),1)</f>
        <v>0</v>
      </c>
      <c r="O92" s="51"/>
      <c r="P92" s="1963">
        <f>ROUND(SUM(P82+P88),1)</f>
        <v>0</v>
      </c>
      <c r="Q92" s="1950"/>
      <c r="R92" s="1963">
        <f>ROUND(SUM(R82+R88),1)</f>
        <v>0</v>
      </c>
      <c r="S92" s="1950"/>
      <c r="T92" s="1963">
        <f>ROUND(SUM(T82+T88),1)</f>
        <v>0</v>
      </c>
      <c r="U92" s="1950"/>
      <c r="V92" s="1963">
        <f>ROUND(SUM(V82+V88),1)</f>
        <v>0</v>
      </c>
      <c r="W92" s="1920"/>
      <c r="X92" s="1517">
        <f>ROUND(SUM(X82+X88),1)</f>
        <v>0</v>
      </c>
      <c r="Y92" s="1920"/>
      <c r="Z92" s="1517">
        <f>ROUND(SUM(Z82+Z88),1)</f>
        <v>0</v>
      </c>
      <c r="AA92" s="1920"/>
      <c r="AB92" s="2121"/>
      <c r="AC92" s="1920"/>
      <c r="AD92" s="1517">
        <f>ROUND(SUM(AD82+AD88),1)</f>
        <v>952.2</v>
      </c>
      <c r="AE92" s="3072"/>
      <c r="AF92" s="1920"/>
      <c r="AG92" s="1517">
        <f>ROUND(SUM(AG82+AG88),1)</f>
        <v>15247.1</v>
      </c>
      <c r="AH92" s="1761"/>
      <c r="AI92" s="62"/>
      <c r="AJ92" s="1084">
        <f>ROUND(SUM(AJ82-AJ88),1)</f>
        <v>-14294.9</v>
      </c>
      <c r="AK92" s="1008"/>
      <c r="AL92" s="2122">
        <f>ROUND(SUM((AD92-AG92)/ABS(AG92)),3)</f>
        <v>-0.93799999999999994</v>
      </c>
    </row>
    <row r="93" spans="1:51" ht="15" customHeight="1">
      <c r="A93" s="144"/>
      <c r="B93" s="28"/>
      <c r="C93" s="28"/>
      <c r="D93" s="34"/>
      <c r="E93" s="27"/>
      <c r="F93" s="1066"/>
      <c r="G93" s="27"/>
      <c r="H93" s="34"/>
      <c r="I93" s="27"/>
      <c r="J93" s="34"/>
      <c r="K93" s="27"/>
      <c r="L93" s="34"/>
      <c r="M93" s="27"/>
      <c r="N93" s="34"/>
      <c r="O93" s="27"/>
      <c r="P93" s="1964"/>
      <c r="Q93" s="1965"/>
      <c r="R93" s="1964"/>
      <c r="S93" s="1965"/>
      <c r="T93" s="1962"/>
      <c r="U93" s="1965"/>
      <c r="V93" s="2123"/>
      <c r="W93" s="2124"/>
      <c r="X93" s="2123"/>
      <c r="Y93" s="2124"/>
      <c r="Z93" s="2123"/>
      <c r="AA93" s="2123"/>
      <c r="AB93" s="2124"/>
      <c r="AC93" s="2125"/>
      <c r="AD93" s="2123"/>
      <c r="AE93" s="2123"/>
      <c r="AF93" s="2125"/>
      <c r="AG93" s="2123"/>
      <c r="AH93" s="1066"/>
      <c r="AI93" s="2126"/>
      <c r="AJ93" s="2127"/>
      <c r="AK93" s="1762"/>
      <c r="AL93" s="1763" t="s">
        <v>14</v>
      </c>
    </row>
    <row r="94" spans="1:51" ht="20.25" customHeight="1" thickBot="1">
      <c r="A94" s="144"/>
      <c r="B94" s="26" t="s">
        <v>1084</v>
      </c>
      <c r="C94" s="28"/>
      <c r="D94" s="1812">
        <f>ROUND(SUM(+D13+D92),1)</f>
        <v>14277.5</v>
      </c>
      <c r="E94" s="27"/>
      <c r="F94" s="1802">
        <f>ROUND(SUM(+F13+F92),1)</f>
        <v>15277.9</v>
      </c>
      <c r="G94" s="27"/>
      <c r="H94" s="1812">
        <f>ROUND(SUM(+H13+H92),1)</f>
        <v>0</v>
      </c>
      <c r="I94" s="27"/>
      <c r="J94" s="1812">
        <f>ROUND(SUM(+J13+J92),1)</f>
        <v>0</v>
      </c>
      <c r="K94" s="27"/>
      <c r="L94" s="1812">
        <f>ROUND(SUM(+L13+L92),1)</f>
        <v>0</v>
      </c>
      <c r="M94" s="27"/>
      <c r="N94" s="1812">
        <f>ROUND(SUM(+N13+N92),1)</f>
        <v>0</v>
      </c>
      <c r="O94" s="27"/>
      <c r="P94" s="1966">
        <f>ROUND(SUM(+P13+P92),1)</f>
        <v>0</v>
      </c>
      <c r="Q94" s="1965"/>
      <c r="R94" s="1966">
        <f>ROUND(SUM(+R13+R92),1)</f>
        <v>0</v>
      </c>
      <c r="S94" s="1965"/>
      <c r="T94" s="1966">
        <f>ROUND(SUM(+T13+T92),1)</f>
        <v>0</v>
      </c>
      <c r="U94" s="1965"/>
      <c r="V94" s="1966">
        <f>ROUND(SUM(+V13+V92),1)</f>
        <v>0</v>
      </c>
      <c r="W94" s="2124"/>
      <c r="X94" s="2128">
        <f>ROUND(SUM(+X13+X92),1)</f>
        <v>0</v>
      </c>
      <c r="Y94" s="2124"/>
      <c r="Z94" s="2128">
        <f>ROUND(SUM(+Z13+Z92),1)</f>
        <v>0</v>
      </c>
      <c r="AA94" s="2123"/>
      <c r="AB94" s="2124"/>
      <c r="AC94" s="2125"/>
      <c r="AD94" s="2128">
        <f>ROUND(SUM(+AD13+AD92),1)</f>
        <v>15277.9</v>
      </c>
      <c r="AE94" s="2123"/>
      <c r="AF94" s="2125"/>
      <c r="AG94" s="2128">
        <f>ROUND(SUM(+AG13+AG92),1)</f>
        <v>20207.8</v>
      </c>
      <c r="AH94" s="1066"/>
      <c r="AI94" s="2126"/>
      <c r="AJ94" s="1802">
        <f>ROUND(SUM(+AJ13+AJ92),1)</f>
        <v>-4929.8999999999996</v>
      </c>
      <c r="AK94" s="1762"/>
      <c r="AL94" s="2129">
        <f>ROUND(+AJ94/ABS(AG94),3)</f>
        <v>-0.24399999999999999</v>
      </c>
    </row>
    <row r="95" spans="1:51" ht="15" customHeight="1" thickTop="1">
      <c r="B95" s="27"/>
      <c r="C95" s="27"/>
      <c r="D95" s="262"/>
      <c r="E95" s="262"/>
      <c r="F95" s="2063"/>
      <c r="G95" s="262"/>
      <c r="H95" s="262"/>
      <c r="I95" s="262"/>
      <c r="J95" s="262"/>
      <c r="K95" s="262"/>
      <c r="L95" s="262"/>
      <c r="M95" s="262"/>
      <c r="N95" s="262"/>
      <c r="O95" s="262"/>
      <c r="P95" s="1967"/>
      <c r="Q95" s="1967"/>
      <c r="R95" s="1967"/>
      <c r="S95" s="1967"/>
      <c r="T95" s="1967"/>
      <c r="U95" s="1967"/>
      <c r="V95" s="2130"/>
      <c r="W95" s="2130"/>
      <c r="X95" s="2130"/>
      <c r="Y95" s="2130"/>
      <c r="Z95" s="2130"/>
      <c r="AA95" s="2130"/>
      <c r="AB95" s="2130"/>
      <c r="AC95" s="2130"/>
      <c r="AD95" s="2130"/>
      <c r="AE95" s="2130"/>
      <c r="AF95" s="2130"/>
      <c r="AG95" s="2130"/>
      <c r="AH95" s="2063"/>
      <c r="AI95" s="2063"/>
      <c r="AJ95" s="998"/>
      <c r="AK95" s="998"/>
      <c r="AL95" s="1770"/>
      <c r="AM95" s="289"/>
      <c r="AN95" s="289"/>
      <c r="AO95" s="289"/>
      <c r="AP95" s="289"/>
      <c r="AQ95" s="289"/>
      <c r="AR95" s="289"/>
      <c r="AS95" s="289"/>
      <c r="AT95" s="289"/>
      <c r="AU95" s="289"/>
      <c r="AV95" s="289"/>
      <c r="AW95" s="289"/>
      <c r="AX95" s="289"/>
      <c r="AY95" s="289"/>
    </row>
    <row r="96" spans="1:51" ht="15" customHeight="1">
      <c r="B96" s="897"/>
      <c r="C96" s="27"/>
      <c r="D96" s="27"/>
      <c r="E96" s="27"/>
      <c r="F96" s="27"/>
      <c r="G96" s="27"/>
      <c r="H96" s="27"/>
      <c r="I96" s="27"/>
      <c r="J96" s="27"/>
      <c r="K96" s="27"/>
      <c r="L96" s="27"/>
      <c r="M96" s="27"/>
      <c r="N96" s="27"/>
      <c r="O96" s="27"/>
      <c r="P96" s="1965"/>
      <c r="Q96" s="1965"/>
      <c r="R96" s="1965"/>
      <c r="S96" s="1965"/>
      <c r="T96" s="1965"/>
      <c r="U96" s="1965"/>
      <c r="V96" s="2124"/>
      <c r="W96" s="2124"/>
      <c r="X96" s="2124"/>
      <c r="Y96" s="2124"/>
      <c r="Z96" s="2124"/>
      <c r="AA96" s="2124"/>
      <c r="AB96" s="2124"/>
      <c r="AC96" s="2124"/>
      <c r="AD96" s="2124"/>
      <c r="AE96" s="2124"/>
      <c r="AF96" s="2124"/>
      <c r="AG96" s="2124"/>
      <c r="AH96" s="100"/>
      <c r="AI96" s="100"/>
      <c r="AJ96" s="865"/>
      <c r="AK96" s="865"/>
      <c r="AL96" s="1770"/>
    </row>
    <row r="97" spans="2:38" ht="15" customHeight="1">
      <c r="B97" s="27"/>
      <c r="P97" s="1968"/>
      <c r="Q97" s="1968"/>
      <c r="R97" s="1968"/>
      <c r="S97" s="1968"/>
      <c r="T97" s="1968"/>
      <c r="U97" s="1968"/>
      <c r="V97" s="2131"/>
      <c r="W97" s="2131"/>
      <c r="X97" s="2131"/>
      <c r="Y97" s="2131"/>
      <c r="Z97" s="2131"/>
      <c r="AA97" s="2131"/>
      <c r="AB97" s="2131"/>
      <c r="AC97" s="2131"/>
      <c r="AD97" s="2131"/>
      <c r="AE97" s="2131"/>
      <c r="AF97" s="2131"/>
      <c r="AG97" s="2131"/>
      <c r="AH97" s="864"/>
      <c r="AI97" s="864"/>
      <c r="AJ97" s="864"/>
      <c r="AK97" s="864"/>
      <c r="AL97" s="2132"/>
    </row>
    <row r="98" spans="2:38" ht="15" customHeight="1">
      <c r="B98" s="27"/>
      <c r="P98" s="1968"/>
      <c r="Q98" s="1968"/>
      <c r="R98" s="1968"/>
      <c r="S98" s="1968"/>
      <c r="T98" s="1968"/>
      <c r="U98" s="1968"/>
      <c r="V98" s="2131"/>
      <c r="W98" s="2131"/>
      <c r="X98" s="2131"/>
      <c r="Y98" s="2131"/>
      <c r="Z98" s="2131"/>
      <c r="AA98" s="2131"/>
      <c r="AB98" s="2131"/>
      <c r="AC98" s="2131"/>
      <c r="AD98" s="2131"/>
      <c r="AE98" s="2131"/>
      <c r="AF98" s="2131"/>
      <c r="AG98" s="2131"/>
      <c r="AH98" s="864"/>
      <c r="AI98" s="864"/>
      <c r="AJ98" s="864"/>
      <c r="AK98" s="864"/>
      <c r="AL98" s="2132"/>
    </row>
    <row r="99" spans="2:38" ht="15" customHeight="1">
      <c r="P99" s="1968"/>
      <c r="Q99" s="1968"/>
      <c r="R99" s="1968"/>
      <c r="S99" s="1968"/>
      <c r="T99" s="1968"/>
      <c r="U99" s="1968"/>
      <c r="V99" s="2131"/>
      <c r="W99" s="2131"/>
      <c r="X99" s="2131"/>
      <c r="Y99" s="2131"/>
      <c r="Z99" s="2131"/>
      <c r="AA99" s="2131"/>
      <c r="AB99" s="2131"/>
      <c r="AC99" s="2131"/>
      <c r="AD99" s="2131"/>
      <c r="AE99" s="2131"/>
      <c r="AF99" s="2131"/>
      <c r="AG99" s="2131"/>
      <c r="AH99" s="864"/>
      <c r="AI99" s="864"/>
      <c r="AJ99" s="864"/>
      <c r="AK99" s="864"/>
      <c r="AL99" s="2132"/>
    </row>
    <row r="100" spans="2:38" ht="15" customHeight="1">
      <c r="P100" s="1968"/>
      <c r="Q100" s="1968"/>
      <c r="R100" s="1968"/>
      <c r="S100" s="1968"/>
      <c r="T100" s="1968"/>
      <c r="U100" s="1968"/>
      <c r="V100" s="2131"/>
      <c r="W100" s="2131"/>
      <c r="X100" s="2131"/>
      <c r="Y100" s="2131"/>
      <c r="Z100" s="2131"/>
      <c r="AA100" s="2131"/>
      <c r="AB100" s="2131"/>
      <c r="AC100" s="2131"/>
      <c r="AD100" s="2131"/>
      <c r="AE100" s="2131"/>
      <c r="AF100" s="2131"/>
      <c r="AG100" s="2131"/>
      <c r="AH100" s="864"/>
      <c r="AI100" s="864"/>
      <c r="AJ100" s="864"/>
      <c r="AK100" s="864"/>
      <c r="AL100" s="2132"/>
    </row>
    <row r="101" spans="2:38" ht="15" customHeight="1">
      <c r="P101" s="1968"/>
      <c r="Q101" s="1968"/>
      <c r="R101" s="1968"/>
      <c r="S101" s="1968"/>
      <c r="T101" s="1968"/>
      <c r="U101" s="1968"/>
      <c r="V101" s="2131"/>
      <c r="W101" s="2131"/>
      <c r="X101" s="2131"/>
      <c r="Y101" s="2131"/>
      <c r="Z101" s="2131"/>
      <c r="AA101" s="2131"/>
      <c r="AB101" s="2131"/>
      <c r="AC101" s="2131"/>
      <c r="AD101" s="2131"/>
      <c r="AE101" s="2131"/>
      <c r="AF101" s="2131"/>
      <c r="AG101" s="2131"/>
      <c r="AH101" s="864"/>
      <c r="AI101" s="864"/>
      <c r="AJ101" s="864"/>
      <c r="AK101" s="864"/>
      <c r="AL101" s="2132"/>
    </row>
    <row r="102" spans="2:38" ht="15" customHeight="1">
      <c r="V102" s="864"/>
      <c r="W102" s="864"/>
      <c r="X102" s="864"/>
      <c r="Y102" s="864"/>
      <c r="Z102" s="864"/>
      <c r="AA102" s="864"/>
      <c r="AB102" s="864"/>
      <c r="AC102" s="864"/>
      <c r="AH102" s="864"/>
      <c r="AI102" s="864"/>
      <c r="AJ102" s="864"/>
      <c r="AK102" s="864"/>
      <c r="AL102" s="2132"/>
    </row>
    <row r="103" spans="2:38" ht="15" customHeight="1">
      <c r="V103" s="864"/>
      <c r="W103" s="864"/>
      <c r="X103" s="864"/>
      <c r="Y103" s="864"/>
      <c r="Z103" s="864"/>
      <c r="AA103" s="864"/>
      <c r="AB103" s="864"/>
      <c r="AC103" s="864"/>
      <c r="AH103" s="864"/>
      <c r="AI103" s="864"/>
      <c r="AJ103" s="864"/>
      <c r="AK103" s="864"/>
      <c r="AL103" s="2132"/>
    </row>
    <row r="104" spans="2:38" ht="15" customHeight="1">
      <c r="V104" s="864"/>
      <c r="W104" s="864"/>
      <c r="X104" s="864"/>
      <c r="Y104" s="864"/>
      <c r="Z104" s="864"/>
      <c r="AA104" s="864"/>
      <c r="AB104" s="864"/>
      <c r="AC104" s="864"/>
      <c r="AH104" s="864"/>
      <c r="AI104" s="864"/>
      <c r="AJ104" s="864"/>
      <c r="AK104" s="864"/>
      <c r="AL104" s="2132"/>
    </row>
    <row r="105" spans="2:38" ht="15" customHeight="1">
      <c r="V105" s="864"/>
      <c r="W105" s="864"/>
      <c r="X105" s="864"/>
      <c r="Y105" s="864"/>
      <c r="Z105" s="864"/>
      <c r="AA105" s="864"/>
      <c r="AB105" s="864"/>
      <c r="AC105" s="864"/>
      <c r="AH105" s="864"/>
      <c r="AI105" s="864"/>
      <c r="AJ105" s="864"/>
      <c r="AK105" s="864"/>
      <c r="AL105" s="2132"/>
    </row>
    <row r="106" spans="2:38" ht="15" customHeight="1">
      <c r="V106" s="864"/>
      <c r="W106" s="864"/>
      <c r="X106" s="864"/>
      <c r="Y106" s="864"/>
      <c r="Z106" s="864"/>
      <c r="AA106" s="864"/>
      <c r="AB106" s="864"/>
      <c r="AC106" s="864"/>
      <c r="AH106" s="864"/>
      <c r="AI106" s="864"/>
      <c r="AJ106" s="864"/>
      <c r="AK106" s="864"/>
      <c r="AL106" s="2132"/>
    </row>
    <row r="107" spans="2:38" ht="15" customHeight="1">
      <c r="AL107" s="1417"/>
    </row>
    <row r="108" spans="2:38" ht="15" customHeight="1">
      <c r="AL108" s="1417"/>
    </row>
    <row r="109" spans="2:38" ht="15" customHeight="1">
      <c r="AL109" s="1417"/>
    </row>
    <row r="110" spans="2:38" ht="15" customHeight="1">
      <c r="AL110" s="1417"/>
    </row>
    <row r="111" spans="2:38" ht="15" customHeight="1">
      <c r="AL111" s="1417"/>
    </row>
    <row r="112" spans="2:38" ht="15" customHeight="1">
      <c r="AL112" s="1417"/>
    </row>
    <row r="113" spans="38:38" ht="15" customHeight="1">
      <c r="AL113" s="1417"/>
    </row>
    <row r="114" spans="38:38" ht="15" customHeight="1">
      <c r="AL114" s="1417"/>
    </row>
    <row r="115" spans="38:38" ht="15" customHeight="1">
      <c r="AL115" s="1417"/>
    </row>
    <row r="116" spans="38:38" ht="15" customHeight="1">
      <c r="AL116" s="1417"/>
    </row>
    <row r="117" spans="38:38" ht="15" customHeight="1">
      <c r="AL117" s="1417"/>
    </row>
    <row r="118" spans="38:38" ht="15" customHeight="1">
      <c r="AL118" s="1417"/>
    </row>
    <row r="119" spans="38:38" ht="15" customHeight="1">
      <c r="AL119" s="1417"/>
    </row>
    <row r="120" spans="38:38" ht="15" customHeight="1">
      <c r="AL120" s="1417"/>
    </row>
    <row r="121" spans="38:38" ht="15" customHeight="1">
      <c r="AL121" s="1417"/>
    </row>
    <row r="122" spans="38:38" ht="15" customHeight="1">
      <c r="AL122" s="1417"/>
    </row>
    <row r="123" spans="38:38" ht="15" customHeight="1">
      <c r="AL123" s="1417"/>
    </row>
    <row r="124" spans="38:38" ht="15" customHeight="1">
      <c r="AL124" s="1417"/>
    </row>
    <row r="125" spans="38:38" ht="15" customHeight="1">
      <c r="AL125" s="1417"/>
    </row>
    <row r="126" spans="38:38" ht="15" customHeight="1">
      <c r="AL126" s="1417"/>
    </row>
    <row r="127" spans="38:38" ht="15" customHeight="1">
      <c r="AL127" s="1417"/>
    </row>
    <row r="128" spans="38:38" ht="15" customHeight="1">
      <c r="AL128" s="1417"/>
    </row>
    <row r="129" spans="38:38" ht="15" customHeight="1">
      <c r="AL129" s="1417"/>
    </row>
    <row r="130" spans="38:38" ht="15" customHeight="1">
      <c r="AL130" s="1417"/>
    </row>
    <row r="131" spans="38:38" ht="15" customHeight="1">
      <c r="AL131" s="1417"/>
    </row>
    <row r="132" spans="38:38" ht="15" customHeight="1">
      <c r="AL132" s="1417"/>
    </row>
    <row r="133" spans="38:38" ht="15" customHeight="1">
      <c r="AL133" s="1417"/>
    </row>
    <row r="134" spans="38:38" ht="15" customHeight="1">
      <c r="AL134" s="1417"/>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61:AL68 AL48:AL49 AL43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2"/>
  <sheetViews>
    <sheetView showGridLines="0" zoomScale="90" zoomScaleNormal="70" workbookViewId="0"/>
  </sheetViews>
  <sheetFormatPr defaultRowHeight="12.75"/>
  <cols>
    <col min="1" max="1" width="40.44140625" style="2561" customWidth="1"/>
    <col min="2" max="2" width="10.44140625" style="2561" customWidth="1"/>
    <col min="3" max="3" width="1.109375" style="2561" customWidth="1"/>
    <col min="4" max="4" width="10" style="2561" customWidth="1"/>
    <col min="5" max="5" width="1.109375" style="2561" customWidth="1"/>
    <col min="6" max="6" width="9.109375" style="2562" customWidth="1"/>
    <col min="7" max="7" width="1.109375" style="2561" customWidth="1"/>
    <col min="8" max="8" width="10" style="2561" customWidth="1"/>
    <col min="9" max="9" width="1.109375" style="2561" customWidth="1"/>
    <col min="10" max="10" width="10" style="2561" bestFit="1" customWidth="1"/>
    <col min="11" max="11" width="1.109375" style="2561" customWidth="1"/>
    <col min="12" max="12" width="11.109375" style="2561" customWidth="1"/>
    <col min="13" max="13" width="1.109375" style="2561" customWidth="1"/>
    <col min="14" max="14" width="10.6640625" style="2561" customWidth="1"/>
    <col min="15" max="15" width="1.6640625" style="2561" customWidth="1"/>
    <col min="16" max="16" width="11" style="2561" customWidth="1"/>
    <col min="17" max="17" width="1.109375" style="2561" customWidth="1"/>
    <col min="18" max="18" width="10.6640625" style="2561" customWidth="1"/>
    <col min="19" max="19" width="1.109375" style="2561" customWidth="1"/>
    <col min="20" max="20" width="10" style="2561" customWidth="1"/>
    <col min="21" max="21" width="1.109375" style="2561" customWidth="1"/>
    <col min="22" max="22" width="12.6640625" style="2561" customWidth="1"/>
    <col min="23" max="23" width="1.109375" style="2561" customWidth="1"/>
    <col min="24" max="24" width="11.109375" style="2561" bestFit="1" customWidth="1"/>
    <col min="25" max="25" width="1.109375" style="2561" customWidth="1"/>
    <col min="26" max="26" width="0.6640625" style="2561" customWidth="1"/>
    <col min="27" max="27" width="10.5546875" style="2561" customWidth="1"/>
    <col min="28" max="28" width="2.109375" style="2561" customWidth="1"/>
    <col min="29" max="29" width="0.6640625" style="2561" customWidth="1"/>
    <col min="30" max="30" width="11" style="2561" bestFit="1" customWidth="1"/>
    <col min="31" max="32" width="0.6640625" style="2561" customWidth="1"/>
    <col min="33" max="33" width="10.6640625" style="2561" bestFit="1" customWidth="1"/>
    <col min="34" max="34" width="1.109375" style="2561" customWidth="1"/>
    <col min="35" max="35" width="11" style="2561" customWidth="1"/>
    <col min="36" max="36" width="14.5546875" style="2563" customWidth="1"/>
    <col min="37" max="252" width="8.6640625" style="2561"/>
    <col min="253" max="253" width="38.44140625" style="2561" customWidth="1"/>
    <col min="254" max="254" width="8.5546875" style="2561" customWidth="1"/>
    <col min="255" max="255" width="1.109375" style="2561" customWidth="1"/>
    <col min="256" max="256" width="8.6640625" style="2561" customWidth="1"/>
    <col min="257" max="257" width="1.109375" style="2561" customWidth="1"/>
    <col min="258" max="258" width="9.109375" style="2561" customWidth="1"/>
    <col min="259" max="259" width="1.109375" style="2561" customWidth="1"/>
    <col min="260" max="260" width="10" style="2561" customWidth="1"/>
    <col min="261" max="261" width="1.109375" style="2561" customWidth="1"/>
    <col min="262" max="262" width="9.109375" style="2561" customWidth="1"/>
    <col min="263" max="263" width="1.109375" style="2561" customWidth="1"/>
    <col min="264" max="264" width="11.109375" style="2561" customWidth="1"/>
    <col min="265" max="265" width="1.109375" style="2561" customWidth="1"/>
    <col min="266" max="266" width="9.109375" style="2561" customWidth="1"/>
    <col min="267" max="267" width="1.6640625" style="2561" customWidth="1"/>
    <col min="268" max="268" width="11" style="2561" customWidth="1"/>
    <col min="269" max="269" width="1.109375" style="2561" customWidth="1"/>
    <col min="270" max="270" width="10.6640625" style="2561" customWidth="1"/>
    <col min="271" max="271" width="1.109375" style="2561" customWidth="1"/>
    <col min="272" max="272" width="10" style="2561" customWidth="1"/>
    <col min="273" max="273" width="1.109375" style="2561" customWidth="1"/>
    <col min="274" max="274" width="9.109375" style="2561" customWidth="1"/>
    <col min="275" max="275" width="1.109375" style="2561" customWidth="1"/>
    <col min="276" max="276" width="7.6640625" style="2561" customWidth="1"/>
    <col min="277" max="277" width="1.109375" style="2561" customWidth="1"/>
    <col min="278" max="278" width="0.6640625" style="2561" customWidth="1"/>
    <col min="279" max="279" width="9.109375" style="2561" customWidth="1"/>
    <col min="280" max="280" width="1.109375" style="2561" customWidth="1"/>
    <col min="281" max="281" width="0.6640625" style="2561" customWidth="1"/>
    <col min="282" max="282" width="9.5546875" style="2561" bestFit="1" customWidth="1"/>
    <col min="283" max="284" width="0.6640625" style="2561" customWidth="1"/>
    <col min="285" max="285" width="9.6640625" style="2561" customWidth="1"/>
    <col min="286" max="286" width="1.109375" style="2561" customWidth="1"/>
    <col min="287" max="287" width="8.5546875" style="2561" customWidth="1"/>
    <col min="288" max="288" width="14.5546875" style="2561" customWidth="1"/>
    <col min="289" max="289" width="10" style="2561" customWidth="1"/>
    <col min="290" max="290" width="7.6640625" style="2561" bestFit="1" customWidth="1"/>
    <col min="291" max="291" width="9.6640625" style="2561" customWidth="1"/>
    <col min="292" max="508" width="8.6640625" style="2561"/>
    <col min="509" max="509" width="38.44140625" style="2561" customWidth="1"/>
    <col min="510" max="510" width="8.5546875" style="2561" customWidth="1"/>
    <col min="511" max="511" width="1.109375" style="2561" customWidth="1"/>
    <col min="512" max="512" width="8.6640625" style="2561" customWidth="1"/>
    <col min="513" max="513" width="1.109375" style="2561" customWidth="1"/>
    <col min="514" max="514" width="9.109375" style="2561" customWidth="1"/>
    <col min="515" max="515" width="1.109375" style="2561" customWidth="1"/>
    <col min="516" max="516" width="10" style="2561" customWidth="1"/>
    <col min="517" max="517" width="1.109375" style="2561" customWidth="1"/>
    <col min="518" max="518" width="9.109375" style="2561" customWidth="1"/>
    <col min="519" max="519" width="1.109375" style="2561" customWidth="1"/>
    <col min="520" max="520" width="11.109375" style="2561" customWidth="1"/>
    <col min="521" max="521" width="1.109375" style="2561" customWidth="1"/>
    <col min="522" max="522" width="9.109375" style="2561" customWidth="1"/>
    <col min="523" max="523" width="1.6640625" style="2561" customWidth="1"/>
    <col min="524" max="524" width="11" style="2561" customWidth="1"/>
    <col min="525" max="525" width="1.109375" style="2561" customWidth="1"/>
    <col min="526" max="526" width="10.6640625" style="2561" customWidth="1"/>
    <col min="527" max="527" width="1.109375" style="2561" customWidth="1"/>
    <col min="528" max="528" width="10" style="2561" customWidth="1"/>
    <col min="529" max="529" width="1.109375" style="2561" customWidth="1"/>
    <col min="530" max="530" width="9.109375" style="2561" customWidth="1"/>
    <col min="531" max="531" width="1.109375" style="2561" customWidth="1"/>
    <col min="532" max="532" width="7.6640625" style="2561" customWidth="1"/>
    <col min="533" max="533" width="1.109375" style="2561" customWidth="1"/>
    <col min="534" max="534" width="0.6640625" style="2561" customWidth="1"/>
    <col min="535" max="535" width="9.109375" style="2561" customWidth="1"/>
    <col min="536" max="536" width="1.109375" style="2561" customWidth="1"/>
    <col min="537" max="537" width="0.6640625" style="2561" customWidth="1"/>
    <col min="538" max="538" width="9.5546875" style="2561" bestFit="1" customWidth="1"/>
    <col min="539" max="540" width="0.6640625" style="2561" customWidth="1"/>
    <col min="541" max="541" width="9.6640625" style="2561" customWidth="1"/>
    <col min="542" max="542" width="1.109375" style="2561" customWidth="1"/>
    <col min="543" max="543" width="8.5546875" style="2561" customWidth="1"/>
    <col min="544" max="544" width="14.5546875" style="2561" customWidth="1"/>
    <col min="545" max="545" width="10" style="2561" customWidth="1"/>
    <col min="546" max="546" width="7.6640625" style="2561" bestFit="1" customWidth="1"/>
    <col min="547" max="547" width="9.6640625" style="2561" customWidth="1"/>
    <col min="548" max="764" width="8.6640625" style="2561"/>
    <col min="765" max="765" width="38.44140625" style="2561" customWidth="1"/>
    <col min="766" max="766" width="8.5546875" style="2561" customWidth="1"/>
    <col min="767" max="767" width="1.109375" style="2561" customWidth="1"/>
    <col min="768" max="768" width="8.6640625" style="2561" customWidth="1"/>
    <col min="769" max="769" width="1.109375" style="2561" customWidth="1"/>
    <col min="770" max="770" width="9.109375" style="2561" customWidth="1"/>
    <col min="771" max="771" width="1.109375" style="2561" customWidth="1"/>
    <col min="772" max="772" width="10" style="2561" customWidth="1"/>
    <col min="773" max="773" width="1.109375" style="2561" customWidth="1"/>
    <col min="774" max="774" width="9.109375" style="2561" customWidth="1"/>
    <col min="775" max="775" width="1.109375" style="2561" customWidth="1"/>
    <col min="776" max="776" width="11.109375" style="2561" customWidth="1"/>
    <col min="777" max="777" width="1.109375" style="2561" customWidth="1"/>
    <col min="778" max="778" width="9.109375" style="2561" customWidth="1"/>
    <col min="779" max="779" width="1.6640625" style="2561" customWidth="1"/>
    <col min="780" max="780" width="11" style="2561" customWidth="1"/>
    <col min="781" max="781" width="1.109375" style="2561" customWidth="1"/>
    <col min="782" max="782" width="10.6640625" style="2561" customWidth="1"/>
    <col min="783" max="783" width="1.109375" style="2561" customWidth="1"/>
    <col min="784" max="784" width="10" style="2561" customWidth="1"/>
    <col min="785" max="785" width="1.109375" style="2561" customWidth="1"/>
    <col min="786" max="786" width="9.109375" style="2561" customWidth="1"/>
    <col min="787" max="787" width="1.109375" style="2561" customWidth="1"/>
    <col min="788" max="788" width="7.6640625" style="2561" customWidth="1"/>
    <col min="789" max="789" width="1.109375" style="2561" customWidth="1"/>
    <col min="790" max="790" width="0.6640625" style="2561" customWidth="1"/>
    <col min="791" max="791" width="9.109375" style="2561" customWidth="1"/>
    <col min="792" max="792" width="1.109375" style="2561" customWidth="1"/>
    <col min="793" max="793" width="0.6640625" style="2561" customWidth="1"/>
    <col min="794" max="794" width="9.5546875" style="2561" bestFit="1" customWidth="1"/>
    <col min="795" max="796" width="0.6640625" style="2561" customWidth="1"/>
    <col min="797" max="797" width="9.6640625" style="2561" customWidth="1"/>
    <col min="798" max="798" width="1.109375" style="2561" customWidth="1"/>
    <col min="799" max="799" width="8.5546875" style="2561" customWidth="1"/>
    <col min="800" max="800" width="14.5546875" style="2561" customWidth="1"/>
    <col min="801" max="801" width="10" style="2561" customWidth="1"/>
    <col min="802" max="802" width="7.6640625" style="2561" bestFit="1" customWidth="1"/>
    <col min="803" max="803" width="9.6640625" style="2561" customWidth="1"/>
    <col min="804" max="1020" width="8.6640625" style="2561"/>
    <col min="1021" max="1021" width="38.44140625" style="2561" customWidth="1"/>
    <col min="1022" max="1022" width="8.5546875" style="2561" customWidth="1"/>
    <col min="1023" max="1023" width="1.109375" style="2561" customWidth="1"/>
    <col min="1024" max="1024" width="8.6640625" style="2561" customWidth="1"/>
    <col min="1025" max="1025" width="1.109375" style="2561" customWidth="1"/>
    <col min="1026" max="1026" width="9.109375" style="2561" customWidth="1"/>
    <col min="1027" max="1027" width="1.109375" style="2561" customWidth="1"/>
    <col min="1028" max="1028" width="10" style="2561" customWidth="1"/>
    <col min="1029" max="1029" width="1.109375" style="2561" customWidth="1"/>
    <col min="1030" max="1030" width="9.109375" style="2561" customWidth="1"/>
    <col min="1031" max="1031" width="1.109375" style="2561" customWidth="1"/>
    <col min="1032" max="1032" width="11.109375" style="2561" customWidth="1"/>
    <col min="1033" max="1033" width="1.109375" style="2561" customWidth="1"/>
    <col min="1034" max="1034" width="9.109375" style="2561" customWidth="1"/>
    <col min="1035" max="1035" width="1.6640625" style="2561" customWidth="1"/>
    <col min="1036" max="1036" width="11" style="2561" customWidth="1"/>
    <col min="1037" max="1037" width="1.109375" style="2561" customWidth="1"/>
    <col min="1038" max="1038" width="10.6640625" style="2561" customWidth="1"/>
    <col min="1039" max="1039" width="1.109375" style="2561" customWidth="1"/>
    <col min="1040" max="1040" width="10" style="2561" customWidth="1"/>
    <col min="1041" max="1041" width="1.109375" style="2561" customWidth="1"/>
    <col min="1042" max="1042" width="9.109375" style="2561" customWidth="1"/>
    <col min="1043" max="1043" width="1.109375" style="2561" customWidth="1"/>
    <col min="1044" max="1044" width="7.6640625" style="2561" customWidth="1"/>
    <col min="1045" max="1045" width="1.109375" style="2561" customWidth="1"/>
    <col min="1046" max="1046" width="0.6640625" style="2561" customWidth="1"/>
    <col min="1047" max="1047" width="9.109375" style="2561" customWidth="1"/>
    <col min="1048" max="1048" width="1.109375" style="2561" customWidth="1"/>
    <col min="1049" max="1049" width="0.6640625" style="2561" customWidth="1"/>
    <col min="1050" max="1050" width="9.5546875" style="2561" bestFit="1" customWidth="1"/>
    <col min="1051" max="1052" width="0.6640625" style="2561" customWidth="1"/>
    <col min="1053" max="1053" width="9.6640625" style="2561" customWidth="1"/>
    <col min="1054" max="1054" width="1.109375" style="2561" customWidth="1"/>
    <col min="1055" max="1055" width="8.5546875" style="2561" customWidth="1"/>
    <col min="1056" max="1056" width="14.5546875" style="2561" customWidth="1"/>
    <col min="1057" max="1057" width="10" style="2561" customWidth="1"/>
    <col min="1058" max="1058" width="7.6640625" style="2561" bestFit="1" customWidth="1"/>
    <col min="1059" max="1059" width="9.6640625" style="2561" customWidth="1"/>
    <col min="1060" max="1276" width="8.6640625" style="2561"/>
    <col min="1277" max="1277" width="38.44140625" style="2561" customWidth="1"/>
    <col min="1278" max="1278" width="8.5546875" style="2561" customWidth="1"/>
    <col min="1279" max="1279" width="1.109375" style="2561" customWidth="1"/>
    <col min="1280" max="1280" width="8.6640625" style="2561" customWidth="1"/>
    <col min="1281" max="1281" width="1.109375" style="2561" customWidth="1"/>
    <col min="1282" max="1282" width="9.109375" style="2561" customWidth="1"/>
    <col min="1283" max="1283" width="1.109375" style="2561" customWidth="1"/>
    <col min="1284" max="1284" width="10" style="2561" customWidth="1"/>
    <col min="1285" max="1285" width="1.109375" style="2561" customWidth="1"/>
    <col min="1286" max="1286" width="9.109375" style="2561" customWidth="1"/>
    <col min="1287" max="1287" width="1.109375" style="2561" customWidth="1"/>
    <col min="1288" max="1288" width="11.109375" style="2561" customWidth="1"/>
    <col min="1289" max="1289" width="1.109375" style="2561" customWidth="1"/>
    <col min="1290" max="1290" width="9.109375" style="2561" customWidth="1"/>
    <col min="1291" max="1291" width="1.6640625" style="2561" customWidth="1"/>
    <col min="1292" max="1292" width="11" style="2561" customWidth="1"/>
    <col min="1293" max="1293" width="1.109375" style="2561" customWidth="1"/>
    <col min="1294" max="1294" width="10.6640625" style="2561" customWidth="1"/>
    <col min="1295" max="1295" width="1.109375" style="2561" customWidth="1"/>
    <col min="1296" max="1296" width="10" style="2561" customWidth="1"/>
    <col min="1297" max="1297" width="1.109375" style="2561" customWidth="1"/>
    <col min="1298" max="1298" width="9.109375" style="2561" customWidth="1"/>
    <col min="1299" max="1299" width="1.109375" style="2561" customWidth="1"/>
    <col min="1300" max="1300" width="7.6640625" style="2561" customWidth="1"/>
    <col min="1301" max="1301" width="1.109375" style="2561" customWidth="1"/>
    <col min="1302" max="1302" width="0.6640625" style="2561" customWidth="1"/>
    <col min="1303" max="1303" width="9.109375" style="2561" customWidth="1"/>
    <col min="1304" max="1304" width="1.109375" style="2561" customWidth="1"/>
    <col min="1305" max="1305" width="0.6640625" style="2561" customWidth="1"/>
    <col min="1306" max="1306" width="9.5546875" style="2561" bestFit="1" customWidth="1"/>
    <col min="1307" max="1308" width="0.6640625" style="2561" customWidth="1"/>
    <col min="1309" max="1309" width="9.6640625" style="2561" customWidth="1"/>
    <col min="1310" max="1310" width="1.109375" style="2561" customWidth="1"/>
    <col min="1311" max="1311" width="8.5546875" style="2561" customWidth="1"/>
    <col min="1312" max="1312" width="14.5546875" style="2561" customWidth="1"/>
    <col min="1313" max="1313" width="10" style="2561" customWidth="1"/>
    <col min="1314" max="1314" width="7.6640625" style="2561" bestFit="1" customWidth="1"/>
    <col min="1315" max="1315" width="9.6640625" style="2561" customWidth="1"/>
    <col min="1316" max="1532" width="8.6640625" style="2561"/>
    <col min="1533" max="1533" width="38.44140625" style="2561" customWidth="1"/>
    <col min="1534" max="1534" width="8.5546875" style="2561" customWidth="1"/>
    <col min="1535" max="1535" width="1.109375" style="2561" customWidth="1"/>
    <col min="1536" max="1536" width="8.6640625" style="2561" customWidth="1"/>
    <col min="1537" max="1537" width="1.109375" style="2561" customWidth="1"/>
    <col min="1538" max="1538" width="9.109375" style="2561" customWidth="1"/>
    <col min="1539" max="1539" width="1.109375" style="2561" customWidth="1"/>
    <col min="1540" max="1540" width="10" style="2561" customWidth="1"/>
    <col min="1541" max="1541" width="1.109375" style="2561" customWidth="1"/>
    <col min="1542" max="1542" width="9.109375" style="2561" customWidth="1"/>
    <col min="1543" max="1543" width="1.109375" style="2561" customWidth="1"/>
    <col min="1544" max="1544" width="11.109375" style="2561" customWidth="1"/>
    <col min="1545" max="1545" width="1.109375" style="2561" customWidth="1"/>
    <col min="1546" max="1546" width="9.109375" style="2561" customWidth="1"/>
    <col min="1547" max="1547" width="1.6640625" style="2561" customWidth="1"/>
    <col min="1548" max="1548" width="11" style="2561" customWidth="1"/>
    <col min="1549" max="1549" width="1.109375" style="2561" customWidth="1"/>
    <col min="1550" max="1550" width="10.6640625" style="2561" customWidth="1"/>
    <col min="1551" max="1551" width="1.109375" style="2561" customWidth="1"/>
    <col min="1552" max="1552" width="10" style="2561" customWidth="1"/>
    <col min="1553" max="1553" width="1.109375" style="2561" customWidth="1"/>
    <col min="1554" max="1554" width="9.109375" style="2561" customWidth="1"/>
    <col min="1555" max="1555" width="1.109375" style="2561" customWidth="1"/>
    <col min="1556" max="1556" width="7.6640625" style="2561" customWidth="1"/>
    <col min="1557" max="1557" width="1.109375" style="2561" customWidth="1"/>
    <col min="1558" max="1558" width="0.6640625" style="2561" customWidth="1"/>
    <col min="1559" max="1559" width="9.109375" style="2561" customWidth="1"/>
    <col min="1560" max="1560" width="1.109375" style="2561" customWidth="1"/>
    <col min="1561" max="1561" width="0.6640625" style="2561" customWidth="1"/>
    <col min="1562" max="1562" width="9.5546875" style="2561" bestFit="1" customWidth="1"/>
    <col min="1563" max="1564" width="0.6640625" style="2561" customWidth="1"/>
    <col min="1565" max="1565" width="9.6640625" style="2561" customWidth="1"/>
    <col min="1566" max="1566" width="1.109375" style="2561" customWidth="1"/>
    <col min="1567" max="1567" width="8.5546875" style="2561" customWidth="1"/>
    <col min="1568" max="1568" width="14.5546875" style="2561" customWidth="1"/>
    <col min="1569" max="1569" width="10" style="2561" customWidth="1"/>
    <col min="1570" max="1570" width="7.6640625" style="2561" bestFit="1" customWidth="1"/>
    <col min="1571" max="1571" width="9.6640625" style="2561" customWidth="1"/>
    <col min="1572" max="1788" width="8.6640625" style="2561"/>
    <col min="1789" max="1789" width="38.44140625" style="2561" customWidth="1"/>
    <col min="1790" max="1790" width="8.5546875" style="2561" customWidth="1"/>
    <col min="1791" max="1791" width="1.109375" style="2561" customWidth="1"/>
    <col min="1792" max="1792" width="8.6640625" style="2561" customWidth="1"/>
    <col min="1793" max="1793" width="1.109375" style="2561" customWidth="1"/>
    <col min="1794" max="1794" width="9.109375" style="2561" customWidth="1"/>
    <col min="1795" max="1795" width="1.109375" style="2561" customWidth="1"/>
    <col min="1796" max="1796" width="10" style="2561" customWidth="1"/>
    <col min="1797" max="1797" width="1.109375" style="2561" customWidth="1"/>
    <col min="1798" max="1798" width="9.109375" style="2561" customWidth="1"/>
    <col min="1799" max="1799" width="1.109375" style="2561" customWidth="1"/>
    <col min="1800" max="1800" width="11.109375" style="2561" customWidth="1"/>
    <col min="1801" max="1801" width="1.109375" style="2561" customWidth="1"/>
    <col min="1802" max="1802" width="9.109375" style="2561" customWidth="1"/>
    <col min="1803" max="1803" width="1.6640625" style="2561" customWidth="1"/>
    <col min="1804" max="1804" width="11" style="2561" customWidth="1"/>
    <col min="1805" max="1805" width="1.109375" style="2561" customWidth="1"/>
    <col min="1806" max="1806" width="10.6640625" style="2561" customWidth="1"/>
    <col min="1807" max="1807" width="1.109375" style="2561" customWidth="1"/>
    <col min="1808" max="1808" width="10" style="2561" customWidth="1"/>
    <col min="1809" max="1809" width="1.109375" style="2561" customWidth="1"/>
    <col min="1810" max="1810" width="9.109375" style="2561" customWidth="1"/>
    <col min="1811" max="1811" width="1.109375" style="2561" customWidth="1"/>
    <col min="1812" max="1812" width="7.6640625" style="2561" customWidth="1"/>
    <col min="1813" max="1813" width="1.109375" style="2561" customWidth="1"/>
    <col min="1814" max="1814" width="0.6640625" style="2561" customWidth="1"/>
    <col min="1815" max="1815" width="9.109375" style="2561" customWidth="1"/>
    <col min="1816" max="1816" width="1.109375" style="2561" customWidth="1"/>
    <col min="1817" max="1817" width="0.6640625" style="2561" customWidth="1"/>
    <col min="1818" max="1818" width="9.5546875" style="2561" bestFit="1" customWidth="1"/>
    <col min="1819" max="1820" width="0.6640625" style="2561" customWidth="1"/>
    <col min="1821" max="1821" width="9.6640625" style="2561" customWidth="1"/>
    <col min="1822" max="1822" width="1.109375" style="2561" customWidth="1"/>
    <col min="1823" max="1823" width="8.5546875" style="2561" customWidth="1"/>
    <col min="1824" max="1824" width="14.5546875" style="2561" customWidth="1"/>
    <col min="1825" max="1825" width="10" style="2561" customWidth="1"/>
    <col min="1826" max="1826" width="7.6640625" style="2561" bestFit="1" customWidth="1"/>
    <col min="1827" max="1827" width="9.6640625" style="2561" customWidth="1"/>
    <col min="1828" max="2044" width="8.6640625" style="2561"/>
    <col min="2045" max="2045" width="38.44140625" style="2561" customWidth="1"/>
    <col min="2046" max="2046" width="8.5546875" style="2561" customWidth="1"/>
    <col min="2047" max="2047" width="1.109375" style="2561" customWidth="1"/>
    <col min="2048" max="2048" width="8.6640625" style="2561" customWidth="1"/>
    <col min="2049" max="2049" width="1.109375" style="2561" customWidth="1"/>
    <col min="2050" max="2050" width="9.109375" style="2561" customWidth="1"/>
    <col min="2051" max="2051" width="1.109375" style="2561" customWidth="1"/>
    <col min="2052" max="2052" width="10" style="2561" customWidth="1"/>
    <col min="2053" max="2053" width="1.109375" style="2561" customWidth="1"/>
    <col min="2054" max="2054" width="9.109375" style="2561" customWidth="1"/>
    <col min="2055" max="2055" width="1.109375" style="2561" customWidth="1"/>
    <col min="2056" max="2056" width="11.109375" style="2561" customWidth="1"/>
    <col min="2057" max="2057" width="1.109375" style="2561" customWidth="1"/>
    <col min="2058" max="2058" width="9.109375" style="2561" customWidth="1"/>
    <col min="2059" max="2059" width="1.6640625" style="2561" customWidth="1"/>
    <col min="2060" max="2060" width="11" style="2561" customWidth="1"/>
    <col min="2061" max="2061" width="1.109375" style="2561" customWidth="1"/>
    <col min="2062" max="2062" width="10.6640625" style="2561" customWidth="1"/>
    <col min="2063" max="2063" width="1.109375" style="2561" customWidth="1"/>
    <col min="2064" max="2064" width="10" style="2561" customWidth="1"/>
    <col min="2065" max="2065" width="1.109375" style="2561" customWidth="1"/>
    <col min="2066" max="2066" width="9.109375" style="2561" customWidth="1"/>
    <col min="2067" max="2067" width="1.109375" style="2561" customWidth="1"/>
    <col min="2068" max="2068" width="7.6640625" style="2561" customWidth="1"/>
    <col min="2069" max="2069" width="1.109375" style="2561" customWidth="1"/>
    <col min="2070" max="2070" width="0.6640625" style="2561" customWidth="1"/>
    <col min="2071" max="2071" width="9.109375" style="2561" customWidth="1"/>
    <col min="2072" max="2072" width="1.109375" style="2561" customWidth="1"/>
    <col min="2073" max="2073" width="0.6640625" style="2561" customWidth="1"/>
    <col min="2074" max="2074" width="9.5546875" style="2561" bestFit="1" customWidth="1"/>
    <col min="2075" max="2076" width="0.6640625" style="2561" customWidth="1"/>
    <col min="2077" max="2077" width="9.6640625" style="2561" customWidth="1"/>
    <col min="2078" max="2078" width="1.109375" style="2561" customWidth="1"/>
    <col min="2079" max="2079" width="8.5546875" style="2561" customWidth="1"/>
    <col min="2080" max="2080" width="14.5546875" style="2561" customWidth="1"/>
    <col min="2081" max="2081" width="10" style="2561" customWidth="1"/>
    <col min="2082" max="2082" width="7.6640625" style="2561" bestFit="1" customWidth="1"/>
    <col min="2083" max="2083" width="9.6640625" style="2561" customWidth="1"/>
    <col min="2084" max="2300" width="8.6640625" style="2561"/>
    <col min="2301" max="2301" width="38.44140625" style="2561" customWidth="1"/>
    <col min="2302" max="2302" width="8.5546875" style="2561" customWidth="1"/>
    <col min="2303" max="2303" width="1.109375" style="2561" customWidth="1"/>
    <col min="2304" max="2304" width="8.6640625" style="2561" customWidth="1"/>
    <col min="2305" max="2305" width="1.109375" style="2561" customWidth="1"/>
    <col min="2306" max="2306" width="9.109375" style="2561" customWidth="1"/>
    <col min="2307" max="2307" width="1.109375" style="2561" customWidth="1"/>
    <col min="2308" max="2308" width="10" style="2561" customWidth="1"/>
    <col min="2309" max="2309" width="1.109375" style="2561" customWidth="1"/>
    <col min="2310" max="2310" width="9.109375" style="2561" customWidth="1"/>
    <col min="2311" max="2311" width="1.109375" style="2561" customWidth="1"/>
    <col min="2312" max="2312" width="11.109375" style="2561" customWidth="1"/>
    <col min="2313" max="2313" width="1.109375" style="2561" customWidth="1"/>
    <col min="2314" max="2314" width="9.109375" style="2561" customWidth="1"/>
    <col min="2315" max="2315" width="1.6640625" style="2561" customWidth="1"/>
    <col min="2316" max="2316" width="11" style="2561" customWidth="1"/>
    <col min="2317" max="2317" width="1.109375" style="2561" customWidth="1"/>
    <col min="2318" max="2318" width="10.6640625" style="2561" customWidth="1"/>
    <col min="2319" max="2319" width="1.109375" style="2561" customWidth="1"/>
    <col min="2320" max="2320" width="10" style="2561" customWidth="1"/>
    <col min="2321" max="2321" width="1.109375" style="2561" customWidth="1"/>
    <col min="2322" max="2322" width="9.109375" style="2561" customWidth="1"/>
    <col min="2323" max="2323" width="1.109375" style="2561" customWidth="1"/>
    <col min="2324" max="2324" width="7.6640625" style="2561" customWidth="1"/>
    <col min="2325" max="2325" width="1.109375" style="2561" customWidth="1"/>
    <col min="2326" max="2326" width="0.6640625" style="2561" customWidth="1"/>
    <col min="2327" max="2327" width="9.109375" style="2561" customWidth="1"/>
    <col min="2328" max="2328" width="1.109375" style="2561" customWidth="1"/>
    <col min="2329" max="2329" width="0.6640625" style="2561" customWidth="1"/>
    <col min="2330" max="2330" width="9.5546875" style="2561" bestFit="1" customWidth="1"/>
    <col min="2331" max="2332" width="0.6640625" style="2561" customWidth="1"/>
    <col min="2333" max="2333" width="9.6640625" style="2561" customWidth="1"/>
    <col min="2334" max="2334" width="1.109375" style="2561" customWidth="1"/>
    <col min="2335" max="2335" width="8.5546875" style="2561" customWidth="1"/>
    <col min="2336" max="2336" width="14.5546875" style="2561" customWidth="1"/>
    <col min="2337" max="2337" width="10" style="2561" customWidth="1"/>
    <col min="2338" max="2338" width="7.6640625" style="2561" bestFit="1" customWidth="1"/>
    <col min="2339" max="2339" width="9.6640625" style="2561" customWidth="1"/>
    <col min="2340" max="2556" width="8.6640625" style="2561"/>
    <col min="2557" max="2557" width="38.44140625" style="2561" customWidth="1"/>
    <col min="2558" max="2558" width="8.5546875" style="2561" customWidth="1"/>
    <col min="2559" max="2559" width="1.109375" style="2561" customWidth="1"/>
    <col min="2560" max="2560" width="8.6640625" style="2561" customWidth="1"/>
    <col min="2561" max="2561" width="1.109375" style="2561" customWidth="1"/>
    <col min="2562" max="2562" width="9.109375" style="2561" customWidth="1"/>
    <col min="2563" max="2563" width="1.109375" style="2561" customWidth="1"/>
    <col min="2564" max="2564" width="10" style="2561" customWidth="1"/>
    <col min="2565" max="2565" width="1.109375" style="2561" customWidth="1"/>
    <col min="2566" max="2566" width="9.109375" style="2561" customWidth="1"/>
    <col min="2567" max="2567" width="1.109375" style="2561" customWidth="1"/>
    <col min="2568" max="2568" width="11.109375" style="2561" customWidth="1"/>
    <col min="2569" max="2569" width="1.109375" style="2561" customWidth="1"/>
    <col min="2570" max="2570" width="9.109375" style="2561" customWidth="1"/>
    <col min="2571" max="2571" width="1.6640625" style="2561" customWidth="1"/>
    <col min="2572" max="2572" width="11" style="2561" customWidth="1"/>
    <col min="2573" max="2573" width="1.109375" style="2561" customWidth="1"/>
    <col min="2574" max="2574" width="10.6640625" style="2561" customWidth="1"/>
    <col min="2575" max="2575" width="1.109375" style="2561" customWidth="1"/>
    <col min="2576" max="2576" width="10" style="2561" customWidth="1"/>
    <col min="2577" max="2577" width="1.109375" style="2561" customWidth="1"/>
    <col min="2578" max="2578" width="9.109375" style="2561" customWidth="1"/>
    <col min="2579" max="2579" width="1.109375" style="2561" customWidth="1"/>
    <col min="2580" max="2580" width="7.6640625" style="2561" customWidth="1"/>
    <col min="2581" max="2581" width="1.109375" style="2561" customWidth="1"/>
    <col min="2582" max="2582" width="0.6640625" style="2561" customWidth="1"/>
    <col min="2583" max="2583" width="9.109375" style="2561" customWidth="1"/>
    <col min="2584" max="2584" width="1.109375" style="2561" customWidth="1"/>
    <col min="2585" max="2585" width="0.6640625" style="2561" customWidth="1"/>
    <col min="2586" max="2586" width="9.5546875" style="2561" bestFit="1" customWidth="1"/>
    <col min="2587" max="2588" width="0.6640625" style="2561" customWidth="1"/>
    <col min="2589" max="2589" width="9.6640625" style="2561" customWidth="1"/>
    <col min="2590" max="2590" width="1.109375" style="2561" customWidth="1"/>
    <col min="2591" max="2591" width="8.5546875" style="2561" customWidth="1"/>
    <col min="2592" max="2592" width="14.5546875" style="2561" customWidth="1"/>
    <col min="2593" max="2593" width="10" style="2561" customWidth="1"/>
    <col min="2594" max="2594" width="7.6640625" style="2561" bestFit="1" customWidth="1"/>
    <col min="2595" max="2595" width="9.6640625" style="2561" customWidth="1"/>
    <col min="2596" max="2812" width="8.6640625" style="2561"/>
    <col min="2813" max="2813" width="38.44140625" style="2561" customWidth="1"/>
    <col min="2814" max="2814" width="8.5546875" style="2561" customWidth="1"/>
    <col min="2815" max="2815" width="1.109375" style="2561" customWidth="1"/>
    <col min="2816" max="2816" width="8.6640625" style="2561" customWidth="1"/>
    <col min="2817" max="2817" width="1.109375" style="2561" customWidth="1"/>
    <col min="2818" max="2818" width="9.109375" style="2561" customWidth="1"/>
    <col min="2819" max="2819" width="1.109375" style="2561" customWidth="1"/>
    <col min="2820" max="2820" width="10" style="2561" customWidth="1"/>
    <col min="2821" max="2821" width="1.109375" style="2561" customWidth="1"/>
    <col min="2822" max="2822" width="9.109375" style="2561" customWidth="1"/>
    <col min="2823" max="2823" width="1.109375" style="2561" customWidth="1"/>
    <col min="2824" max="2824" width="11.109375" style="2561" customWidth="1"/>
    <col min="2825" max="2825" width="1.109375" style="2561" customWidth="1"/>
    <col min="2826" max="2826" width="9.109375" style="2561" customWidth="1"/>
    <col min="2827" max="2827" width="1.6640625" style="2561" customWidth="1"/>
    <col min="2828" max="2828" width="11" style="2561" customWidth="1"/>
    <col min="2829" max="2829" width="1.109375" style="2561" customWidth="1"/>
    <col min="2830" max="2830" width="10.6640625" style="2561" customWidth="1"/>
    <col min="2831" max="2831" width="1.109375" style="2561" customWidth="1"/>
    <col min="2832" max="2832" width="10" style="2561" customWidth="1"/>
    <col min="2833" max="2833" width="1.109375" style="2561" customWidth="1"/>
    <col min="2834" max="2834" width="9.109375" style="2561" customWidth="1"/>
    <col min="2835" max="2835" width="1.109375" style="2561" customWidth="1"/>
    <col min="2836" max="2836" width="7.6640625" style="2561" customWidth="1"/>
    <col min="2837" max="2837" width="1.109375" style="2561" customWidth="1"/>
    <col min="2838" max="2838" width="0.6640625" style="2561" customWidth="1"/>
    <col min="2839" max="2839" width="9.109375" style="2561" customWidth="1"/>
    <col min="2840" max="2840" width="1.109375" style="2561" customWidth="1"/>
    <col min="2841" max="2841" width="0.6640625" style="2561" customWidth="1"/>
    <col min="2842" max="2842" width="9.5546875" style="2561" bestFit="1" customWidth="1"/>
    <col min="2843" max="2844" width="0.6640625" style="2561" customWidth="1"/>
    <col min="2845" max="2845" width="9.6640625" style="2561" customWidth="1"/>
    <col min="2846" max="2846" width="1.109375" style="2561" customWidth="1"/>
    <col min="2847" max="2847" width="8.5546875" style="2561" customWidth="1"/>
    <col min="2848" max="2848" width="14.5546875" style="2561" customWidth="1"/>
    <col min="2849" max="2849" width="10" style="2561" customWidth="1"/>
    <col min="2850" max="2850" width="7.6640625" style="2561" bestFit="1" customWidth="1"/>
    <col min="2851" max="2851" width="9.6640625" style="2561" customWidth="1"/>
    <col min="2852" max="3068" width="8.6640625" style="2561"/>
    <col min="3069" max="3069" width="38.44140625" style="2561" customWidth="1"/>
    <col min="3070" max="3070" width="8.5546875" style="2561" customWidth="1"/>
    <col min="3071" max="3071" width="1.109375" style="2561" customWidth="1"/>
    <col min="3072" max="3072" width="8.6640625" style="2561" customWidth="1"/>
    <col min="3073" max="3073" width="1.109375" style="2561" customWidth="1"/>
    <col min="3074" max="3074" width="9.109375" style="2561" customWidth="1"/>
    <col min="3075" max="3075" width="1.109375" style="2561" customWidth="1"/>
    <col min="3076" max="3076" width="10" style="2561" customWidth="1"/>
    <col min="3077" max="3077" width="1.109375" style="2561" customWidth="1"/>
    <col min="3078" max="3078" width="9.109375" style="2561" customWidth="1"/>
    <col min="3079" max="3079" width="1.109375" style="2561" customWidth="1"/>
    <col min="3080" max="3080" width="11.109375" style="2561" customWidth="1"/>
    <col min="3081" max="3081" width="1.109375" style="2561" customWidth="1"/>
    <col min="3082" max="3082" width="9.109375" style="2561" customWidth="1"/>
    <col min="3083" max="3083" width="1.6640625" style="2561" customWidth="1"/>
    <col min="3084" max="3084" width="11" style="2561" customWidth="1"/>
    <col min="3085" max="3085" width="1.109375" style="2561" customWidth="1"/>
    <col min="3086" max="3086" width="10.6640625" style="2561" customWidth="1"/>
    <col min="3087" max="3087" width="1.109375" style="2561" customWidth="1"/>
    <col min="3088" max="3088" width="10" style="2561" customWidth="1"/>
    <col min="3089" max="3089" width="1.109375" style="2561" customWidth="1"/>
    <col min="3090" max="3090" width="9.109375" style="2561" customWidth="1"/>
    <col min="3091" max="3091" width="1.109375" style="2561" customWidth="1"/>
    <col min="3092" max="3092" width="7.6640625" style="2561" customWidth="1"/>
    <col min="3093" max="3093" width="1.109375" style="2561" customWidth="1"/>
    <col min="3094" max="3094" width="0.6640625" style="2561" customWidth="1"/>
    <col min="3095" max="3095" width="9.109375" style="2561" customWidth="1"/>
    <col min="3096" max="3096" width="1.109375" style="2561" customWidth="1"/>
    <col min="3097" max="3097" width="0.6640625" style="2561" customWidth="1"/>
    <col min="3098" max="3098" width="9.5546875" style="2561" bestFit="1" customWidth="1"/>
    <col min="3099" max="3100" width="0.6640625" style="2561" customWidth="1"/>
    <col min="3101" max="3101" width="9.6640625" style="2561" customWidth="1"/>
    <col min="3102" max="3102" width="1.109375" style="2561" customWidth="1"/>
    <col min="3103" max="3103" width="8.5546875" style="2561" customWidth="1"/>
    <col min="3104" max="3104" width="14.5546875" style="2561" customWidth="1"/>
    <col min="3105" max="3105" width="10" style="2561" customWidth="1"/>
    <col min="3106" max="3106" width="7.6640625" style="2561" bestFit="1" customWidth="1"/>
    <col min="3107" max="3107" width="9.6640625" style="2561" customWidth="1"/>
    <col min="3108" max="3324" width="8.6640625" style="2561"/>
    <col min="3325" max="3325" width="38.44140625" style="2561" customWidth="1"/>
    <col min="3326" max="3326" width="8.5546875" style="2561" customWidth="1"/>
    <col min="3327" max="3327" width="1.109375" style="2561" customWidth="1"/>
    <col min="3328" max="3328" width="8.6640625" style="2561" customWidth="1"/>
    <col min="3329" max="3329" width="1.109375" style="2561" customWidth="1"/>
    <col min="3330" max="3330" width="9.109375" style="2561" customWidth="1"/>
    <col min="3331" max="3331" width="1.109375" style="2561" customWidth="1"/>
    <col min="3332" max="3332" width="10" style="2561" customWidth="1"/>
    <col min="3333" max="3333" width="1.109375" style="2561" customWidth="1"/>
    <col min="3334" max="3334" width="9.109375" style="2561" customWidth="1"/>
    <col min="3335" max="3335" width="1.109375" style="2561" customWidth="1"/>
    <col min="3336" max="3336" width="11.109375" style="2561" customWidth="1"/>
    <col min="3337" max="3337" width="1.109375" style="2561" customWidth="1"/>
    <col min="3338" max="3338" width="9.109375" style="2561" customWidth="1"/>
    <col min="3339" max="3339" width="1.6640625" style="2561" customWidth="1"/>
    <col min="3340" max="3340" width="11" style="2561" customWidth="1"/>
    <col min="3341" max="3341" width="1.109375" style="2561" customWidth="1"/>
    <col min="3342" max="3342" width="10.6640625" style="2561" customWidth="1"/>
    <col min="3343" max="3343" width="1.109375" style="2561" customWidth="1"/>
    <col min="3344" max="3344" width="10" style="2561" customWidth="1"/>
    <col min="3345" max="3345" width="1.109375" style="2561" customWidth="1"/>
    <col min="3346" max="3346" width="9.109375" style="2561" customWidth="1"/>
    <col min="3347" max="3347" width="1.109375" style="2561" customWidth="1"/>
    <col min="3348" max="3348" width="7.6640625" style="2561" customWidth="1"/>
    <col min="3349" max="3349" width="1.109375" style="2561" customWidth="1"/>
    <col min="3350" max="3350" width="0.6640625" style="2561" customWidth="1"/>
    <col min="3351" max="3351" width="9.109375" style="2561" customWidth="1"/>
    <col min="3352" max="3352" width="1.109375" style="2561" customWidth="1"/>
    <col min="3353" max="3353" width="0.6640625" style="2561" customWidth="1"/>
    <col min="3354" max="3354" width="9.5546875" style="2561" bestFit="1" customWidth="1"/>
    <col min="3355" max="3356" width="0.6640625" style="2561" customWidth="1"/>
    <col min="3357" max="3357" width="9.6640625" style="2561" customWidth="1"/>
    <col min="3358" max="3358" width="1.109375" style="2561" customWidth="1"/>
    <col min="3359" max="3359" width="8.5546875" style="2561" customWidth="1"/>
    <col min="3360" max="3360" width="14.5546875" style="2561" customWidth="1"/>
    <col min="3361" max="3361" width="10" style="2561" customWidth="1"/>
    <col min="3362" max="3362" width="7.6640625" style="2561" bestFit="1" customWidth="1"/>
    <col min="3363" max="3363" width="9.6640625" style="2561" customWidth="1"/>
    <col min="3364" max="3580" width="8.6640625" style="2561"/>
    <col min="3581" max="3581" width="38.44140625" style="2561" customWidth="1"/>
    <col min="3582" max="3582" width="8.5546875" style="2561" customWidth="1"/>
    <col min="3583" max="3583" width="1.109375" style="2561" customWidth="1"/>
    <col min="3584" max="3584" width="8.6640625" style="2561" customWidth="1"/>
    <col min="3585" max="3585" width="1.109375" style="2561" customWidth="1"/>
    <col min="3586" max="3586" width="9.109375" style="2561" customWidth="1"/>
    <col min="3587" max="3587" width="1.109375" style="2561" customWidth="1"/>
    <col min="3588" max="3588" width="10" style="2561" customWidth="1"/>
    <col min="3589" max="3589" width="1.109375" style="2561" customWidth="1"/>
    <col min="3590" max="3590" width="9.109375" style="2561" customWidth="1"/>
    <col min="3591" max="3591" width="1.109375" style="2561" customWidth="1"/>
    <col min="3592" max="3592" width="11.109375" style="2561" customWidth="1"/>
    <col min="3593" max="3593" width="1.109375" style="2561" customWidth="1"/>
    <col min="3594" max="3594" width="9.109375" style="2561" customWidth="1"/>
    <col min="3595" max="3595" width="1.6640625" style="2561" customWidth="1"/>
    <col min="3596" max="3596" width="11" style="2561" customWidth="1"/>
    <col min="3597" max="3597" width="1.109375" style="2561" customWidth="1"/>
    <col min="3598" max="3598" width="10.6640625" style="2561" customWidth="1"/>
    <col min="3599" max="3599" width="1.109375" style="2561" customWidth="1"/>
    <col min="3600" max="3600" width="10" style="2561" customWidth="1"/>
    <col min="3601" max="3601" width="1.109375" style="2561" customWidth="1"/>
    <col min="3602" max="3602" width="9.109375" style="2561" customWidth="1"/>
    <col min="3603" max="3603" width="1.109375" style="2561" customWidth="1"/>
    <col min="3604" max="3604" width="7.6640625" style="2561" customWidth="1"/>
    <col min="3605" max="3605" width="1.109375" style="2561" customWidth="1"/>
    <col min="3606" max="3606" width="0.6640625" style="2561" customWidth="1"/>
    <col min="3607" max="3607" width="9.109375" style="2561" customWidth="1"/>
    <col min="3608" max="3608" width="1.109375" style="2561" customWidth="1"/>
    <col min="3609" max="3609" width="0.6640625" style="2561" customWidth="1"/>
    <col min="3610" max="3610" width="9.5546875" style="2561" bestFit="1" customWidth="1"/>
    <col min="3611" max="3612" width="0.6640625" style="2561" customWidth="1"/>
    <col min="3613" max="3613" width="9.6640625" style="2561" customWidth="1"/>
    <col min="3614" max="3614" width="1.109375" style="2561" customWidth="1"/>
    <col min="3615" max="3615" width="8.5546875" style="2561" customWidth="1"/>
    <col min="3616" max="3616" width="14.5546875" style="2561" customWidth="1"/>
    <col min="3617" max="3617" width="10" style="2561" customWidth="1"/>
    <col min="3618" max="3618" width="7.6640625" style="2561" bestFit="1" customWidth="1"/>
    <col min="3619" max="3619" width="9.6640625" style="2561" customWidth="1"/>
    <col min="3620" max="3836" width="8.6640625" style="2561"/>
    <col min="3837" max="3837" width="38.44140625" style="2561" customWidth="1"/>
    <col min="3838" max="3838" width="8.5546875" style="2561" customWidth="1"/>
    <col min="3839" max="3839" width="1.109375" style="2561" customWidth="1"/>
    <col min="3840" max="3840" width="8.6640625" style="2561" customWidth="1"/>
    <col min="3841" max="3841" width="1.109375" style="2561" customWidth="1"/>
    <col min="3842" max="3842" width="9.109375" style="2561" customWidth="1"/>
    <col min="3843" max="3843" width="1.109375" style="2561" customWidth="1"/>
    <col min="3844" max="3844" width="10" style="2561" customWidth="1"/>
    <col min="3845" max="3845" width="1.109375" style="2561" customWidth="1"/>
    <col min="3846" max="3846" width="9.109375" style="2561" customWidth="1"/>
    <col min="3847" max="3847" width="1.109375" style="2561" customWidth="1"/>
    <col min="3848" max="3848" width="11.109375" style="2561" customWidth="1"/>
    <col min="3849" max="3849" width="1.109375" style="2561" customWidth="1"/>
    <col min="3850" max="3850" width="9.109375" style="2561" customWidth="1"/>
    <col min="3851" max="3851" width="1.6640625" style="2561" customWidth="1"/>
    <col min="3852" max="3852" width="11" style="2561" customWidth="1"/>
    <col min="3853" max="3853" width="1.109375" style="2561" customWidth="1"/>
    <col min="3854" max="3854" width="10.6640625" style="2561" customWidth="1"/>
    <col min="3855" max="3855" width="1.109375" style="2561" customWidth="1"/>
    <col min="3856" max="3856" width="10" style="2561" customWidth="1"/>
    <col min="3857" max="3857" width="1.109375" style="2561" customWidth="1"/>
    <col min="3858" max="3858" width="9.109375" style="2561" customWidth="1"/>
    <col min="3859" max="3859" width="1.109375" style="2561" customWidth="1"/>
    <col min="3860" max="3860" width="7.6640625" style="2561" customWidth="1"/>
    <col min="3861" max="3861" width="1.109375" style="2561" customWidth="1"/>
    <col min="3862" max="3862" width="0.6640625" style="2561" customWidth="1"/>
    <col min="3863" max="3863" width="9.109375" style="2561" customWidth="1"/>
    <col min="3864" max="3864" width="1.109375" style="2561" customWidth="1"/>
    <col min="3865" max="3865" width="0.6640625" style="2561" customWidth="1"/>
    <col min="3866" max="3866" width="9.5546875" style="2561" bestFit="1" customWidth="1"/>
    <col min="3867" max="3868" width="0.6640625" style="2561" customWidth="1"/>
    <col min="3869" max="3869" width="9.6640625" style="2561" customWidth="1"/>
    <col min="3870" max="3870" width="1.109375" style="2561" customWidth="1"/>
    <col min="3871" max="3871" width="8.5546875" style="2561" customWidth="1"/>
    <col min="3872" max="3872" width="14.5546875" style="2561" customWidth="1"/>
    <col min="3873" max="3873" width="10" style="2561" customWidth="1"/>
    <col min="3874" max="3874" width="7.6640625" style="2561" bestFit="1" customWidth="1"/>
    <col min="3875" max="3875" width="9.6640625" style="2561" customWidth="1"/>
    <col min="3876" max="4092" width="8.6640625" style="2561"/>
    <col min="4093" max="4093" width="38.44140625" style="2561" customWidth="1"/>
    <col min="4094" max="4094" width="8.5546875" style="2561" customWidth="1"/>
    <col min="4095" max="4095" width="1.109375" style="2561" customWidth="1"/>
    <col min="4096" max="4096" width="8.6640625" style="2561" customWidth="1"/>
    <col min="4097" max="4097" width="1.109375" style="2561" customWidth="1"/>
    <col min="4098" max="4098" width="9.109375" style="2561" customWidth="1"/>
    <col min="4099" max="4099" width="1.109375" style="2561" customWidth="1"/>
    <col min="4100" max="4100" width="10" style="2561" customWidth="1"/>
    <col min="4101" max="4101" width="1.109375" style="2561" customWidth="1"/>
    <col min="4102" max="4102" width="9.109375" style="2561" customWidth="1"/>
    <col min="4103" max="4103" width="1.109375" style="2561" customWidth="1"/>
    <col min="4104" max="4104" width="11.109375" style="2561" customWidth="1"/>
    <col min="4105" max="4105" width="1.109375" style="2561" customWidth="1"/>
    <col min="4106" max="4106" width="9.109375" style="2561" customWidth="1"/>
    <col min="4107" max="4107" width="1.6640625" style="2561" customWidth="1"/>
    <col min="4108" max="4108" width="11" style="2561" customWidth="1"/>
    <col min="4109" max="4109" width="1.109375" style="2561" customWidth="1"/>
    <col min="4110" max="4110" width="10.6640625" style="2561" customWidth="1"/>
    <col min="4111" max="4111" width="1.109375" style="2561" customWidth="1"/>
    <col min="4112" max="4112" width="10" style="2561" customWidth="1"/>
    <col min="4113" max="4113" width="1.109375" style="2561" customWidth="1"/>
    <col min="4114" max="4114" width="9.109375" style="2561" customWidth="1"/>
    <col min="4115" max="4115" width="1.109375" style="2561" customWidth="1"/>
    <col min="4116" max="4116" width="7.6640625" style="2561" customWidth="1"/>
    <col min="4117" max="4117" width="1.109375" style="2561" customWidth="1"/>
    <col min="4118" max="4118" width="0.6640625" style="2561" customWidth="1"/>
    <col min="4119" max="4119" width="9.109375" style="2561" customWidth="1"/>
    <col min="4120" max="4120" width="1.109375" style="2561" customWidth="1"/>
    <col min="4121" max="4121" width="0.6640625" style="2561" customWidth="1"/>
    <col min="4122" max="4122" width="9.5546875" style="2561" bestFit="1" customWidth="1"/>
    <col min="4123" max="4124" width="0.6640625" style="2561" customWidth="1"/>
    <col min="4125" max="4125" width="9.6640625" style="2561" customWidth="1"/>
    <col min="4126" max="4126" width="1.109375" style="2561" customWidth="1"/>
    <col min="4127" max="4127" width="8.5546875" style="2561" customWidth="1"/>
    <col min="4128" max="4128" width="14.5546875" style="2561" customWidth="1"/>
    <col min="4129" max="4129" width="10" style="2561" customWidth="1"/>
    <col min="4130" max="4130" width="7.6640625" style="2561" bestFit="1" customWidth="1"/>
    <col min="4131" max="4131" width="9.6640625" style="2561" customWidth="1"/>
    <col min="4132" max="4348" width="8.6640625" style="2561"/>
    <col min="4349" max="4349" width="38.44140625" style="2561" customWidth="1"/>
    <col min="4350" max="4350" width="8.5546875" style="2561" customWidth="1"/>
    <col min="4351" max="4351" width="1.109375" style="2561" customWidth="1"/>
    <col min="4352" max="4352" width="8.6640625" style="2561" customWidth="1"/>
    <col min="4353" max="4353" width="1.109375" style="2561" customWidth="1"/>
    <col min="4354" max="4354" width="9.109375" style="2561" customWidth="1"/>
    <col min="4355" max="4355" width="1.109375" style="2561" customWidth="1"/>
    <col min="4356" max="4356" width="10" style="2561" customWidth="1"/>
    <col min="4357" max="4357" width="1.109375" style="2561" customWidth="1"/>
    <col min="4358" max="4358" width="9.109375" style="2561" customWidth="1"/>
    <col min="4359" max="4359" width="1.109375" style="2561" customWidth="1"/>
    <col min="4360" max="4360" width="11.109375" style="2561" customWidth="1"/>
    <col min="4361" max="4361" width="1.109375" style="2561" customWidth="1"/>
    <col min="4362" max="4362" width="9.109375" style="2561" customWidth="1"/>
    <col min="4363" max="4363" width="1.6640625" style="2561" customWidth="1"/>
    <col min="4364" max="4364" width="11" style="2561" customWidth="1"/>
    <col min="4365" max="4365" width="1.109375" style="2561" customWidth="1"/>
    <col min="4366" max="4366" width="10.6640625" style="2561" customWidth="1"/>
    <col min="4367" max="4367" width="1.109375" style="2561" customWidth="1"/>
    <col min="4368" max="4368" width="10" style="2561" customWidth="1"/>
    <col min="4369" max="4369" width="1.109375" style="2561" customWidth="1"/>
    <col min="4370" max="4370" width="9.109375" style="2561" customWidth="1"/>
    <col min="4371" max="4371" width="1.109375" style="2561" customWidth="1"/>
    <col min="4372" max="4372" width="7.6640625" style="2561" customWidth="1"/>
    <col min="4373" max="4373" width="1.109375" style="2561" customWidth="1"/>
    <col min="4374" max="4374" width="0.6640625" style="2561" customWidth="1"/>
    <col min="4375" max="4375" width="9.109375" style="2561" customWidth="1"/>
    <col min="4376" max="4376" width="1.109375" style="2561" customWidth="1"/>
    <col min="4377" max="4377" width="0.6640625" style="2561" customWidth="1"/>
    <col min="4378" max="4378" width="9.5546875" style="2561" bestFit="1" customWidth="1"/>
    <col min="4379" max="4380" width="0.6640625" style="2561" customWidth="1"/>
    <col min="4381" max="4381" width="9.6640625" style="2561" customWidth="1"/>
    <col min="4382" max="4382" width="1.109375" style="2561" customWidth="1"/>
    <col min="4383" max="4383" width="8.5546875" style="2561" customWidth="1"/>
    <col min="4384" max="4384" width="14.5546875" style="2561" customWidth="1"/>
    <col min="4385" max="4385" width="10" style="2561" customWidth="1"/>
    <col min="4386" max="4386" width="7.6640625" style="2561" bestFit="1" customWidth="1"/>
    <col min="4387" max="4387" width="9.6640625" style="2561" customWidth="1"/>
    <col min="4388" max="4604" width="8.6640625" style="2561"/>
    <col min="4605" max="4605" width="38.44140625" style="2561" customWidth="1"/>
    <col min="4606" max="4606" width="8.5546875" style="2561" customWidth="1"/>
    <col min="4607" max="4607" width="1.109375" style="2561" customWidth="1"/>
    <col min="4608" max="4608" width="8.6640625" style="2561" customWidth="1"/>
    <col min="4609" max="4609" width="1.109375" style="2561" customWidth="1"/>
    <col min="4610" max="4610" width="9.109375" style="2561" customWidth="1"/>
    <col min="4611" max="4611" width="1.109375" style="2561" customWidth="1"/>
    <col min="4612" max="4612" width="10" style="2561" customWidth="1"/>
    <col min="4613" max="4613" width="1.109375" style="2561" customWidth="1"/>
    <col min="4614" max="4614" width="9.109375" style="2561" customWidth="1"/>
    <col min="4615" max="4615" width="1.109375" style="2561" customWidth="1"/>
    <col min="4616" max="4616" width="11.109375" style="2561" customWidth="1"/>
    <col min="4617" max="4617" width="1.109375" style="2561" customWidth="1"/>
    <col min="4618" max="4618" width="9.109375" style="2561" customWidth="1"/>
    <col min="4619" max="4619" width="1.6640625" style="2561" customWidth="1"/>
    <col min="4620" max="4620" width="11" style="2561" customWidth="1"/>
    <col min="4621" max="4621" width="1.109375" style="2561" customWidth="1"/>
    <col min="4622" max="4622" width="10.6640625" style="2561" customWidth="1"/>
    <col min="4623" max="4623" width="1.109375" style="2561" customWidth="1"/>
    <col min="4624" max="4624" width="10" style="2561" customWidth="1"/>
    <col min="4625" max="4625" width="1.109375" style="2561" customWidth="1"/>
    <col min="4626" max="4626" width="9.109375" style="2561" customWidth="1"/>
    <col min="4627" max="4627" width="1.109375" style="2561" customWidth="1"/>
    <col min="4628" max="4628" width="7.6640625" style="2561" customWidth="1"/>
    <col min="4629" max="4629" width="1.109375" style="2561" customWidth="1"/>
    <col min="4630" max="4630" width="0.6640625" style="2561" customWidth="1"/>
    <col min="4631" max="4631" width="9.109375" style="2561" customWidth="1"/>
    <col min="4632" max="4632" width="1.109375" style="2561" customWidth="1"/>
    <col min="4633" max="4633" width="0.6640625" style="2561" customWidth="1"/>
    <col min="4634" max="4634" width="9.5546875" style="2561" bestFit="1" customWidth="1"/>
    <col min="4635" max="4636" width="0.6640625" style="2561" customWidth="1"/>
    <col min="4637" max="4637" width="9.6640625" style="2561" customWidth="1"/>
    <col min="4638" max="4638" width="1.109375" style="2561" customWidth="1"/>
    <col min="4639" max="4639" width="8.5546875" style="2561" customWidth="1"/>
    <col min="4640" max="4640" width="14.5546875" style="2561" customWidth="1"/>
    <col min="4641" max="4641" width="10" style="2561" customWidth="1"/>
    <col min="4642" max="4642" width="7.6640625" style="2561" bestFit="1" customWidth="1"/>
    <col min="4643" max="4643" width="9.6640625" style="2561" customWidth="1"/>
    <col min="4644" max="4860" width="8.6640625" style="2561"/>
    <col min="4861" max="4861" width="38.44140625" style="2561" customWidth="1"/>
    <col min="4862" max="4862" width="8.5546875" style="2561" customWidth="1"/>
    <col min="4863" max="4863" width="1.109375" style="2561" customWidth="1"/>
    <col min="4864" max="4864" width="8.6640625" style="2561" customWidth="1"/>
    <col min="4865" max="4865" width="1.109375" style="2561" customWidth="1"/>
    <col min="4866" max="4866" width="9.109375" style="2561" customWidth="1"/>
    <col min="4867" max="4867" width="1.109375" style="2561" customWidth="1"/>
    <col min="4868" max="4868" width="10" style="2561" customWidth="1"/>
    <col min="4869" max="4869" width="1.109375" style="2561" customWidth="1"/>
    <col min="4870" max="4870" width="9.109375" style="2561" customWidth="1"/>
    <col min="4871" max="4871" width="1.109375" style="2561" customWidth="1"/>
    <col min="4872" max="4872" width="11.109375" style="2561" customWidth="1"/>
    <col min="4873" max="4873" width="1.109375" style="2561" customWidth="1"/>
    <col min="4874" max="4874" width="9.109375" style="2561" customWidth="1"/>
    <col min="4875" max="4875" width="1.6640625" style="2561" customWidth="1"/>
    <col min="4876" max="4876" width="11" style="2561" customWidth="1"/>
    <col min="4877" max="4877" width="1.109375" style="2561" customWidth="1"/>
    <col min="4878" max="4878" width="10.6640625" style="2561" customWidth="1"/>
    <col min="4879" max="4879" width="1.109375" style="2561" customWidth="1"/>
    <col min="4880" max="4880" width="10" style="2561" customWidth="1"/>
    <col min="4881" max="4881" width="1.109375" style="2561" customWidth="1"/>
    <col min="4882" max="4882" width="9.109375" style="2561" customWidth="1"/>
    <col min="4883" max="4883" width="1.109375" style="2561" customWidth="1"/>
    <col min="4884" max="4884" width="7.6640625" style="2561" customWidth="1"/>
    <col min="4885" max="4885" width="1.109375" style="2561" customWidth="1"/>
    <col min="4886" max="4886" width="0.6640625" style="2561" customWidth="1"/>
    <col min="4887" max="4887" width="9.109375" style="2561" customWidth="1"/>
    <col min="4888" max="4888" width="1.109375" style="2561" customWidth="1"/>
    <col min="4889" max="4889" width="0.6640625" style="2561" customWidth="1"/>
    <col min="4890" max="4890" width="9.5546875" style="2561" bestFit="1" customWidth="1"/>
    <col min="4891" max="4892" width="0.6640625" style="2561" customWidth="1"/>
    <col min="4893" max="4893" width="9.6640625" style="2561" customWidth="1"/>
    <col min="4894" max="4894" width="1.109375" style="2561" customWidth="1"/>
    <col min="4895" max="4895" width="8.5546875" style="2561" customWidth="1"/>
    <col min="4896" max="4896" width="14.5546875" style="2561" customWidth="1"/>
    <col min="4897" max="4897" width="10" style="2561" customWidth="1"/>
    <col min="4898" max="4898" width="7.6640625" style="2561" bestFit="1" customWidth="1"/>
    <col min="4899" max="4899" width="9.6640625" style="2561" customWidth="1"/>
    <col min="4900" max="5116" width="8.6640625" style="2561"/>
    <col min="5117" max="5117" width="38.44140625" style="2561" customWidth="1"/>
    <col min="5118" max="5118" width="8.5546875" style="2561" customWidth="1"/>
    <col min="5119" max="5119" width="1.109375" style="2561" customWidth="1"/>
    <col min="5120" max="5120" width="8.6640625" style="2561" customWidth="1"/>
    <col min="5121" max="5121" width="1.109375" style="2561" customWidth="1"/>
    <col min="5122" max="5122" width="9.109375" style="2561" customWidth="1"/>
    <col min="5123" max="5123" width="1.109375" style="2561" customWidth="1"/>
    <col min="5124" max="5124" width="10" style="2561" customWidth="1"/>
    <col min="5125" max="5125" width="1.109375" style="2561" customWidth="1"/>
    <col min="5126" max="5126" width="9.109375" style="2561" customWidth="1"/>
    <col min="5127" max="5127" width="1.109375" style="2561" customWidth="1"/>
    <col min="5128" max="5128" width="11.109375" style="2561" customWidth="1"/>
    <col min="5129" max="5129" width="1.109375" style="2561" customWidth="1"/>
    <col min="5130" max="5130" width="9.109375" style="2561" customWidth="1"/>
    <col min="5131" max="5131" width="1.6640625" style="2561" customWidth="1"/>
    <col min="5132" max="5132" width="11" style="2561" customWidth="1"/>
    <col min="5133" max="5133" width="1.109375" style="2561" customWidth="1"/>
    <col min="5134" max="5134" width="10.6640625" style="2561" customWidth="1"/>
    <col min="5135" max="5135" width="1.109375" style="2561" customWidth="1"/>
    <col min="5136" max="5136" width="10" style="2561" customWidth="1"/>
    <col min="5137" max="5137" width="1.109375" style="2561" customWidth="1"/>
    <col min="5138" max="5138" width="9.109375" style="2561" customWidth="1"/>
    <col min="5139" max="5139" width="1.109375" style="2561" customWidth="1"/>
    <col min="5140" max="5140" width="7.6640625" style="2561" customWidth="1"/>
    <col min="5141" max="5141" width="1.109375" style="2561" customWidth="1"/>
    <col min="5142" max="5142" width="0.6640625" style="2561" customWidth="1"/>
    <col min="5143" max="5143" width="9.109375" style="2561" customWidth="1"/>
    <col min="5144" max="5144" width="1.109375" style="2561" customWidth="1"/>
    <col min="5145" max="5145" width="0.6640625" style="2561" customWidth="1"/>
    <col min="5146" max="5146" width="9.5546875" style="2561" bestFit="1" customWidth="1"/>
    <col min="5147" max="5148" width="0.6640625" style="2561" customWidth="1"/>
    <col min="5149" max="5149" width="9.6640625" style="2561" customWidth="1"/>
    <col min="5150" max="5150" width="1.109375" style="2561" customWidth="1"/>
    <col min="5151" max="5151" width="8.5546875" style="2561" customWidth="1"/>
    <col min="5152" max="5152" width="14.5546875" style="2561" customWidth="1"/>
    <col min="5153" max="5153" width="10" style="2561" customWidth="1"/>
    <col min="5154" max="5154" width="7.6640625" style="2561" bestFit="1" customWidth="1"/>
    <col min="5155" max="5155" width="9.6640625" style="2561" customWidth="1"/>
    <col min="5156" max="5372" width="8.6640625" style="2561"/>
    <col min="5373" max="5373" width="38.44140625" style="2561" customWidth="1"/>
    <col min="5374" max="5374" width="8.5546875" style="2561" customWidth="1"/>
    <col min="5375" max="5375" width="1.109375" style="2561" customWidth="1"/>
    <col min="5376" max="5376" width="8.6640625" style="2561" customWidth="1"/>
    <col min="5377" max="5377" width="1.109375" style="2561" customWidth="1"/>
    <col min="5378" max="5378" width="9.109375" style="2561" customWidth="1"/>
    <col min="5379" max="5379" width="1.109375" style="2561" customWidth="1"/>
    <col min="5380" max="5380" width="10" style="2561" customWidth="1"/>
    <col min="5381" max="5381" width="1.109375" style="2561" customWidth="1"/>
    <col min="5382" max="5382" width="9.109375" style="2561" customWidth="1"/>
    <col min="5383" max="5383" width="1.109375" style="2561" customWidth="1"/>
    <col min="5384" max="5384" width="11.109375" style="2561" customWidth="1"/>
    <col min="5385" max="5385" width="1.109375" style="2561" customWidth="1"/>
    <col min="5386" max="5386" width="9.109375" style="2561" customWidth="1"/>
    <col min="5387" max="5387" width="1.6640625" style="2561" customWidth="1"/>
    <col min="5388" max="5388" width="11" style="2561" customWidth="1"/>
    <col min="5389" max="5389" width="1.109375" style="2561" customWidth="1"/>
    <col min="5390" max="5390" width="10.6640625" style="2561" customWidth="1"/>
    <col min="5391" max="5391" width="1.109375" style="2561" customWidth="1"/>
    <col min="5392" max="5392" width="10" style="2561" customWidth="1"/>
    <col min="5393" max="5393" width="1.109375" style="2561" customWidth="1"/>
    <col min="5394" max="5394" width="9.109375" style="2561" customWidth="1"/>
    <col min="5395" max="5395" width="1.109375" style="2561" customWidth="1"/>
    <col min="5396" max="5396" width="7.6640625" style="2561" customWidth="1"/>
    <col min="5397" max="5397" width="1.109375" style="2561" customWidth="1"/>
    <col min="5398" max="5398" width="0.6640625" style="2561" customWidth="1"/>
    <col min="5399" max="5399" width="9.109375" style="2561" customWidth="1"/>
    <col min="5400" max="5400" width="1.109375" style="2561" customWidth="1"/>
    <col min="5401" max="5401" width="0.6640625" style="2561" customWidth="1"/>
    <col min="5402" max="5402" width="9.5546875" style="2561" bestFit="1" customWidth="1"/>
    <col min="5403" max="5404" width="0.6640625" style="2561" customWidth="1"/>
    <col min="5405" max="5405" width="9.6640625" style="2561" customWidth="1"/>
    <col min="5406" max="5406" width="1.109375" style="2561" customWidth="1"/>
    <col min="5407" max="5407" width="8.5546875" style="2561" customWidth="1"/>
    <col min="5408" max="5408" width="14.5546875" style="2561" customWidth="1"/>
    <col min="5409" max="5409" width="10" style="2561" customWidth="1"/>
    <col min="5410" max="5410" width="7.6640625" style="2561" bestFit="1" customWidth="1"/>
    <col min="5411" max="5411" width="9.6640625" style="2561" customWidth="1"/>
    <col min="5412" max="5628" width="8.6640625" style="2561"/>
    <col min="5629" max="5629" width="38.44140625" style="2561" customWidth="1"/>
    <col min="5630" max="5630" width="8.5546875" style="2561" customWidth="1"/>
    <col min="5631" max="5631" width="1.109375" style="2561" customWidth="1"/>
    <col min="5632" max="5632" width="8.6640625" style="2561" customWidth="1"/>
    <col min="5633" max="5633" width="1.109375" style="2561" customWidth="1"/>
    <col min="5634" max="5634" width="9.109375" style="2561" customWidth="1"/>
    <col min="5635" max="5635" width="1.109375" style="2561" customWidth="1"/>
    <col min="5636" max="5636" width="10" style="2561" customWidth="1"/>
    <col min="5637" max="5637" width="1.109375" style="2561" customWidth="1"/>
    <col min="5638" max="5638" width="9.109375" style="2561" customWidth="1"/>
    <col min="5639" max="5639" width="1.109375" style="2561" customWidth="1"/>
    <col min="5640" max="5640" width="11.109375" style="2561" customWidth="1"/>
    <col min="5641" max="5641" width="1.109375" style="2561" customWidth="1"/>
    <col min="5642" max="5642" width="9.109375" style="2561" customWidth="1"/>
    <col min="5643" max="5643" width="1.6640625" style="2561" customWidth="1"/>
    <col min="5644" max="5644" width="11" style="2561" customWidth="1"/>
    <col min="5645" max="5645" width="1.109375" style="2561" customWidth="1"/>
    <col min="5646" max="5646" width="10.6640625" style="2561" customWidth="1"/>
    <col min="5647" max="5647" width="1.109375" style="2561" customWidth="1"/>
    <col min="5648" max="5648" width="10" style="2561" customWidth="1"/>
    <col min="5649" max="5649" width="1.109375" style="2561" customWidth="1"/>
    <col min="5650" max="5650" width="9.109375" style="2561" customWidth="1"/>
    <col min="5651" max="5651" width="1.109375" style="2561" customWidth="1"/>
    <col min="5652" max="5652" width="7.6640625" style="2561" customWidth="1"/>
    <col min="5653" max="5653" width="1.109375" style="2561" customWidth="1"/>
    <col min="5654" max="5654" width="0.6640625" style="2561" customWidth="1"/>
    <col min="5655" max="5655" width="9.109375" style="2561" customWidth="1"/>
    <col min="5656" max="5656" width="1.109375" style="2561" customWidth="1"/>
    <col min="5657" max="5657" width="0.6640625" style="2561" customWidth="1"/>
    <col min="5658" max="5658" width="9.5546875" style="2561" bestFit="1" customWidth="1"/>
    <col min="5659" max="5660" width="0.6640625" style="2561" customWidth="1"/>
    <col min="5661" max="5661" width="9.6640625" style="2561" customWidth="1"/>
    <col min="5662" max="5662" width="1.109375" style="2561" customWidth="1"/>
    <col min="5663" max="5663" width="8.5546875" style="2561" customWidth="1"/>
    <col min="5664" max="5664" width="14.5546875" style="2561" customWidth="1"/>
    <col min="5665" max="5665" width="10" style="2561" customWidth="1"/>
    <col min="5666" max="5666" width="7.6640625" style="2561" bestFit="1" customWidth="1"/>
    <col min="5667" max="5667" width="9.6640625" style="2561" customWidth="1"/>
    <col min="5668" max="5884" width="8.6640625" style="2561"/>
    <col min="5885" max="5885" width="38.44140625" style="2561" customWidth="1"/>
    <col min="5886" max="5886" width="8.5546875" style="2561" customWidth="1"/>
    <col min="5887" max="5887" width="1.109375" style="2561" customWidth="1"/>
    <col min="5888" max="5888" width="8.6640625" style="2561" customWidth="1"/>
    <col min="5889" max="5889" width="1.109375" style="2561" customWidth="1"/>
    <col min="5890" max="5890" width="9.109375" style="2561" customWidth="1"/>
    <col min="5891" max="5891" width="1.109375" style="2561" customWidth="1"/>
    <col min="5892" max="5892" width="10" style="2561" customWidth="1"/>
    <col min="5893" max="5893" width="1.109375" style="2561" customWidth="1"/>
    <col min="5894" max="5894" width="9.109375" style="2561" customWidth="1"/>
    <col min="5895" max="5895" width="1.109375" style="2561" customWidth="1"/>
    <col min="5896" max="5896" width="11.109375" style="2561" customWidth="1"/>
    <col min="5897" max="5897" width="1.109375" style="2561" customWidth="1"/>
    <col min="5898" max="5898" width="9.109375" style="2561" customWidth="1"/>
    <col min="5899" max="5899" width="1.6640625" style="2561" customWidth="1"/>
    <col min="5900" max="5900" width="11" style="2561" customWidth="1"/>
    <col min="5901" max="5901" width="1.109375" style="2561" customWidth="1"/>
    <col min="5902" max="5902" width="10.6640625" style="2561" customWidth="1"/>
    <col min="5903" max="5903" width="1.109375" style="2561" customWidth="1"/>
    <col min="5904" max="5904" width="10" style="2561" customWidth="1"/>
    <col min="5905" max="5905" width="1.109375" style="2561" customWidth="1"/>
    <col min="5906" max="5906" width="9.109375" style="2561" customWidth="1"/>
    <col min="5907" max="5907" width="1.109375" style="2561" customWidth="1"/>
    <col min="5908" max="5908" width="7.6640625" style="2561" customWidth="1"/>
    <col min="5909" max="5909" width="1.109375" style="2561" customWidth="1"/>
    <col min="5910" max="5910" width="0.6640625" style="2561" customWidth="1"/>
    <col min="5911" max="5911" width="9.109375" style="2561" customWidth="1"/>
    <col min="5912" max="5912" width="1.109375" style="2561" customWidth="1"/>
    <col min="5913" max="5913" width="0.6640625" style="2561" customWidth="1"/>
    <col min="5914" max="5914" width="9.5546875" style="2561" bestFit="1" customWidth="1"/>
    <col min="5915" max="5916" width="0.6640625" style="2561" customWidth="1"/>
    <col min="5917" max="5917" width="9.6640625" style="2561" customWidth="1"/>
    <col min="5918" max="5918" width="1.109375" style="2561" customWidth="1"/>
    <col min="5919" max="5919" width="8.5546875" style="2561" customWidth="1"/>
    <col min="5920" max="5920" width="14.5546875" style="2561" customWidth="1"/>
    <col min="5921" max="5921" width="10" style="2561" customWidth="1"/>
    <col min="5922" max="5922" width="7.6640625" style="2561" bestFit="1" customWidth="1"/>
    <col min="5923" max="5923" width="9.6640625" style="2561" customWidth="1"/>
    <col min="5924" max="6140" width="8.6640625" style="2561"/>
    <col min="6141" max="6141" width="38.44140625" style="2561" customWidth="1"/>
    <col min="6142" max="6142" width="8.5546875" style="2561" customWidth="1"/>
    <col min="6143" max="6143" width="1.109375" style="2561" customWidth="1"/>
    <col min="6144" max="6144" width="8.6640625" style="2561" customWidth="1"/>
    <col min="6145" max="6145" width="1.109375" style="2561" customWidth="1"/>
    <col min="6146" max="6146" width="9.109375" style="2561" customWidth="1"/>
    <col min="6147" max="6147" width="1.109375" style="2561" customWidth="1"/>
    <col min="6148" max="6148" width="10" style="2561" customWidth="1"/>
    <col min="6149" max="6149" width="1.109375" style="2561" customWidth="1"/>
    <col min="6150" max="6150" width="9.109375" style="2561" customWidth="1"/>
    <col min="6151" max="6151" width="1.109375" style="2561" customWidth="1"/>
    <col min="6152" max="6152" width="11.109375" style="2561" customWidth="1"/>
    <col min="6153" max="6153" width="1.109375" style="2561" customWidth="1"/>
    <col min="6154" max="6154" width="9.109375" style="2561" customWidth="1"/>
    <col min="6155" max="6155" width="1.6640625" style="2561" customWidth="1"/>
    <col min="6156" max="6156" width="11" style="2561" customWidth="1"/>
    <col min="6157" max="6157" width="1.109375" style="2561" customWidth="1"/>
    <col min="6158" max="6158" width="10.6640625" style="2561" customWidth="1"/>
    <col min="6159" max="6159" width="1.109375" style="2561" customWidth="1"/>
    <col min="6160" max="6160" width="10" style="2561" customWidth="1"/>
    <col min="6161" max="6161" width="1.109375" style="2561" customWidth="1"/>
    <col min="6162" max="6162" width="9.109375" style="2561" customWidth="1"/>
    <col min="6163" max="6163" width="1.109375" style="2561" customWidth="1"/>
    <col min="6164" max="6164" width="7.6640625" style="2561" customWidth="1"/>
    <col min="6165" max="6165" width="1.109375" style="2561" customWidth="1"/>
    <col min="6166" max="6166" width="0.6640625" style="2561" customWidth="1"/>
    <col min="6167" max="6167" width="9.109375" style="2561" customWidth="1"/>
    <col min="6168" max="6168" width="1.109375" style="2561" customWidth="1"/>
    <col min="6169" max="6169" width="0.6640625" style="2561" customWidth="1"/>
    <col min="6170" max="6170" width="9.5546875" style="2561" bestFit="1" customWidth="1"/>
    <col min="6171" max="6172" width="0.6640625" style="2561" customWidth="1"/>
    <col min="6173" max="6173" width="9.6640625" style="2561" customWidth="1"/>
    <col min="6174" max="6174" width="1.109375" style="2561" customWidth="1"/>
    <col min="6175" max="6175" width="8.5546875" style="2561" customWidth="1"/>
    <col min="6176" max="6176" width="14.5546875" style="2561" customWidth="1"/>
    <col min="6177" max="6177" width="10" style="2561" customWidth="1"/>
    <col min="6178" max="6178" width="7.6640625" style="2561" bestFit="1" customWidth="1"/>
    <col min="6179" max="6179" width="9.6640625" style="2561" customWidth="1"/>
    <col min="6180" max="6396" width="8.6640625" style="2561"/>
    <col min="6397" max="6397" width="38.44140625" style="2561" customWidth="1"/>
    <col min="6398" max="6398" width="8.5546875" style="2561" customWidth="1"/>
    <col min="6399" max="6399" width="1.109375" style="2561" customWidth="1"/>
    <col min="6400" max="6400" width="8.6640625" style="2561" customWidth="1"/>
    <col min="6401" max="6401" width="1.109375" style="2561" customWidth="1"/>
    <col min="6402" max="6402" width="9.109375" style="2561" customWidth="1"/>
    <col min="6403" max="6403" width="1.109375" style="2561" customWidth="1"/>
    <col min="6404" max="6404" width="10" style="2561" customWidth="1"/>
    <col min="6405" max="6405" width="1.109375" style="2561" customWidth="1"/>
    <col min="6406" max="6406" width="9.109375" style="2561" customWidth="1"/>
    <col min="6407" max="6407" width="1.109375" style="2561" customWidth="1"/>
    <col min="6408" max="6408" width="11.109375" style="2561" customWidth="1"/>
    <col min="6409" max="6409" width="1.109375" style="2561" customWidth="1"/>
    <col min="6410" max="6410" width="9.109375" style="2561" customWidth="1"/>
    <col min="6411" max="6411" width="1.6640625" style="2561" customWidth="1"/>
    <col min="6412" max="6412" width="11" style="2561" customWidth="1"/>
    <col min="6413" max="6413" width="1.109375" style="2561" customWidth="1"/>
    <col min="6414" max="6414" width="10.6640625" style="2561" customWidth="1"/>
    <col min="6415" max="6415" width="1.109375" style="2561" customWidth="1"/>
    <col min="6416" max="6416" width="10" style="2561" customWidth="1"/>
    <col min="6417" max="6417" width="1.109375" style="2561" customWidth="1"/>
    <col min="6418" max="6418" width="9.109375" style="2561" customWidth="1"/>
    <col min="6419" max="6419" width="1.109375" style="2561" customWidth="1"/>
    <col min="6420" max="6420" width="7.6640625" style="2561" customWidth="1"/>
    <col min="6421" max="6421" width="1.109375" style="2561" customWidth="1"/>
    <col min="6422" max="6422" width="0.6640625" style="2561" customWidth="1"/>
    <col min="6423" max="6423" width="9.109375" style="2561" customWidth="1"/>
    <col min="6424" max="6424" width="1.109375" style="2561" customWidth="1"/>
    <col min="6425" max="6425" width="0.6640625" style="2561" customWidth="1"/>
    <col min="6426" max="6426" width="9.5546875" style="2561" bestFit="1" customWidth="1"/>
    <col min="6427" max="6428" width="0.6640625" style="2561" customWidth="1"/>
    <col min="6429" max="6429" width="9.6640625" style="2561" customWidth="1"/>
    <col min="6430" max="6430" width="1.109375" style="2561" customWidth="1"/>
    <col min="6431" max="6431" width="8.5546875" style="2561" customWidth="1"/>
    <col min="6432" max="6432" width="14.5546875" style="2561" customWidth="1"/>
    <col min="6433" max="6433" width="10" style="2561" customWidth="1"/>
    <col min="6434" max="6434" width="7.6640625" style="2561" bestFit="1" customWidth="1"/>
    <col min="6435" max="6435" width="9.6640625" style="2561" customWidth="1"/>
    <col min="6436" max="6652" width="8.6640625" style="2561"/>
    <col min="6653" max="6653" width="38.44140625" style="2561" customWidth="1"/>
    <col min="6654" max="6654" width="8.5546875" style="2561" customWidth="1"/>
    <col min="6655" max="6655" width="1.109375" style="2561" customWidth="1"/>
    <col min="6656" max="6656" width="8.6640625" style="2561" customWidth="1"/>
    <col min="6657" max="6657" width="1.109375" style="2561" customWidth="1"/>
    <col min="6658" max="6658" width="9.109375" style="2561" customWidth="1"/>
    <col min="6659" max="6659" width="1.109375" style="2561" customWidth="1"/>
    <col min="6660" max="6660" width="10" style="2561" customWidth="1"/>
    <col min="6661" max="6661" width="1.109375" style="2561" customWidth="1"/>
    <col min="6662" max="6662" width="9.109375" style="2561" customWidth="1"/>
    <col min="6663" max="6663" width="1.109375" style="2561" customWidth="1"/>
    <col min="6664" max="6664" width="11.109375" style="2561" customWidth="1"/>
    <col min="6665" max="6665" width="1.109375" style="2561" customWidth="1"/>
    <col min="6666" max="6666" width="9.109375" style="2561" customWidth="1"/>
    <col min="6667" max="6667" width="1.6640625" style="2561" customWidth="1"/>
    <col min="6668" max="6668" width="11" style="2561" customWidth="1"/>
    <col min="6669" max="6669" width="1.109375" style="2561" customWidth="1"/>
    <col min="6670" max="6670" width="10.6640625" style="2561" customWidth="1"/>
    <col min="6671" max="6671" width="1.109375" style="2561" customWidth="1"/>
    <col min="6672" max="6672" width="10" style="2561" customWidth="1"/>
    <col min="6673" max="6673" width="1.109375" style="2561" customWidth="1"/>
    <col min="6674" max="6674" width="9.109375" style="2561" customWidth="1"/>
    <col min="6675" max="6675" width="1.109375" style="2561" customWidth="1"/>
    <col min="6676" max="6676" width="7.6640625" style="2561" customWidth="1"/>
    <col min="6677" max="6677" width="1.109375" style="2561" customWidth="1"/>
    <col min="6678" max="6678" width="0.6640625" style="2561" customWidth="1"/>
    <col min="6679" max="6679" width="9.109375" style="2561" customWidth="1"/>
    <col min="6680" max="6680" width="1.109375" style="2561" customWidth="1"/>
    <col min="6681" max="6681" width="0.6640625" style="2561" customWidth="1"/>
    <col min="6682" max="6682" width="9.5546875" style="2561" bestFit="1" customWidth="1"/>
    <col min="6683" max="6684" width="0.6640625" style="2561" customWidth="1"/>
    <col min="6685" max="6685" width="9.6640625" style="2561" customWidth="1"/>
    <col min="6686" max="6686" width="1.109375" style="2561" customWidth="1"/>
    <col min="6687" max="6687" width="8.5546875" style="2561" customWidth="1"/>
    <col min="6688" max="6688" width="14.5546875" style="2561" customWidth="1"/>
    <col min="6689" max="6689" width="10" style="2561" customWidth="1"/>
    <col min="6690" max="6690" width="7.6640625" style="2561" bestFit="1" customWidth="1"/>
    <col min="6691" max="6691" width="9.6640625" style="2561" customWidth="1"/>
    <col min="6692" max="6908" width="8.6640625" style="2561"/>
    <col min="6909" max="6909" width="38.44140625" style="2561" customWidth="1"/>
    <col min="6910" max="6910" width="8.5546875" style="2561" customWidth="1"/>
    <col min="6911" max="6911" width="1.109375" style="2561" customWidth="1"/>
    <col min="6912" max="6912" width="8.6640625" style="2561" customWidth="1"/>
    <col min="6913" max="6913" width="1.109375" style="2561" customWidth="1"/>
    <col min="6914" max="6914" width="9.109375" style="2561" customWidth="1"/>
    <col min="6915" max="6915" width="1.109375" style="2561" customWidth="1"/>
    <col min="6916" max="6916" width="10" style="2561" customWidth="1"/>
    <col min="6917" max="6917" width="1.109375" style="2561" customWidth="1"/>
    <col min="6918" max="6918" width="9.109375" style="2561" customWidth="1"/>
    <col min="6919" max="6919" width="1.109375" style="2561" customWidth="1"/>
    <col min="6920" max="6920" width="11.109375" style="2561" customWidth="1"/>
    <col min="6921" max="6921" width="1.109375" style="2561" customWidth="1"/>
    <col min="6922" max="6922" width="9.109375" style="2561" customWidth="1"/>
    <col min="6923" max="6923" width="1.6640625" style="2561" customWidth="1"/>
    <col min="6924" max="6924" width="11" style="2561" customWidth="1"/>
    <col min="6925" max="6925" width="1.109375" style="2561" customWidth="1"/>
    <col min="6926" max="6926" width="10.6640625" style="2561" customWidth="1"/>
    <col min="6927" max="6927" width="1.109375" style="2561" customWidth="1"/>
    <col min="6928" max="6928" width="10" style="2561" customWidth="1"/>
    <col min="6929" max="6929" width="1.109375" style="2561" customWidth="1"/>
    <col min="6930" max="6930" width="9.109375" style="2561" customWidth="1"/>
    <col min="6931" max="6931" width="1.109375" style="2561" customWidth="1"/>
    <col min="6932" max="6932" width="7.6640625" style="2561" customWidth="1"/>
    <col min="6933" max="6933" width="1.109375" style="2561" customWidth="1"/>
    <col min="6934" max="6934" width="0.6640625" style="2561" customWidth="1"/>
    <col min="6935" max="6935" width="9.109375" style="2561" customWidth="1"/>
    <col min="6936" max="6936" width="1.109375" style="2561" customWidth="1"/>
    <col min="6937" max="6937" width="0.6640625" style="2561" customWidth="1"/>
    <col min="6938" max="6938" width="9.5546875" style="2561" bestFit="1" customWidth="1"/>
    <col min="6939" max="6940" width="0.6640625" style="2561" customWidth="1"/>
    <col min="6941" max="6941" width="9.6640625" style="2561" customWidth="1"/>
    <col min="6942" max="6942" width="1.109375" style="2561" customWidth="1"/>
    <col min="6943" max="6943" width="8.5546875" style="2561" customWidth="1"/>
    <col min="6944" max="6944" width="14.5546875" style="2561" customWidth="1"/>
    <col min="6945" max="6945" width="10" style="2561" customWidth="1"/>
    <col min="6946" max="6946" width="7.6640625" style="2561" bestFit="1" customWidth="1"/>
    <col min="6947" max="6947" width="9.6640625" style="2561" customWidth="1"/>
    <col min="6948" max="7164" width="8.6640625" style="2561"/>
    <col min="7165" max="7165" width="38.44140625" style="2561" customWidth="1"/>
    <col min="7166" max="7166" width="8.5546875" style="2561" customWidth="1"/>
    <col min="7167" max="7167" width="1.109375" style="2561" customWidth="1"/>
    <col min="7168" max="7168" width="8.6640625" style="2561" customWidth="1"/>
    <col min="7169" max="7169" width="1.109375" style="2561" customWidth="1"/>
    <col min="7170" max="7170" width="9.109375" style="2561" customWidth="1"/>
    <col min="7171" max="7171" width="1.109375" style="2561" customWidth="1"/>
    <col min="7172" max="7172" width="10" style="2561" customWidth="1"/>
    <col min="7173" max="7173" width="1.109375" style="2561" customWidth="1"/>
    <col min="7174" max="7174" width="9.109375" style="2561" customWidth="1"/>
    <col min="7175" max="7175" width="1.109375" style="2561" customWidth="1"/>
    <col min="7176" max="7176" width="11.109375" style="2561" customWidth="1"/>
    <col min="7177" max="7177" width="1.109375" style="2561" customWidth="1"/>
    <col min="7178" max="7178" width="9.109375" style="2561" customWidth="1"/>
    <col min="7179" max="7179" width="1.6640625" style="2561" customWidth="1"/>
    <col min="7180" max="7180" width="11" style="2561" customWidth="1"/>
    <col min="7181" max="7181" width="1.109375" style="2561" customWidth="1"/>
    <col min="7182" max="7182" width="10.6640625" style="2561" customWidth="1"/>
    <col min="7183" max="7183" width="1.109375" style="2561" customWidth="1"/>
    <col min="7184" max="7184" width="10" style="2561" customWidth="1"/>
    <col min="7185" max="7185" width="1.109375" style="2561" customWidth="1"/>
    <col min="7186" max="7186" width="9.109375" style="2561" customWidth="1"/>
    <col min="7187" max="7187" width="1.109375" style="2561" customWidth="1"/>
    <col min="7188" max="7188" width="7.6640625" style="2561" customWidth="1"/>
    <col min="7189" max="7189" width="1.109375" style="2561" customWidth="1"/>
    <col min="7190" max="7190" width="0.6640625" style="2561" customWidth="1"/>
    <col min="7191" max="7191" width="9.109375" style="2561" customWidth="1"/>
    <col min="7192" max="7192" width="1.109375" style="2561" customWidth="1"/>
    <col min="7193" max="7193" width="0.6640625" style="2561" customWidth="1"/>
    <col min="7194" max="7194" width="9.5546875" style="2561" bestFit="1" customWidth="1"/>
    <col min="7195" max="7196" width="0.6640625" style="2561" customWidth="1"/>
    <col min="7197" max="7197" width="9.6640625" style="2561" customWidth="1"/>
    <col min="7198" max="7198" width="1.109375" style="2561" customWidth="1"/>
    <col min="7199" max="7199" width="8.5546875" style="2561" customWidth="1"/>
    <col min="7200" max="7200" width="14.5546875" style="2561" customWidth="1"/>
    <col min="7201" max="7201" width="10" style="2561" customWidth="1"/>
    <col min="7202" max="7202" width="7.6640625" style="2561" bestFit="1" customWidth="1"/>
    <col min="7203" max="7203" width="9.6640625" style="2561" customWidth="1"/>
    <col min="7204" max="7420" width="8.6640625" style="2561"/>
    <col min="7421" max="7421" width="38.44140625" style="2561" customWidth="1"/>
    <col min="7422" max="7422" width="8.5546875" style="2561" customWidth="1"/>
    <col min="7423" max="7423" width="1.109375" style="2561" customWidth="1"/>
    <col min="7424" max="7424" width="8.6640625" style="2561" customWidth="1"/>
    <col min="7425" max="7425" width="1.109375" style="2561" customWidth="1"/>
    <col min="7426" max="7426" width="9.109375" style="2561" customWidth="1"/>
    <col min="7427" max="7427" width="1.109375" style="2561" customWidth="1"/>
    <col min="7428" max="7428" width="10" style="2561" customWidth="1"/>
    <col min="7429" max="7429" width="1.109375" style="2561" customWidth="1"/>
    <col min="7430" max="7430" width="9.109375" style="2561" customWidth="1"/>
    <col min="7431" max="7431" width="1.109375" style="2561" customWidth="1"/>
    <col min="7432" max="7432" width="11.109375" style="2561" customWidth="1"/>
    <col min="7433" max="7433" width="1.109375" style="2561" customWidth="1"/>
    <col min="7434" max="7434" width="9.109375" style="2561" customWidth="1"/>
    <col min="7435" max="7435" width="1.6640625" style="2561" customWidth="1"/>
    <col min="7436" max="7436" width="11" style="2561" customWidth="1"/>
    <col min="7437" max="7437" width="1.109375" style="2561" customWidth="1"/>
    <col min="7438" max="7438" width="10.6640625" style="2561" customWidth="1"/>
    <col min="7439" max="7439" width="1.109375" style="2561" customWidth="1"/>
    <col min="7440" max="7440" width="10" style="2561" customWidth="1"/>
    <col min="7441" max="7441" width="1.109375" style="2561" customWidth="1"/>
    <col min="7442" max="7442" width="9.109375" style="2561" customWidth="1"/>
    <col min="7443" max="7443" width="1.109375" style="2561" customWidth="1"/>
    <col min="7444" max="7444" width="7.6640625" style="2561" customWidth="1"/>
    <col min="7445" max="7445" width="1.109375" style="2561" customWidth="1"/>
    <col min="7446" max="7446" width="0.6640625" style="2561" customWidth="1"/>
    <col min="7447" max="7447" width="9.109375" style="2561" customWidth="1"/>
    <col min="7448" max="7448" width="1.109375" style="2561" customWidth="1"/>
    <col min="7449" max="7449" width="0.6640625" style="2561" customWidth="1"/>
    <col min="7450" max="7450" width="9.5546875" style="2561" bestFit="1" customWidth="1"/>
    <col min="7451" max="7452" width="0.6640625" style="2561" customWidth="1"/>
    <col min="7453" max="7453" width="9.6640625" style="2561" customWidth="1"/>
    <col min="7454" max="7454" width="1.109375" style="2561" customWidth="1"/>
    <col min="7455" max="7455" width="8.5546875" style="2561" customWidth="1"/>
    <col min="7456" max="7456" width="14.5546875" style="2561" customWidth="1"/>
    <col min="7457" max="7457" width="10" style="2561" customWidth="1"/>
    <col min="7458" max="7458" width="7.6640625" style="2561" bestFit="1" customWidth="1"/>
    <col min="7459" max="7459" width="9.6640625" style="2561" customWidth="1"/>
    <col min="7460" max="7676" width="8.6640625" style="2561"/>
    <col min="7677" max="7677" width="38.44140625" style="2561" customWidth="1"/>
    <col min="7678" max="7678" width="8.5546875" style="2561" customWidth="1"/>
    <col min="7679" max="7679" width="1.109375" style="2561" customWidth="1"/>
    <col min="7680" max="7680" width="8.6640625" style="2561" customWidth="1"/>
    <col min="7681" max="7681" width="1.109375" style="2561" customWidth="1"/>
    <col min="7682" max="7682" width="9.109375" style="2561" customWidth="1"/>
    <col min="7683" max="7683" width="1.109375" style="2561" customWidth="1"/>
    <col min="7684" max="7684" width="10" style="2561" customWidth="1"/>
    <col min="7685" max="7685" width="1.109375" style="2561" customWidth="1"/>
    <col min="7686" max="7686" width="9.109375" style="2561" customWidth="1"/>
    <col min="7687" max="7687" width="1.109375" style="2561" customWidth="1"/>
    <col min="7688" max="7688" width="11.109375" style="2561" customWidth="1"/>
    <col min="7689" max="7689" width="1.109375" style="2561" customWidth="1"/>
    <col min="7690" max="7690" width="9.109375" style="2561" customWidth="1"/>
    <col min="7691" max="7691" width="1.6640625" style="2561" customWidth="1"/>
    <col min="7692" max="7692" width="11" style="2561" customWidth="1"/>
    <col min="7693" max="7693" width="1.109375" style="2561" customWidth="1"/>
    <col min="7694" max="7694" width="10.6640625" style="2561" customWidth="1"/>
    <col min="7695" max="7695" width="1.109375" style="2561" customWidth="1"/>
    <col min="7696" max="7696" width="10" style="2561" customWidth="1"/>
    <col min="7697" max="7697" width="1.109375" style="2561" customWidth="1"/>
    <col min="7698" max="7698" width="9.109375" style="2561" customWidth="1"/>
    <col min="7699" max="7699" width="1.109375" style="2561" customWidth="1"/>
    <col min="7700" max="7700" width="7.6640625" style="2561" customWidth="1"/>
    <col min="7701" max="7701" width="1.109375" style="2561" customWidth="1"/>
    <col min="7702" max="7702" width="0.6640625" style="2561" customWidth="1"/>
    <col min="7703" max="7703" width="9.109375" style="2561" customWidth="1"/>
    <col min="7704" max="7704" width="1.109375" style="2561" customWidth="1"/>
    <col min="7705" max="7705" width="0.6640625" style="2561" customWidth="1"/>
    <col min="7706" max="7706" width="9.5546875" style="2561" bestFit="1" customWidth="1"/>
    <col min="7707" max="7708" width="0.6640625" style="2561" customWidth="1"/>
    <col min="7709" max="7709" width="9.6640625" style="2561" customWidth="1"/>
    <col min="7710" max="7710" width="1.109375" style="2561" customWidth="1"/>
    <col min="7711" max="7711" width="8.5546875" style="2561" customWidth="1"/>
    <col min="7712" max="7712" width="14.5546875" style="2561" customWidth="1"/>
    <col min="7713" max="7713" width="10" style="2561" customWidth="1"/>
    <col min="7714" max="7714" width="7.6640625" style="2561" bestFit="1" customWidth="1"/>
    <col min="7715" max="7715" width="9.6640625" style="2561" customWidth="1"/>
    <col min="7716" max="7932" width="8.6640625" style="2561"/>
    <col min="7933" max="7933" width="38.44140625" style="2561" customWidth="1"/>
    <col min="7934" max="7934" width="8.5546875" style="2561" customWidth="1"/>
    <col min="7935" max="7935" width="1.109375" style="2561" customWidth="1"/>
    <col min="7936" max="7936" width="8.6640625" style="2561" customWidth="1"/>
    <col min="7937" max="7937" width="1.109375" style="2561" customWidth="1"/>
    <col min="7938" max="7938" width="9.109375" style="2561" customWidth="1"/>
    <col min="7939" max="7939" width="1.109375" style="2561" customWidth="1"/>
    <col min="7940" max="7940" width="10" style="2561" customWidth="1"/>
    <col min="7941" max="7941" width="1.109375" style="2561" customWidth="1"/>
    <col min="7942" max="7942" width="9.109375" style="2561" customWidth="1"/>
    <col min="7943" max="7943" width="1.109375" style="2561" customWidth="1"/>
    <col min="7944" max="7944" width="11.109375" style="2561" customWidth="1"/>
    <col min="7945" max="7945" width="1.109375" style="2561" customWidth="1"/>
    <col min="7946" max="7946" width="9.109375" style="2561" customWidth="1"/>
    <col min="7947" max="7947" width="1.6640625" style="2561" customWidth="1"/>
    <col min="7948" max="7948" width="11" style="2561" customWidth="1"/>
    <col min="7949" max="7949" width="1.109375" style="2561" customWidth="1"/>
    <col min="7950" max="7950" width="10.6640625" style="2561" customWidth="1"/>
    <col min="7951" max="7951" width="1.109375" style="2561" customWidth="1"/>
    <col min="7952" max="7952" width="10" style="2561" customWidth="1"/>
    <col min="7953" max="7953" width="1.109375" style="2561" customWidth="1"/>
    <col min="7954" max="7954" width="9.109375" style="2561" customWidth="1"/>
    <col min="7955" max="7955" width="1.109375" style="2561" customWidth="1"/>
    <col min="7956" max="7956" width="7.6640625" style="2561" customWidth="1"/>
    <col min="7957" max="7957" width="1.109375" style="2561" customWidth="1"/>
    <col min="7958" max="7958" width="0.6640625" style="2561" customWidth="1"/>
    <col min="7959" max="7959" width="9.109375" style="2561" customWidth="1"/>
    <col min="7960" max="7960" width="1.109375" style="2561" customWidth="1"/>
    <col min="7961" max="7961" width="0.6640625" style="2561" customWidth="1"/>
    <col min="7962" max="7962" width="9.5546875" style="2561" bestFit="1" customWidth="1"/>
    <col min="7963" max="7964" width="0.6640625" style="2561" customWidth="1"/>
    <col min="7965" max="7965" width="9.6640625" style="2561" customWidth="1"/>
    <col min="7966" max="7966" width="1.109375" style="2561" customWidth="1"/>
    <col min="7967" max="7967" width="8.5546875" style="2561" customWidth="1"/>
    <col min="7968" max="7968" width="14.5546875" style="2561" customWidth="1"/>
    <col min="7969" max="7969" width="10" style="2561" customWidth="1"/>
    <col min="7970" max="7970" width="7.6640625" style="2561" bestFit="1" customWidth="1"/>
    <col min="7971" max="7971" width="9.6640625" style="2561" customWidth="1"/>
    <col min="7972" max="8188" width="8.6640625" style="2561"/>
    <col min="8189" max="8189" width="38.44140625" style="2561" customWidth="1"/>
    <col min="8190" max="8190" width="8.5546875" style="2561" customWidth="1"/>
    <col min="8191" max="8191" width="1.109375" style="2561" customWidth="1"/>
    <col min="8192" max="8192" width="8.6640625" style="2561" customWidth="1"/>
    <col min="8193" max="8193" width="1.109375" style="2561" customWidth="1"/>
    <col min="8194" max="8194" width="9.109375" style="2561" customWidth="1"/>
    <col min="8195" max="8195" width="1.109375" style="2561" customWidth="1"/>
    <col min="8196" max="8196" width="10" style="2561" customWidth="1"/>
    <col min="8197" max="8197" width="1.109375" style="2561" customWidth="1"/>
    <col min="8198" max="8198" width="9.109375" style="2561" customWidth="1"/>
    <col min="8199" max="8199" width="1.109375" style="2561" customWidth="1"/>
    <col min="8200" max="8200" width="11.109375" style="2561" customWidth="1"/>
    <col min="8201" max="8201" width="1.109375" style="2561" customWidth="1"/>
    <col min="8202" max="8202" width="9.109375" style="2561" customWidth="1"/>
    <col min="8203" max="8203" width="1.6640625" style="2561" customWidth="1"/>
    <col min="8204" max="8204" width="11" style="2561" customWidth="1"/>
    <col min="8205" max="8205" width="1.109375" style="2561" customWidth="1"/>
    <col min="8206" max="8206" width="10.6640625" style="2561" customWidth="1"/>
    <col min="8207" max="8207" width="1.109375" style="2561" customWidth="1"/>
    <col min="8208" max="8208" width="10" style="2561" customWidth="1"/>
    <col min="8209" max="8209" width="1.109375" style="2561" customWidth="1"/>
    <col min="8210" max="8210" width="9.109375" style="2561" customWidth="1"/>
    <col min="8211" max="8211" width="1.109375" style="2561" customWidth="1"/>
    <col min="8212" max="8212" width="7.6640625" style="2561" customWidth="1"/>
    <col min="8213" max="8213" width="1.109375" style="2561" customWidth="1"/>
    <col min="8214" max="8214" width="0.6640625" style="2561" customWidth="1"/>
    <col min="8215" max="8215" width="9.109375" style="2561" customWidth="1"/>
    <col min="8216" max="8216" width="1.109375" style="2561" customWidth="1"/>
    <col min="8217" max="8217" width="0.6640625" style="2561" customWidth="1"/>
    <col min="8218" max="8218" width="9.5546875" style="2561" bestFit="1" customWidth="1"/>
    <col min="8219" max="8220" width="0.6640625" style="2561" customWidth="1"/>
    <col min="8221" max="8221" width="9.6640625" style="2561" customWidth="1"/>
    <col min="8222" max="8222" width="1.109375" style="2561" customWidth="1"/>
    <col min="8223" max="8223" width="8.5546875" style="2561" customWidth="1"/>
    <col min="8224" max="8224" width="14.5546875" style="2561" customWidth="1"/>
    <col min="8225" max="8225" width="10" style="2561" customWidth="1"/>
    <col min="8226" max="8226" width="7.6640625" style="2561" bestFit="1" customWidth="1"/>
    <col min="8227" max="8227" width="9.6640625" style="2561" customWidth="1"/>
    <col min="8228" max="8444" width="8.6640625" style="2561"/>
    <col min="8445" max="8445" width="38.44140625" style="2561" customWidth="1"/>
    <col min="8446" max="8446" width="8.5546875" style="2561" customWidth="1"/>
    <col min="8447" max="8447" width="1.109375" style="2561" customWidth="1"/>
    <col min="8448" max="8448" width="8.6640625" style="2561" customWidth="1"/>
    <col min="8449" max="8449" width="1.109375" style="2561" customWidth="1"/>
    <col min="8450" max="8450" width="9.109375" style="2561" customWidth="1"/>
    <col min="8451" max="8451" width="1.109375" style="2561" customWidth="1"/>
    <col min="8452" max="8452" width="10" style="2561" customWidth="1"/>
    <col min="8453" max="8453" width="1.109375" style="2561" customWidth="1"/>
    <col min="8454" max="8454" width="9.109375" style="2561" customWidth="1"/>
    <col min="8455" max="8455" width="1.109375" style="2561" customWidth="1"/>
    <col min="8456" max="8456" width="11.109375" style="2561" customWidth="1"/>
    <col min="8457" max="8457" width="1.109375" style="2561" customWidth="1"/>
    <col min="8458" max="8458" width="9.109375" style="2561" customWidth="1"/>
    <col min="8459" max="8459" width="1.6640625" style="2561" customWidth="1"/>
    <col min="8460" max="8460" width="11" style="2561" customWidth="1"/>
    <col min="8461" max="8461" width="1.109375" style="2561" customWidth="1"/>
    <col min="8462" max="8462" width="10.6640625" style="2561" customWidth="1"/>
    <col min="8463" max="8463" width="1.109375" style="2561" customWidth="1"/>
    <col min="8464" max="8464" width="10" style="2561" customWidth="1"/>
    <col min="8465" max="8465" width="1.109375" style="2561" customWidth="1"/>
    <col min="8466" max="8466" width="9.109375" style="2561" customWidth="1"/>
    <col min="8467" max="8467" width="1.109375" style="2561" customWidth="1"/>
    <col min="8468" max="8468" width="7.6640625" style="2561" customWidth="1"/>
    <col min="8469" max="8469" width="1.109375" style="2561" customWidth="1"/>
    <col min="8470" max="8470" width="0.6640625" style="2561" customWidth="1"/>
    <col min="8471" max="8471" width="9.109375" style="2561" customWidth="1"/>
    <col min="8472" max="8472" width="1.109375" style="2561" customWidth="1"/>
    <col min="8473" max="8473" width="0.6640625" style="2561" customWidth="1"/>
    <col min="8474" max="8474" width="9.5546875" style="2561" bestFit="1" customWidth="1"/>
    <col min="8475" max="8476" width="0.6640625" style="2561" customWidth="1"/>
    <col min="8477" max="8477" width="9.6640625" style="2561" customWidth="1"/>
    <col min="8478" max="8478" width="1.109375" style="2561" customWidth="1"/>
    <col min="8479" max="8479" width="8.5546875" style="2561" customWidth="1"/>
    <col min="8480" max="8480" width="14.5546875" style="2561" customWidth="1"/>
    <col min="8481" max="8481" width="10" style="2561" customWidth="1"/>
    <col min="8482" max="8482" width="7.6640625" style="2561" bestFit="1" customWidth="1"/>
    <col min="8483" max="8483" width="9.6640625" style="2561" customWidth="1"/>
    <col min="8484" max="8700" width="8.6640625" style="2561"/>
    <col min="8701" max="8701" width="38.44140625" style="2561" customWidth="1"/>
    <col min="8702" max="8702" width="8.5546875" style="2561" customWidth="1"/>
    <col min="8703" max="8703" width="1.109375" style="2561" customWidth="1"/>
    <col min="8704" max="8704" width="8.6640625" style="2561" customWidth="1"/>
    <col min="8705" max="8705" width="1.109375" style="2561" customWidth="1"/>
    <col min="8706" max="8706" width="9.109375" style="2561" customWidth="1"/>
    <col min="8707" max="8707" width="1.109375" style="2561" customWidth="1"/>
    <col min="8708" max="8708" width="10" style="2561" customWidth="1"/>
    <col min="8709" max="8709" width="1.109375" style="2561" customWidth="1"/>
    <col min="8710" max="8710" width="9.109375" style="2561" customWidth="1"/>
    <col min="8711" max="8711" width="1.109375" style="2561" customWidth="1"/>
    <col min="8712" max="8712" width="11.109375" style="2561" customWidth="1"/>
    <col min="8713" max="8713" width="1.109375" style="2561" customWidth="1"/>
    <col min="8714" max="8714" width="9.109375" style="2561" customWidth="1"/>
    <col min="8715" max="8715" width="1.6640625" style="2561" customWidth="1"/>
    <col min="8716" max="8716" width="11" style="2561" customWidth="1"/>
    <col min="8717" max="8717" width="1.109375" style="2561" customWidth="1"/>
    <col min="8718" max="8718" width="10.6640625" style="2561" customWidth="1"/>
    <col min="8719" max="8719" width="1.109375" style="2561" customWidth="1"/>
    <col min="8720" max="8720" width="10" style="2561" customWidth="1"/>
    <col min="8721" max="8721" width="1.109375" style="2561" customWidth="1"/>
    <col min="8722" max="8722" width="9.109375" style="2561" customWidth="1"/>
    <col min="8723" max="8723" width="1.109375" style="2561" customWidth="1"/>
    <col min="8724" max="8724" width="7.6640625" style="2561" customWidth="1"/>
    <col min="8725" max="8725" width="1.109375" style="2561" customWidth="1"/>
    <col min="8726" max="8726" width="0.6640625" style="2561" customWidth="1"/>
    <col min="8727" max="8727" width="9.109375" style="2561" customWidth="1"/>
    <col min="8728" max="8728" width="1.109375" style="2561" customWidth="1"/>
    <col min="8729" max="8729" width="0.6640625" style="2561" customWidth="1"/>
    <col min="8730" max="8730" width="9.5546875" style="2561" bestFit="1" customWidth="1"/>
    <col min="8731" max="8732" width="0.6640625" style="2561" customWidth="1"/>
    <col min="8733" max="8733" width="9.6640625" style="2561" customWidth="1"/>
    <col min="8734" max="8734" width="1.109375" style="2561" customWidth="1"/>
    <col min="8735" max="8735" width="8.5546875" style="2561" customWidth="1"/>
    <col min="8736" max="8736" width="14.5546875" style="2561" customWidth="1"/>
    <col min="8737" max="8737" width="10" style="2561" customWidth="1"/>
    <col min="8738" max="8738" width="7.6640625" style="2561" bestFit="1" customWidth="1"/>
    <col min="8739" max="8739" width="9.6640625" style="2561" customWidth="1"/>
    <col min="8740" max="8956" width="8.6640625" style="2561"/>
    <col min="8957" max="8957" width="38.44140625" style="2561" customWidth="1"/>
    <col min="8958" max="8958" width="8.5546875" style="2561" customWidth="1"/>
    <col min="8959" max="8959" width="1.109375" style="2561" customWidth="1"/>
    <col min="8960" max="8960" width="8.6640625" style="2561" customWidth="1"/>
    <col min="8961" max="8961" width="1.109375" style="2561" customWidth="1"/>
    <col min="8962" max="8962" width="9.109375" style="2561" customWidth="1"/>
    <col min="8963" max="8963" width="1.109375" style="2561" customWidth="1"/>
    <col min="8964" max="8964" width="10" style="2561" customWidth="1"/>
    <col min="8965" max="8965" width="1.109375" style="2561" customWidth="1"/>
    <col min="8966" max="8966" width="9.109375" style="2561" customWidth="1"/>
    <col min="8967" max="8967" width="1.109375" style="2561" customWidth="1"/>
    <col min="8968" max="8968" width="11.109375" style="2561" customWidth="1"/>
    <col min="8969" max="8969" width="1.109375" style="2561" customWidth="1"/>
    <col min="8970" max="8970" width="9.109375" style="2561" customWidth="1"/>
    <col min="8971" max="8971" width="1.6640625" style="2561" customWidth="1"/>
    <col min="8972" max="8972" width="11" style="2561" customWidth="1"/>
    <col min="8973" max="8973" width="1.109375" style="2561" customWidth="1"/>
    <col min="8974" max="8974" width="10.6640625" style="2561" customWidth="1"/>
    <col min="8975" max="8975" width="1.109375" style="2561" customWidth="1"/>
    <col min="8976" max="8976" width="10" style="2561" customWidth="1"/>
    <col min="8977" max="8977" width="1.109375" style="2561" customWidth="1"/>
    <col min="8978" max="8978" width="9.109375" style="2561" customWidth="1"/>
    <col min="8979" max="8979" width="1.109375" style="2561" customWidth="1"/>
    <col min="8980" max="8980" width="7.6640625" style="2561" customWidth="1"/>
    <col min="8981" max="8981" width="1.109375" style="2561" customWidth="1"/>
    <col min="8982" max="8982" width="0.6640625" style="2561" customWidth="1"/>
    <col min="8983" max="8983" width="9.109375" style="2561" customWidth="1"/>
    <col min="8984" max="8984" width="1.109375" style="2561" customWidth="1"/>
    <col min="8985" max="8985" width="0.6640625" style="2561" customWidth="1"/>
    <col min="8986" max="8986" width="9.5546875" style="2561" bestFit="1" customWidth="1"/>
    <col min="8987" max="8988" width="0.6640625" style="2561" customWidth="1"/>
    <col min="8989" max="8989" width="9.6640625" style="2561" customWidth="1"/>
    <col min="8990" max="8990" width="1.109375" style="2561" customWidth="1"/>
    <col min="8991" max="8991" width="8.5546875" style="2561" customWidth="1"/>
    <col min="8992" max="8992" width="14.5546875" style="2561" customWidth="1"/>
    <col min="8993" max="8993" width="10" style="2561" customWidth="1"/>
    <col min="8994" max="8994" width="7.6640625" style="2561" bestFit="1" customWidth="1"/>
    <col min="8995" max="8995" width="9.6640625" style="2561" customWidth="1"/>
    <col min="8996" max="9212" width="8.6640625" style="2561"/>
    <col min="9213" max="9213" width="38.44140625" style="2561" customWidth="1"/>
    <col min="9214" max="9214" width="8.5546875" style="2561" customWidth="1"/>
    <col min="9215" max="9215" width="1.109375" style="2561" customWidth="1"/>
    <col min="9216" max="9216" width="8.6640625" style="2561" customWidth="1"/>
    <col min="9217" max="9217" width="1.109375" style="2561" customWidth="1"/>
    <col min="9218" max="9218" width="9.109375" style="2561" customWidth="1"/>
    <col min="9219" max="9219" width="1.109375" style="2561" customWidth="1"/>
    <col min="9220" max="9220" width="10" style="2561" customWidth="1"/>
    <col min="9221" max="9221" width="1.109375" style="2561" customWidth="1"/>
    <col min="9222" max="9222" width="9.109375" style="2561" customWidth="1"/>
    <col min="9223" max="9223" width="1.109375" style="2561" customWidth="1"/>
    <col min="9224" max="9224" width="11.109375" style="2561" customWidth="1"/>
    <col min="9225" max="9225" width="1.109375" style="2561" customWidth="1"/>
    <col min="9226" max="9226" width="9.109375" style="2561" customWidth="1"/>
    <col min="9227" max="9227" width="1.6640625" style="2561" customWidth="1"/>
    <col min="9228" max="9228" width="11" style="2561" customWidth="1"/>
    <col min="9229" max="9229" width="1.109375" style="2561" customWidth="1"/>
    <col min="9230" max="9230" width="10.6640625" style="2561" customWidth="1"/>
    <col min="9231" max="9231" width="1.109375" style="2561" customWidth="1"/>
    <col min="9232" max="9232" width="10" style="2561" customWidth="1"/>
    <col min="9233" max="9233" width="1.109375" style="2561" customWidth="1"/>
    <col min="9234" max="9234" width="9.109375" style="2561" customWidth="1"/>
    <col min="9235" max="9235" width="1.109375" style="2561" customWidth="1"/>
    <col min="9236" max="9236" width="7.6640625" style="2561" customWidth="1"/>
    <col min="9237" max="9237" width="1.109375" style="2561" customWidth="1"/>
    <col min="9238" max="9238" width="0.6640625" style="2561" customWidth="1"/>
    <col min="9239" max="9239" width="9.109375" style="2561" customWidth="1"/>
    <col min="9240" max="9240" width="1.109375" style="2561" customWidth="1"/>
    <col min="9241" max="9241" width="0.6640625" style="2561" customWidth="1"/>
    <col min="9242" max="9242" width="9.5546875" style="2561" bestFit="1" customWidth="1"/>
    <col min="9243" max="9244" width="0.6640625" style="2561" customWidth="1"/>
    <col min="9245" max="9245" width="9.6640625" style="2561" customWidth="1"/>
    <col min="9246" max="9246" width="1.109375" style="2561" customWidth="1"/>
    <col min="9247" max="9247" width="8.5546875" style="2561" customWidth="1"/>
    <col min="9248" max="9248" width="14.5546875" style="2561" customWidth="1"/>
    <col min="9249" max="9249" width="10" style="2561" customWidth="1"/>
    <col min="9250" max="9250" width="7.6640625" style="2561" bestFit="1" customWidth="1"/>
    <col min="9251" max="9251" width="9.6640625" style="2561" customWidth="1"/>
    <col min="9252" max="9468" width="8.6640625" style="2561"/>
    <col min="9469" max="9469" width="38.44140625" style="2561" customWidth="1"/>
    <col min="9470" max="9470" width="8.5546875" style="2561" customWidth="1"/>
    <col min="9471" max="9471" width="1.109375" style="2561" customWidth="1"/>
    <col min="9472" max="9472" width="8.6640625" style="2561" customWidth="1"/>
    <col min="9473" max="9473" width="1.109375" style="2561" customWidth="1"/>
    <col min="9474" max="9474" width="9.109375" style="2561" customWidth="1"/>
    <col min="9475" max="9475" width="1.109375" style="2561" customWidth="1"/>
    <col min="9476" max="9476" width="10" style="2561" customWidth="1"/>
    <col min="9477" max="9477" width="1.109375" style="2561" customWidth="1"/>
    <col min="9478" max="9478" width="9.109375" style="2561" customWidth="1"/>
    <col min="9479" max="9479" width="1.109375" style="2561" customWidth="1"/>
    <col min="9480" max="9480" width="11.109375" style="2561" customWidth="1"/>
    <col min="9481" max="9481" width="1.109375" style="2561" customWidth="1"/>
    <col min="9482" max="9482" width="9.109375" style="2561" customWidth="1"/>
    <col min="9483" max="9483" width="1.6640625" style="2561" customWidth="1"/>
    <col min="9484" max="9484" width="11" style="2561" customWidth="1"/>
    <col min="9485" max="9485" width="1.109375" style="2561" customWidth="1"/>
    <col min="9486" max="9486" width="10.6640625" style="2561" customWidth="1"/>
    <col min="9487" max="9487" width="1.109375" style="2561" customWidth="1"/>
    <col min="9488" max="9488" width="10" style="2561" customWidth="1"/>
    <col min="9489" max="9489" width="1.109375" style="2561" customWidth="1"/>
    <col min="9490" max="9490" width="9.109375" style="2561" customWidth="1"/>
    <col min="9491" max="9491" width="1.109375" style="2561" customWidth="1"/>
    <col min="9492" max="9492" width="7.6640625" style="2561" customWidth="1"/>
    <col min="9493" max="9493" width="1.109375" style="2561" customWidth="1"/>
    <col min="9494" max="9494" width="0.6640625" style="2561" customWidth="1"/>
    <col min="9495" max="9495" width="9.109375" style="2561" customWidth="1"/>
    <col min="9496" max="9496" width="1.109375" style="2561" customWidth="1"/>
    <col min="9497" max="9497" width="0.6640625" style="2561" customWidth="1"/>
    <col min="9498" max="9498" width="9.5546875" style="2561" bestFit="1" customWidth="1"/>
    <col min="9499" max="9500" width="0.6640625" style="2561" customWidth="1"/>
    <col min="9501" max="9501" width="9.6640625" style="2561" customWidth="1"/>
    <col min="9502" max="9502" width="1.109375" style="2561" customWidth="1"/>
    <col min="9503" max="9503" width="8.5546875" style="2561" customWidth="1"/>
    <col min="9504" max="9504" width="14.5546875" style="2561" customWidth="1"/>
    <col min="9505" max="9505" width="10" style="2561" customWidth="1"/>
    <col min="9506" max="9506" width="7.6640625" style="2561" bestFit="1" customWidth="1"/>
    <col min="9507" max="9507" width="9.6640625" style="2561" customWidth="1"/>
    <col min="9508" max="9724" width="8.6640625" style="2561"/>
    <col min="9725" max="9725" width="38.44140625" style="2561" customWidth="1"/>
    <col min="9726" max="9726" width="8.5546875" style="2561" customWidth="1"/>
    <col min="9727" max="9727" width="1.109375" style="2561" customWidth="1"/>
    <col min="9728" max="9728" width="8.6640625" style="2561" customWidth="1"/>
    <col min="9729" max="9729" width="1.109375" style="2561" customWidth="1"/>
    <col min="9730" max="9730" width="9.109375" style="2561" customWidth="1"/>
    <col min="9731" max="9731" width="1.109375" style="2561" customWidth="1"/>
    <col min="9732" max="9732" width="10" style="2561" customWidth="1"/>
    <col min="9733" max="9733" width="1.109375" style="2561" customWidth="1"/>
    <col min="9734" max="9734" width="9.109375" style="2561" customWidth="1"/>
    <col min="9735" max="9735" width="1.109375" style="2561" customWidth="1"/>
    <col min="9736" max="9736" width="11.109375" style="2561" customWidth="1"/>
    <col min="9737" max="9737" width="1.109375" style="2561" customWidth="1"/>
    <col min="9738" max="9738" width="9.109375" style="2561" customWidth="1"/>
    <col min="9739" max="9739" width="1.6640625" style="2561" customWidth="1"/>
    <col min="9740" max="9740" width="11" style="2561" customWidth="1"/>
    <col min="9741" max="9741" width="1.109375" style="2561" customWidth="1"/>
    <col min="9742" max="9742" width="10.6640625" style="2561" customWidth="1"/>
    <col min="9743" max="9743" width="1.109375" style="2561" customWidth="1"/>
    <col min="9744" max="9744" width="10" style="2561" customWidth="1"/>
    <col min="9745" max="9745" width="1.109375" style="2561" customWidth="1"/>
    <col min="9746" max="9746" width="9.109375" style="2561" customWidth="1"/>
    <col min="9747" max="9747" width="1.109375" style="2561" customWidth="1"/>
    <col min="9748" max="9748" width="7.6640625" style="2561" customWidth="1"/>
    <col min="9749" max="9749" width="1.109375" style="2561" customWidth="1"/>
    <col min="9750" max="9750" width="0.6640625" style="2561" customWidth="1"/>
    <col min="9751" max="9751" width="9.109375" style="2561" customWidth="1"/>
    <col min="9752" max="9752" width="1.109375" style="2561" customWidth="1"/>
    <col min="9753" max="9753" width="0.6640625" style="2561" customWidth="1"/>
    <col min="9754" max="9754" width="9.5546875" style="2561" bestFit="1" customWidth="1"/>
    <col min="9755" max="9756" width="0.6640625" style="2561" customWidth="1"/>
    <col min="9757" max="9757" width="9.6640625" style="2561" customWidth="1"/>
    <col min="9758" max="9758" width="1.109375" style="2561" customWidth="1"/>
    <col min="9759" max="9759" width="8.5546875" style="2561" customWidth="1"/>
    <col min="9760" max="9760" width="14.5546875" style="2561" customWidth="1"/>
    <col min="9761" max="9761" width="10" style="2561" customWidth="1"/>
    <col min="9762" max="9762" width="7.6640625" style="2561" bestFit="1" customWidth="1"/>
    <col min="9763" max="9763" width="9.6640625" style="2561" customWidth="1"/>
    <col min="9764" max="9980" width="8.6640625" style="2561"/>
    <col min="9981" max="9981" width="38.44140625" style="2561" customWidth="1"/>
    <col min="9982" max="9982" width="8.5546875" style="2561" customWidth="1"/>
    <col min="9983" max="9983" width="1.109375" style="2561" customWidth="1"/>
    <col min="9984" max="9984" width="8.6640625" style="2561" customWidth="1"/>
    <col min="9985" max="9985" width="1.109375" style="2561" customWidth="1"/>
    <col min="9986" max="9986" width="9.109375" style="2561" customWidth="1"/>
    <col min="9987" max="9987" width="1.109375" style="2561" customWidth="1"/>
    <col min="9988" max="9988" width="10" style="2561" customWidth="1"/>
    <col min="9989" max="9989" width="1.109375" style="2561" customWidth="1"/>
    <col min="9990" max="9990" width="9.109375" style="2561" customWidth="1"/>
    <col min="9991" max="9991" width="1.109375" style="2561" customWidth="1"/>
    <col min="9992" max="9992" width="11.109375" style="2561" customWidth="1"/>
    <col min="9993" max="9993" width="1.109375" style="2561" customWidth="1"/>
    <col min="9994" max="9994" width="9.109375" style="2561" customWidth="1"/>
    <col min="9995" max="9995" width="1.6640625" style="2561" customWidth="1"/>
    <col min="9996" max="9996" width="11" style="2561" customWidth="1"/>
    <col min="9997" max="9997" width="1.109375" style="2561" customWidth="1"/>
    <col min="9998" max="9998" width="10.6640625" style="2561" customWidth="1"/>
    <col min="9999" max="9999" width="1.109375" style="2561" customWidth="1"/>
    <col min="10000" max="10000" width="10" style="2561" customWidth="1"/>
    <col min="10001" max="10001" width="1.109375" style="2561" customWidth="1"/>
    <col min="10002" max="10002" width="9.109375" style="2561" customWidth="1"/>
    <col min="10003" max="10003" width="1.109375" style="2561" customWidth="1"/>
    <col min="10004" max="10004" width="7.6640625" style="2561" customWidth="1"/>
    <col min="10005" max="10005" width="1.109375" style="2561" customWidth="1"/>
    <col min="10006" max="10006" width="0.6640625" style="2561" customWidth="1"/>
    <col min="10007" max="10007" width="9.109375" style="2561" customWidth="1"/>
    <col min="10008" max="10008" width="1.109375" style="2561" customWidth="1"/>
    <col min="10009" max="10009" width="0.6640625" style="2561" customWidth="1"/>
    <col min="10010" max="10010" width="9.5546875" style="2561" bestFit="1" customWidth="1"/>
    <col min="10011" max="10012" width="0.6640625" style="2561" customWidth="1"/>
    <col min="10013" max="10013" width="9.6640625" style="2561" customWidth="1"/>
    <col min="10014" max="10014" width="1.109375" style="2561" customWidth="1"/>
    <col min="10015" max="10015" width="8.5546875" style="2561" customWidth="1"/>
    <col min="10016" max="10016" width="14.5546875" style="2561" customWidth="1"/>
    <col min="10017" max="10017" width="10" style="2561" customWidth="1"/>
    <col min="10018" max="10018" width="7.6640625" style="2561" bestFit="1" customWidth="1"/>
    <col min="10019" max="10019" width="9.6640625" style="2561" customWidth="1"/>
    <col min="10020" max="10236" width="8.6640625" style="2561"/>
    <col min="10237" max="10237" width="38.44140625" style="2561" customWidth="1"/>
    <col min="10238" max="10238" width="8.5546875" style="2561" customWidth="1"/>
    <col min="10239" max="10239" width="1.109375" style="2561" customWidth="1"/>
    <col min="10240" max="10240" width="8.6640625" style="2561" customWidth="1"/>
    <col min="10241" max="10241" width="1.109375" style="2561" customWidth="1"/>
    <col min="10242" max="10242" width="9.109375" style="2561" customWidth="1"/>
    <col min="10243" max="10243" width="1.109375" style="2561" customWidth="1"/>
    <col min="10244" max="10244" width="10" style="2561" customWidth="1"/>
    <col min="10245" max="10245" width="1.109375" style="2561" customWidth="1"/>
    <col min="10246" max="10246" width="9.109375" style="2561" customWidth="1"/>
    <col min="10247" max="10247" width="1.109375" style="2561" customWidth="1"/>
    <col min="10248" max="10248" width="11.109375" style="2561" customWidth="1"/>
    <col min="10249" max="10249" width="1.109375" style="2561" customWidth="1"/>
    <col min="10250" max="10250" width="9.109375" style="2561" customWidth="1"/>
    <col min="10251" max="10251" width="1.6640625" style="2561" customWidth="1"/>
    <col min="10252" max="10252" width="11" style="2561" customWidth="1"/>
    <col min="10253" max="10253" width="1.109375" style="2561" customWidth="1"/>
    <col min="10254" max="10254" width="10.6640625" style="2561" customWidth="1"/>
    <col min="10255" max="10255" width="1.109375" style="2561" customWidth="1"/>
    <col min="10256" max="10256" width="10" style="2561" customWidth="1"/>
    <col min="10257" max="10257" width="1.109375" style="2561" customWidth="1"/>
    <col min="10258" max="10258" width="9.109375" style="2561" customWidth="1"/>
    <col min="10259" max="10259" width="1.109375" style="2561" customWidth="1"/>
    <col min="10260" max="10260" width="7.6640625" style="2561" customWidth="1"/>
    <col min="10261" max="10261" width="1.109375" style="2561" customWidth="1"/>
    <col min="10262" max="10262" width="0.6640625" style="2561" customWidth="1"/>
    <col min="10263" max="10263" width="9.109375" style="2561" customWidth="1"/>
    <col min="10264" max="10264" width="1.109375" style="2561" customWidth="1"/>
    <col min="10265" max="10265" width="0.6640625" style="2561" customWidth="1"/>
    <col min="10266" max="10266" width="9.5546875" style="2561" bestFit="1" customWidth="1"/>
    <col min="10267" max="10268" width="0.6640625" style="2561" customWidth="1"/>
    <col min="10269" max="10269" width="9.6640625" style="2561" customWidth="1"/>
    <col min="10270" max="10270" width="1.109375" style="2561" customWidth="1"/>
    <col min="10271" max="10271" width="8.5546875" style="2561" customWidth="1"/>
    <col min="10272" max="10272" width="14.5546875" style="2561" customWidth="1"/>
    <col min="10273" max="10273" width="10" style="2561" customWidth="1"/>
    <col min="10274" max="10274" width="7.6640625" style="2561" bestFit="1" customWidth="1"/>
    <col min="10275" max="10275" width="9.6640625" style="2561" customWidth="1"/>
    <col min="10276" max="10492" width="8.6640625" style="2561"/>
    <col min="10493" max="10493" width="38.44140625" style="2561" customWidth="1"/>
    <col min="10494" max="10494" width="8.5546875" style="2561" customWidth="1"/>
    <col min="10495" max="10495" width="1.109375" style="2561" customWidth="1"/>
    <col min="10496" max="10496" width="8.6640625" style="2561" customWidth="1"/>
    <col min="10497" max="10497" width="1.109375" style="2561" customWidth="1"/>
    <col min="10498" max="10498" width="9.109375" style="2561" customWidth="1"/>
    <col min="10499" max="10499" width="1.109375" style="2561" customWidth="1"/>
    <col min="10500" max="10500" width="10" style="2561" customWidth="1"/>
    <col min="10501" max="10501" width="1.109375" style="2561" customWidth="1"/>
    <col min="10502" max="10502" width="9.109375" style="2561" customWidth="1"/>
    <col min="10503" max="10503" width="1.109375" style="2561" customWidth="1"/>
    <col min="10504" max="10504" width="11.109375" style="2561" customWidth="1"/>
    <col min="10505" max="10505" width="1.109375" style="2561" customWidth="1"/>
    <col min="10506" max="10506" width="9.109375" style="2561" customWidth="1"/>
    <col min="10507" max="10507" width="1.6640625" style="2561" customWidth="1"/>
    <col min="10508" max="10508" width="11" style="2561" customWidth="1"/>
    <col min="10509" max="10509" width="1.109375" style="2561" customWidth="1"/>
    <col min="10510" max="10510" width="10.6640625" style="2561" customWidth="1"/>
    <col min="10511" max="10511" width="1.109375" style="2561" customWidth="1"/>
    <col min="10512" max="10512" width="10" style="2561" customWidth="1"/>
    <col min="10513" max="10513" width="1.109375" style="2561" customWidth="1"/>
    <col min="10514" max="10514" width="9.109375" style="2561" customWidth="1"/>
    <col min="10515" max="10515" width="1.109375" style="2561" customWidth="1"/>
    <col min="10516" max="10516" width="7.6640625" style="2561" customWidth="1"/>
    <col min="10517" max="10517" width="1.109375" style="2561" customWidth="1"/>
    <col min="10518" max="10518" width="0.6640625" style="2561" customWidth="1"/>
    <col min="10519" max="10519" width="9.109375" style="2561" customWidth="1"/>
    <col min="10520" max="10520" width="1.109375" style="2561" customWidth="1"/>
    <col min="10521" max="10521" width="0.6640625" style="2561" customWidth="1"/>
    <col min="10522" max="10522" width="9.5546875" style="2561" bestFit="1" customWidth="1"/>
    <col min="10523" max="10524" width="0.6640625" style="2561" customWidth="1"/>
    <col min="10525" max="10525" width="9.6640625" style="2561" customWidth="1"/>
    <col min="10526" max="10526" width="1.109375" style="2561" customWidth="1"/>
    <col min="10527" max="10527" width="8.5546875" style="2561" customWidth="1"/>
    <col min="10528" max="10528" width="14.5546875" style="2561" customWidth="1"/>
    <col min="10529" max="10529" width="10" style="2561" customWidth="1"/>
    <col min="10530" max="10530" width="7.6640625" style="2561" bestFit="1" customWidth="1"/>
    <col min="10531" max="10531" width="9.6640625" style="2561" customWidth="1"/>
    <col min="10532" max="10748" width="8.6640625" style="2561"/>
    <col min="10749" max="10749" width="38.44140625" style="2561" customWidth="1"/>
    <col min="10750" max="10750" width="8.5546875" style="2561" customWidth="1"/>
    <col min="10751" max="10751" width="1.109375" style="2561" customWidth="1"/>
    <col min="10752" max="10752" width="8.6640625" style="2561" customWidth="1"/>
    <col min="10753" max="10753" width="1.109375" style="2561" customWidth="1"/>
    <col min="10754" max="10754" width="9.109375" style="2561" customWidth="1"/>
    <col min="10755" max="10755" width="1.109375" style="2561" customWidth="1"/>
    <col min="10756" max="10756" width="10" style="2561" customWidth="1"/>
    <col min="10757" max="10757" width="1.109375" style="2561" customWidth="1"/>
    <col min="10758" max="10758" width="9.109375" style="2561" customWidth="1"/>
    <col min="10759" max="10759" width="1.109375" style="2561" customWidth="1"/>
    <col min="10760" max="10760" width="11.109375" style="2561" customWidth="1"/>
    <col min="10761" max="10761" width="1.109375" style="2561" customWidth="1"/>
    <col min="10762" max="10762" width="9.109375" style="2561" customWidth="1"/>
    <col min="10763" max="10763" width="1.6640625" style="2561" customWidth="1"/>
    <col min="10764" max="10764" width="11" style="2561" customWidth="1"/>
    <col min="10765" max="10765" width="1.109375" style="2561" customWidth="1"/>
    <col min="10766" max="10766" width="10.6640625" style="2561" customWidth="1"/>
    <col min="10767" max="10767" width="1.109375" style="2561" customWidth="1"/>
    <col min="10768" max="10768" width="10" style="2561" customWidth="1"/>
    <col min="10769" max="10769" width="1.109375" style="2561" customWidth="1"/>
    <col min="10770" max="10770" width="9.109375" style="2561" customWidth="1"/>
    <col min="10771" max="10771" width="1.109375" style="2561" customWidth="1"/>
    <col min="10772" max="10772" width="7.6640625" style="2561" customWidth="1"/>
    <col min="10773" max="10773" width="1.109375" style="2561" customWidth="1"/>
    <col min="10774" max="10774" width="0.6640625" style="2561" customWidth="1"/>
    <col min="10775" max="10775" width="9.109375" style="2561" customWidth="1"/>
    <col min="10776" max="10776" width="1.109375" style="2561" customWidth="1"/>
    <col min="10777" max="10777" width="0.6640625" style="2561" customWidth="1"/>
    <col min="10778" max="10778" width="9.5546875" style="2561" bestFit="1" customWidth="1"/>
    <col min="10779" max="10780" width="0.6640625" style="2561" customWidth="1"/>
    <col min="10781" max="10781" width="9.6640625" style="2561" customWidth="1"/>
    <col min="10782" max="10782" width="1.109375" style="2561" customWidth="1"/>
    <col min="10783" max="10783" width="8.5546875" style="2561" customWidth="1"/>
    <col min="10784" max="10784" width="14.5546875" style="2561" customWidth="1"/>
    <col min="10785" max="10785" width="10" style="2561" customWidth="1"/>
    <col min="10786" max="10786" width="7.6640625" style="2561" bestFit="1" customWidth="1"/>
    <col min="10787" max="10787" width="9.6640625" style="2561" customWidth="1"/>
    <col min="10788" max="11004" width="8.6640625" style="2561"/>
    <col min="11005" max="11005" width="38.44140625" style="2561" customWidth="1"/>
    <col min="11006" max="11006" width="8.5546875" style="2561" customWidth="1"/>
    <col min="11007" max="11007" width="1.109375" style="2561" customWidth="1"/>
    <col min="11008" max="11008" width="8.6640625" style="2561" customWidth="1"/>
    <col min="11009" max="11009" width="1.109375" style="2561" customWidth="1"/>
    <col min="11010" max="11010" width="9.109375" style="2561" customWidth="1"/>
    <col min="11011" max="11011" width="1.109375" style="2561" customWidth="1"/>
    <col min="11012" max="11012" width="10" style="2561" customWidth="1"/>
    <col min="11013" max="11013" width="1.109375" style="2561" customWidth="1"/>
    <col min="11014" max="11014" width="9.109375" style="2561" customWidth="1"/>
    <col min="11015" max="11015" width="1.109375" style="2561" customWidth="1"/>
    <col min="11016" max="11016" width="11.109375" style="2561" customWidth="1"/>
    <col min="11017" max="11017" width="1.109375" style="2561" customWidth="1"/>
    <col min="11018" max="11018" width="9.109375" style="2561" customWidth="1"/>
    <col min="11019" max="11019" width="1.6640625" style="2561" customWidth="1"/>
    <col min="11020" max="11020" width="11" style="2561" customWidth="1"/>
    <col min="11021" max="11021" width="1.109375" style="2561" customWidth="1"/>
    <col min="11022" max="11022" width="10.6640625" style="2561" customWidth="1"/>
    <col min="11023" max="11023" width="1.109375" style="2561" customWidth="1"/>
    <col min="11024" max="11024" width="10" style="2561" customWidth="1"/>
    <col min="11025" max="11025" width="1.109375" style="2561" customWidth="1"/>
    <col min="11026" max="11026" width="9.109375" style="2561" customWidth="1"/>
    <col min="11027" max="11027" width="1.109375" style="2561" customWidth="1"/>
    <col min="11028" max="11028" width="7.6640625" style="2561" customWidth="1"/>
    <col min="11029" max="11029" width="1.109375" style="2561" customWidth="1"/>
    <col min="11030" max="11030" width="0.6640625" style="2561" customWidth="1"/>
    <col min="11031" max="11031" width="9.109375" style="2561" customWidth="1"/>
    <col min="11032" max="11032" width="1.109375" style="2561" customWidth="1"/>
    <col min="11033" max="11033" width="0.6640625" style="2561" customWidth="1"/>
    <col min="11034" max="11034" width="9.5546875" style="2561" bestFit="1" customWidth="1"/>
    <col min="11035" max="11036" width="0.6640625" style="2561" customWidth="1"/>
    <col min="11037" max="11037" width="9.6640625" style="2561" customWidth="1"/>
    <col min="11038" max="11038" width="1.109375" style="2561" customWidth="1"/>
    <col min="11039" max="11039" width="8.5546875" style="2561" customWidth="1"/>
    <col min="11040" max="11040" width="14.5546875" style="2561" customWidth="1"/>
    <col min="11041" max="11041" width="10" style="2561" customWidth="1"/>
    <col min="11042" max="11042" width="7.6640625" style="2561" bestFit="1" customWidth="1"/>
    <col min="11043" max="11043" width="9.6640625" style="2561" customWidth="1"/>
    <col min="11044" max="11260" width="8.6640625" style="2561"/>
    <col min="11261" max="11261" width="38.44140625" style="2561" customWidth="1"/>
    <col min="11262" max="11262" width="8.5546875" style="2561" customWidth="1"/>
    <col min="11263" max="11263" width="1.109375" style="2561" customWidth="1"/>
    <col min="11264" max="11264" width="8.6640625" style="2561" customWidth="1"/>
    <col min="11265" max="11265" width="1.109375" style="2561" customWidth="1"/>
    <col min="11266" max="11266" width="9.109375" style="2561" customWidth="1"/>
    <col min="11267" max="11267" width="1.109375" style="2561" customWidth="1"/>
    <col min="11268" max="11268" width="10" style="2561" customWidth="1"/>
    <col min="11269" max="11269" width="1.109375" style="2561" customWidth="1"/>
    <col min="11270" max="11270" width="9.109375" style="2561" customWidth="1"/>
    <col min="11271" max="11271" width="1.109375" style="2561" customWidth="1"/>
    <col min="11272" max="11272" width="11.109375" style="2561" customWidth="1"/>
    <col min="11273" max="11273" width="1.109375" style="2561" customWidth="1"/>
    <col min="11274" max="11274" width="9.109375" style="2561" customWidth="1"/>
    <col min="11275" max="11275" width="1.6640625" style="2561" customWidth="1"/>
    <col min="11276" max="11276" width="11" style="2561" customWidth="1"/>
    <col min="11277" max="11277" width="1.109375" style="2561" customWidth="1"/>
    <col min="11278" max="11278" width="10.6640625" style="2561" customWidth="1"/>
    <col min="11279" max="11279" width="1.109375" style="2561" customWidth="1"/>
    <col min="11280" max="11280" width="10" style="2561" customWidth="1"/>
    <col min="11281" max="11281" width="1.109375" style="2561" customWidth="1"/>
    <col min="11282" max="11282" width="9.109375" style="2561" customWidth="1"/>
    <col min="11283" max="11283" width="1.109375" style="2561" customWidth="1"/>
    <col min="11284" max="11284" width="7.6640625" style="2561" customWidth="1"/>
    <col min="11285" max="11285" width="1.109375" style="2561" customWidth="1"/>
    <col min="11286" max="11286" width="0.6640625" style="2561" customWidth="1"/>
    <col min="11287" max="11287" width="9.109375" style="2561" customWidth="1"/>
    <col min="11288" max="11288" width="1.109375" style="2561" customWidth="1"/>
    <col min="11289" max="11289" width="0.6640625" style="2561" customWidth="1"/>
    <col min="11290" max="11290" width="9.5546875" style="2561" bestFit="1" customWidth="1"/>
    <col min="11291" max="11292" width="0.6640625" style="2561" customWidth="1"/>
    <col min="11293" max="11293" width="9.6640625" style="2561" customWidth="1"/>
    <col min="11294" max="11294" width="1.109375" style="2561" customWidth="1"/>
    <col min="11295" max="11295" width="8.5546875" style="2561" customWidth="1"/>
    <col min="11296" max="11296" width="14.5546875" style="2561" customWidth="1"/>
    <col min="11297" max="11297" width="10" style="2561" customWidth="1"/>
    <col min="11298" max="11298" width="7.6640625" style="2561" bestFit="1" customWidth="1"/>
    <col min="11299" max="11299" width="9.6640625" style="2561" customWidth="1"/>
    <col min="11300" max="11516" width="8.6640625" style="2561"/>
    <col min="11517" max="11517" width="38.44140625" style="2561" customWidth="1"/>
    <col min="11518" max="11518" width="8.5546875" style="2561" customWidth="1"/>
    <col min="11519" max="11519" width="1.109375" style="2561" customWidth="1"/>
    <col min="11520" max="11520" width="8.6640625" style="2561" customWidth="1"/>
    <col min="11521" max="11521" width="1.109375" style="2561" customWidth="1"/>
    <col min="11522" max="11522" width="9.109375" style="2561" customWidth="1"/>
    <col min="11523" max="11523" width="1.109375" style="2561" customWidth="1"/>
    <col min="11524" max="11524" width="10" style="2561" customWidth="1"/>
    <col min="11525" max="11525" width="1.109375" style="2561" customWidth="1"/>
    <col min="11526" max="11526" width="9.109375" style="2561" customWidth="1"/>
    <col min="11527" max="11527" width="1.109375" style="2561" customWidth="1"/>
    <col min="11528" max="11528" width="11.109375" style="2561" customWidth="1"/>
    <col min="11529" max="11529" width="1.109375" style="2561" customWidth="1"/>
    <col min="11530" max="11530" width="9.109375" style="2561" customWidth="1"/>
    <col min="11531" max="11531" width="1.6640625" style="2561" customWidth="1"/>
    <col min="11532" max="11532" width="11" style="2561" customWidth="1"/>
    <col min="11533" max="11533" width="1.109375" style="2561" customWidth="1"/>
    <col min="11534" max="11534" width="10.6640625" style="2561" customWidth="1"/>
    <col min="11535" max="11535" width="1.109375" style="2561" customWidth="1"/>
    <col min="11536" max="11536" width="10" style="2561" customWidth="1"/>
    <col min="11537" max="11537" width="1.109375" style="2561" customWidth="1"/>
    <col min="11538" max="11538" width="9.109375" style="2561" customWidth="1"/>
    <col min="11539" max="11539" width="1.109375" style="2561" customWidth="1"/>
    <col min="11540" max="11540" width="7.6640625" style="2561" customWidth="1"/>
    <col min="11541" max="11541" width="1.109375" style="2561" customWidth="1"/>
    <col min="11542" max="11542" width="0.6640625" style="2561" customWidth="1"/>
    <col min="11543" max="11543" width="9.109375" style="2561" customWidth="1"/>
    <col min="11544" max="11544" width="1.109375" style="2561" customWidth="1"/>
    <col min="11545" max="11545" width="0.6640625" style="2561" customWidth="1"/>
    <col min="11546" max="11546" width="9.5546875" style="2561" bestFit="1" customWidth="1"/>
    <col min="11547" max="11548" width="0.6640625" style="2561" customWidth="1"/>
    <col min="11549" max="11549" width="9.6640625" style="2561" customWidth="1"/>
    <col min="11550" max="11550" width="1.109375" style="2561" customWidth="1"/>
    <col min="11551" max="11551" width="8.5546875" style="2561" customWidth="1"/>
    <col min="11552" max="11552" width="14.5546875" style="2561" customWidth="1"/>
    <col min="11553" max="11553" width="10" style="2561" customWidth="1"/>
    <col min="11554" max="11554" width="7.6640625" style="2561" bestFit="1" customWidth="1"/>
    <col min="11555" max="11555" width="9.6640625" style="2561" customWidth="1"/>
    <col min="11556" max="11772" width="8.6640625" style="2561"/>
    <col min="11773" max="11773" width="38.44140625" style="2561" customWidth="1"/>
    <col min="11774" max="11774" width="8.5546875" style="2561" customWidth="1"/>
    <col min="11775" max="11775" width="1.109375" style="2561" customWidth="1"/>
    <col min="11776" max="11776" width="8.6640625" style="2561" customWidth="1"/>
    <col min="11777" max="11777" width="1.109375" style="2561" customWidth="1"/>
    <col min="11778" max="11778" width="9.109375" style="2561" customWidth="1"/>
    <col min="11779" max="11779" width="1.109375" style="2561" customWidth="1"/>
    <col min="11780" max="11780" width="10" style="2561" customWidth="1"/>
    <col min="11781" max="11781" width="1.109375" style="2561" customWidth="1"/>
    <col min="11782" max="11782" width="9.109375" style="2561" customWidth="1"/>
    <col min="11783" max="11783" width="1.109375" style="2561" customWidth="1"/>
    <col min="11784" max="11784" width="11.109375" style="2561" customWidth="1"/>
    <col min="11785" max="11785" width="1.109375" style="2561" customWidth="1"/>
    <col min="11786" max="11786" width="9.109375" style="2561" customWidth="1"/>
    <col min="11787" max="11787" width="1.6640625" style="2561" customWidth="1"/>
    <col min="11788" max="11788" width="11" style="2561" customWidth="1"/>
    <col min="11789" max="11789" width="1.109375" style="2561" customWidth="1"/>
    <col min="11790" max="11790" width="10.6640625" style="2561" customWidth="1"/>
    <col min="11791" max="11791" width="1.109375" style="2561" customWidth="1"/>
    <col min="11792" max="11792" width="10" style="2561" customWidth="1"/>
    <col min="11793" max="11793" width="1.109375" style="2561" customWidth="1"/>
    <col min="11794" max="11794" width="9.109375" style="2561" customWidth="1"/>
    <col min="11795" max="11795" width="1.109375" style="2561" customWidth="1"/>
    <col min="11796" max="11796" width="7.6640625" style="2561" customWidth="1"/>
    <col min="11797" max="11797" width="1.109375" style="2561" customWidth="1"/>
    <col min="11798" max="11798" width="0.6640625" style="2561" customWidth="1"/>
    <col min="11799" max="11799" width="9.109375" style="2561" customWidth="1"/>
    <col min="11800" max="11800" width="1.109375" style="2561" customWidth="1"/>
    <col min="11801" max="11801" width="0.6640625" style="2561" customWidth="1"/>
    <col min="11802" max="11802" width="9.5546875" style="2561" bestFit="1" customWidth="1"/>
    <col min="11803" max="11804" width="0.6640625" style="2561" customWidth="1"/>
    <col min="11805" max="11805" width="9.6640625" style="2561" customWidth="1"/>
    <col min="11806" max="11806" width="1.109375" style="2561" customWidth="1"/>
    <col min="11807" max="11807" width="8.5546875" style="2561" customWidth="1"/>
    <col min="11808" max="11808" width="14.5546875" style="2561" customWidth="1"/>
    <col min="11809" max="11809" width="10" style="2561" customWidth="1"/>
    <col min="11810" max="11810" width="7.6640625" style="2561" bestFit="1" customWidth="1"/>
    <col min="11811" max="11811" width="9.6640625" style="2561" customWidth="1"/>
    <col min="11812" max="12028" width="8.6640625" style="2561"/>
    <col min="12029" max="12029" width="38.44140625" style="2561" customWidth="1"/>
    <col min="12030" max="12030" width="8.5546875" style="2561" customWidth="1"/>
    <col min="12031" max="12031" width="1.109375" style="2561" customWidth="1"/>
    <col min="12032" max="12032" width="8.6640625" style="2561" customWidth="1"/>
    <col min="12033" max="12033" width="1.109375" style="2561" customWidth="1"/>
    <col min="12034" max="12034" width="9.109375" style="2561" customWidth="1"/>
    <col min="12035" max="12035" width="1.109375" style="2561" customWidth="1"/>
    <col min="12036" max="12036" width="10" style="2561" customWidth="1"/>
    <col min="12037" max="12037" width="1.109375" style="2561" customWidth="1"/>
    <col min="12038" max="12038" width="9.109375" style="2561" customWidth="1"/>
    <col min="12039" max="12039" width="1.109375" style="2561" customWidth="1"/>
    <col min="12040" max="12040" width="11.109375" style="2561" customWidth="1"/>
    <col min="12041" max="12041" width="1.109375" style="2561" customWidth="1"/>
    <col min="12042" max="12042" width="9.109375" style="2561" customWidth="1"/>
    <col min="12043" max="12043" width="1.6640625" style="2561" customWidth="1"/>
    <col min="12044" max="12044" width="11" style="2561" customWidth="1"/>
    <col min="12045" max="12045" width="1.109375" style="2561" customWidth="1"/>
    <col min="12046" max="12046" width="10.6640625" style="2561" customWidth="1"/>
    <col min="12047" max="12047" width="1.109375" style="2561" customWidth="1"/>
    <col min="12048" max="12048" width="10" style="2561" customWidth="1"/>
    <col min="12049" max="12049" width="1.109375" style="2561" customWidth="1"/>
    <col min="12050" max="12050" width="9.109375" style="2561" customWidth="1"/>
    <col min="12051" max="12051" width="1.109375" style="2561" customWidth="1"/>
    <col min="12052" max="12052" width="7.6640625" style="2561" customWidth="1"/>
    <col min="12053" max="12053" width="1.109375" style="2561" customWidth="1"/>
    <col min="12054" max="12054" width="0.6640625" style="2561" customWidth="1"/>
    <col min="12055" max="12055" width="9.109375" style="2561" customWidth="1"/>
    <col min="12056" max="12056" width="1.109375" style="2561" customWidth="1"/>
    <col min="12057" max="12057" width="0.6640625" style="2561" customWidth="1"/>
    <col min="12058" max="12058" width="9.5546875" style="2561" bestFit="1" customWidth="1"/>
    <col min="12059" max="12060" width="0.6640625" style="2561" customWidth="1"/>
    <col min="12061" max="12061" width="9.6640625" style="2561" customWidth="1"/>
    <col min="12062" max="12062" width="1.109375" style="2561" customWidth="1"/>
    <col min="12063" max="12063" width="8.5546875" style="2561" customWidth="1"/>
    <col min="12064" max="12064" width="14.5546875" style="2561" customWidth="1"/>
    <col min="12065" max="12065" width="10" style="2561" customWidth="1"/>
    <col min="12066" max="12066" width="7.6640625" style="2561" bestFit="1" customWidth="1"/>
    <col min="12067" max="12067" width="9.6640625" style="2561" customWidth="1"/>
    <col min="12068" max="12284" width="8.6640625" style="2561"/>
    <col min="12285" max="12285" width="38.44140625" style="2561" customWidth="1"/>
    <col min="12286" max="12286" width="8.5546875" style="2561" customWidth="1"/>
    <col min="12287" max="12287" width="1.109375" style="2561" customWidth="1"/>
    <col min="12288" max="12288" width="8.6640625" style="2561" customWidth="1"/>
    <col min="12289" max="12289" width="1.109375" style="2561" customWidth="1"/>
    <col min="12290" max="12290" width="9.109375" style="2561" customWidth="1"/>
    <col min="12291" max="12291" width="1.109375" style="2561" customWidth="1"/>
    <col min="12292" max="12292" width="10" style="2561" customWidth="1"/>
    <col min="12293" max="12293" width="1.109375" style="2561" customWidth="1"/>
    <col min="12294" max="12294" width="9.109375" style="2561" customWidth="1"/>
    <col min="12295" max="12295" width="1.109375" style="2561" customWidth="1"/>
    <col min="12296" max="12296" width="11.109375" style="2561" customWidth="1"/>
    <col min="12297" max="12297" width="1.109375" style="2561" customWidth="1"/>
    <col min="12298" max="12298" width="9.109375" style="2561" customWidth="1"/>
    <col min="12299" max="12299" width="1.6640625" style="2561" customWidth="1"/>
    <col min="12300" max="12300" width="11" style="2561" customWidth="1"/>
    <col min="12301" max="12301" width="1.109375" style="2561" customWidth="1"/>
    <col min="12302" max="12302" width="10.6640625" style="2561" customWidth="1"/>
    <col min="12303" max="12303" width="1.109375" style="2561" customWidth="1"/>
    <col min="12304" max="12304" width="10" style="2561" customWidth="1"/>
    <col min="12305" max="12305" width="1.109375" style="2561" customWidth="1"/>
    <col min="12306" max="12306" width="9.109375" style="2561" customWidth="1"/>
    <col min="12307" max="12307" width="1.109375" style="2561" customWidth="1"/>
    <col min="12308" max="12308" width="7.6640625" style="2561" customWidth="1"/>
    <col min="12309" max="12309" width="1.109375" style="2561" customWidth="1"/>
    <col min="12310" max="12310" width="0.6640625" style="2561" customWidth="1"/>
    <col min="12311" max="12311" width="9.109375" style="2561" customWidth="1"/>
    <col min="12312" max="12312" width="1.109375" style="2561" customWidth="1"/>
    <col min="12313" max="12313" width="0.6640625" style="2561" customWidth="1"/>
    <col min="12314" max="12314" width="9.5546875" style="2561" bestFit="1" customWidth="1"/>
    <col min="12315" max="12316" width="0.6640625" style="2561" customWidth="1"/>
    <col min="12317" max="12317" width="9.6640625" style="2561" customWidth="1"/>
    <col min="12318" max="12318" width="1.109375" style="2561" customWidth="1"/>
    <col min="12319" max="12319" width="8.5546875" style="2561" customWidth="1"/>
    <col min="12320" max="12320" width="14.5546875" style="2561" customWidth="1"/>
    <col min="12321" max="12321" width="10" style="2561" customWidth="1"/>
    <col min="12322" max="12322" width="7.6640625" style="2561" bestFit="1" customWidth="1"/>
    <col min="12323" max="12323" width="9.6640625" style="2561" customWidth="1"/>
    <col min="12324" max="12540" width="8.6640625" style="2561"/>
    <col min="12541" max="12541" width="38.44140625" style="2561" customWidth="1"/>
    <col min="12542" max="12542" width="8.5546875" style="2561" customWidth="1"/>
    <col min="12543" max="12543" width="1.109375" style="2561" customWidth="1"/>
    <col min="12544" max="12544" width="8.6640625" style="2561" customWidth="1"/>
    <col min="12545" max="12545" width="1.109375" style="2561" customWidth="1"/>
    <col min="12546" max="12546" width="9.109375" style="2561" customWidth="1"/>
    <col min="12547" max="12547" width="1.109375" style="2561" customWidth="1"/>
    <col min="12548" max="12548" width="10" style="2561" customWidth="1"/>
    <col min="12549" max="12549" width="1.109375" style="2561" customWidth="1"/>
    <col min="12550" max="12550" width="9.109375" style="2561" customWidth="1"/>
    <col min="12551" max="12551" width="1.109375" style="2561" customWidth="1"/>
    <col min="12552" max="12552" width="11.109375" style="2561" customWidth="1"/>
    <col min="12553" max="12553" width="1.109375" style="2561" customWidth="1"/>
    <col min="12554" max="12554" width="9.109375" style="2561" customWidth="1"/>
    <col min="12555" max="12555" width="1.6640625" style="2561" customWidth="1"/>
    <col min="12556" max="12556" width="11" style="2561" customWidth="1"/>
    <col min="12557" max="12557" width="1.109375" style="2561" customWidth="1"/>
    <col min="12558" max="12558" width="10.6640625" style="2561" customWidth="1"/>
    <col min="12559" max="12559" width="1.109375" style="2561" customWidth="1"/>
    <col min="12560" max="12560" width="10" style="2561" customWidth="1"/>
    <col min="12561" max="12561" width="1.109375" style="2561" customWidth="1"/>
    <col min="12562" max="12562" width="9.109375" style="2561" customWidth="1"/>
    <col min="12563" max="12563" width="1.109375" style="2561" customWidth="1"/>
    <col min="12564" max="12564" width="7.6640625" style="2561" customWidth="1"/>
    <col min="12565" max="12565" width="1.109375" style="2561" customWidth="1"/>
    <col min="12566" max="12566" width="0.6640625" style="2561" customWidth="1"/>
    <col min="12567" max="12567" width="9.109375" style="2561" customWidth="1"/>
    <col min="12568" max="12568" width="1.109375" style="2561" customWidth="1"/>
    <col min="12569" max="12569" width="0.6640625" style="2561" customWidth="1"/>
    <col min="12570" max="12570" width="9.5546875" style="2561" bestFit="1" customWidth="1"/>
    <col min="12571" max="12572" width="0.6640625" style="2561" customWidth="1"/>
    <col min="12573" max="12573" width="9.6640625" style="2561" customWidth="1"/>
    <col min="12574" max="12574" width="1.109375" style="2561" customWidth="1"/>
    <col min="12575" max="12575" width="8.5546875" style="2561" customWidth="1"/>
    <col min="12576" max="12576" width="14.5546875" style="2561" customWidth="1"/>
    <col min="12577" max="12577" width="10" style="2561" customWidth="1"/>
    <col min="12578" max="12578" width="7.6640625" style="2561" bestFit="1" customWidth="1"/>
    <col min="12579" max="12579" width="9.6640625" style="2561" customWidth="1"/>
    <col min="12580" max="12796" width="8.6640625" style="2561"/>
    <col min="12797" max="12797" width="38.44140625" style="2561" customWidth="1"/>
    <col min="12798" max="12798" width="8.5546875" style="2561" customWidth="1"/>
    <col min="12799" max="12799" width="1.109375" style="2561" customWidth="1"/>
    <col min="12800" max="12800" width="8.6640625" style="2561" customWidth="1"/>
    <col min="12801" max="12801" width="1.109375" style="2561" customWidth="1"/>
    <col min="12802" max="12802" width="9.109375" style="2561" customWidth="1"/>
    <col min="12803" max="12803" width="1.109375" style="2561" customWidth="1"/>
    <col min="12804" max="12804" width="10" style="2561" customWidth="1"/>
    <col min="12805" max="12805" width="1.109375" style="2561" customWidth="1"/>
    <col min="12806" max="12806" width="9.109375" style="2561" customWidth="1"/>
    <col min="12807" max="12807" width="1.109375" style="2561" customWidth="1"/>
    <col min="12808" max="12808" width="11.109375" style="2561" customWidth="1"/>
    <col min="12809" max="12809" width="1.109375" style="2561" customWidth="1"/>
    <col min="12810" max="12810" width="9.109375" style="2561" customWidth="1"/>
    <col min="12811" max="12811" width="1.6640625" style="2561" customWidth="1"/>
    <col min="12812" max="12812" width="11" style="2561" customWidth="1"/>
    <col min="12813" max="12813" width="1.109375" style="2561" customWidth="1"/>
    <col min="12814" max="12814" width="10.6640625" style="2561" customWidth="1"/>
    <col min="12815" max="12815" width="1.109375" style="2561" customWidth="1"/>
    <col min="12816" max="12816" width="10" style="2561" customWidth="1"/>
    <col min="12817" max="12817" width="1.109375" style="2561" customWidth="1"/>
    <col min="12818" max="12818" width="9.109375" style="2561" customWidth="1"/>
    <col min="12819" max="12819" width="1.109375" style="2561" customWidth="1"/>
    <col min="12820" max="12820" width="7.6640625" style="2561" customWidth="1"/>
    <col min="12821" max="12821" width="1.109375" style="2561" customWidth="1"/>
    <col min="12822" max="12822" width="0.6640625" style="2561" customWidth="1"/>
    <col min="12823" max="12823" width="9.109375" style="2561" customWidth="1"/>
    <col min="12824" max="12824" width="1.109375" style="2561" customWidth="1"/>
    <col min="12825" max="12825" width="0.6640625" style="2561" customWidth="1"/>
    <col min="12826" max="12826" width="9.5546875" style="2561" bestFit="1" customWidth="1"/>
    <col min="12827" max="12828" width="0.6640625" style="2561" customWidth="1"/>
    <col min="12829" max="12829" width="9.6640625" style="2561" customWidth="1"/>
    <col min="12830" max="12830" width="1.109375" style="2561" customWidth="1"/>
    <col min="12831" max="12831" width="8.5546875" style="2561" customWidth="1"/>
    <col min="12832" max="12832" width="14.5546875" style="2561" customWidth="1"/>
    <col min="12833" max="12833" width="10" style="2561" customWidth="1"/>
    <col min="12834" max="12834" width="7.6640625" style="2561" bestFit="1" customWidth="1"/>
    <col min="12835" max="12835" width="9.6640625" style="2561" customWidth="1"/>
    <col min="12836" max="13052" width="8.6640625" style="2561"/>
    <col min="13053" max="13053" width="38.44140625" style="2561" customWidth="1"/>
    <col min="13054" max="13054" width="8.5546875" style="2561" customWidth="1"/>
    <col min="13055" max="13055" width="1.109375" style="2561" customWidth="1"/>
    <col min="13056" max="13056" width="8.6640625" style="2561" customWidth="1"/>
    <col min="13057" max="13057" width="1.109375" style="2561" customWidth="1"/>
    <col min="13058" max="13058" width="9.109375" style="2561" customWidth="1"/>
    <col min="13059" max="13059" width="1.109375" style="2561" customWidth="1"/>
    <col min="13060" max="13060" width="10" style="2561" customWidth="1"/>
    <col min="13061" max="13061" width="1.109375" style="2561" customWidth="1"/>
    <col min="13062" max="13062" width="9.109375" style="2561" customWidth="1"/>
    <col min="13063" max="13063" width="1.109375" style="2561" customWidth="1"/>
    <col min="13064" max="13064" width="11.109375" style="2561" customWidth="1"/>
    <col min="13065" max="13065" width="1.109375" style="2561" customWidth="1"/>
    <col min="13066" max="13066" width="9.109375" style="2561" customWidth="1"/>
    <col min="13067" max="13067" width="1.6640625" style="2561" customWidth="1"/>
    <col min="13068" max="13068" width="11" style="2561" customWidth="1"/>
    <col min="13069" max="13069" width="1.109375" style="2561" customWidth="1"/>
    <col min="13070" max="13070" width="10.6640625" style="2561" customWidth="1"/>
    <col min="13071" max="13071" width="1.109375" style="2561" customWidth="1"/>
    <col min="13072" max="13072" width="10" style="2561" customWidth="1"/>
    <col min="13073" max="13073" width="1.109375" style="2561" customWidth="1"/>
    <col min="13074" max="13074" width="9.109375" style="2561" customWidth="1"/>
    <col min="13075" max="13075" width="1.109375" style="2561" customWidth="1"/>
    <col min="13076" max="13076" width="7.6640625" style="2561" customWidth="1"/>
    <col min="13077" max="13077" width="1.109375" style="2561" customWidth="1"/>
    <col min="13078" max="13078" width="0.6640625" style="2561" customWidth="1"/>
    <col min="13079" max="13079" width="9.109375" style="2561" customWidth="1"/>
    <col min="13080" max="13080" width="1.109375" style="2561" customWidth="1"/>
    <col min="13081" max="13081" width="0.6640625" style="2561" customWidth="1"/>
    <col min="13082" max="13082" width="9.5546875" style="2561" bestFit="1" customWidth="1"/>
    <col min="13083" max="13084" width="0.6640625" style="2561" customWidth="1"/>
    <col min="13085" max="13085" width="9.6640625" style="2561" customWidth="1"/>
    <col min="13086" max="13086" width="1.109375" style="2561" customWidth="1"/>
    <col min="13087" max="13087" width="8.5546875" style="2561" customWidth="1"/>
    <col min="13088" max="13088" width="14.5546875" style="2561" customWidth="1"/>
    <col min="13089" max="13089" width="10" style="2561" customWidth="1"/>
    <col min="13090" max="13090" width="7.6640625" style="2561" bestFit="1" customWidth="1"/>
    <col min="13091" max="13091" width="9.6640625" style="2561" customWidth="1"/>
    <col min="13092" max="13308" width="8.6640625" style="2561"/>
    <col min="13309" max="13309" width="38.44140625" style="2561" customWidth="1"/>
    <col min="13310" max="13310" width="8.5546875" style="2561" customWidth="1"/>
    <col min="13311" max="13311" width="1.109375" style="2561" customWidth="1"/>
    <col min="13312" max="13312" width="8.6640625" style="2561" customWidth="1"/>
    <col min="13313" max="13313" width="1.109375" style="2561" customWidth="1"/>
    <col min="13314" max="13314" width="9.109375" style="2561" customWidth="1"/>
    <col min="13315" max="13315" width="1.109375" style="2561" customWidth="1"/>
    <col min="13316" max="13316" width="10" style="2561" customWidth="1"/>
    <col min="13317" max="13317" width="1.109375" style="2561" customWidth="1"/>
    <col min="13318" max="13318" width="9.109375" style="2561" customWidth="1"/>
    <col min="13319" max="13319" width="1.109375" style="2561" customWidth="1"/>
    <col min="13320" max="13320" width="11.109375" style="2561" customWidth="1"/>
    <col min="13321" max="13321" width="1.109375" style="2561" customWidth="1"/>
    <col min="13322" max="13322" width="9.109375" style="2561" customWidth="1"/>
    <col min="13323" max="13323" width="1.6640625" style="2561" customWidth="1"/>
    <col min="13324" max="13324" width="11" style="2561" customWidth="1"/>
    <col min="13325" max="13325" width="1.109375" style="2561" customWidth="1"/>
    <col min="13326" max="13326" width="10.6640625" style="2561" customWidth="1"/>
    <col min="13327" max="13327" width="1.109375" style="2561" customWidth="1"/>
    <col min="13328" max="13328" width="10" style="2561" customWidth="1"/>
    <col min="13329" max="13329" width="1.109375" style="2561" customWidth="1"/>
    <col min="13330" max="13330" width="9.109375" style="2561" customWidth="1"/>
    <col min="13331" max="13331" width="1.109375" style="2561" customWidth="1"/>
    <col min="13332" max="13332" width="7.6640625" style="2561" customWidth="1"/>
    <col min="13333" max="13333" width="1.109375" style="2561" customWidth="1"/>
    <col min="13334" max="13334" width="0.6640625" style="2561" customWidth="1"/>
    <col min="13335" max="13335" width="9.109375" style="2561" customWidth="1"/>
    <col min="13336" max="13336" width="1.109375" style="2561" customWidth="1"/>
    <col min="13337" max="13337" width="0.6640625" style="2561" customWidth="1"/>
    <col min="13338" max="13338" width="9.5546875" style="2561" bestFit="1" customWidth="1"/>
    <col min="13339" max="13340" width="0.6640625" style="2561" customWidth="1"/>
    <col min="13341" max="13341" width="9.6640625" style="2561" customWidth="1"/>
    <col min="13342" max="13342" width="1.109375" style="2561" customWidth="1"/>
    <col min="13343" max="13343" width="8.5546875" style="2561" customWidth="1"/>
    <col min="13344" max="13344" width="14.5546875" style="2561" customWidth="1"/>
    <col min="13345" max="13345" width="10" style="2561" customWidth="1"/>
    <col min="13346" max="13346" width="7.6640625" style="2561" bestFit="1" customWidth="1"/>
    <col min="13347" max="13347" width="9.6640625" style="2561" customWidth="1"/>
    <col min="13348" max="13564" width="8.6640625" style="2561"/>
    <col min="13565" max="13565" width="38.44140625" style="2561" customWidth="1"/>
    <col min="13566" max="13566" width="8.5546875" style="2561" customWidth="1"/>
    <col min="13567" max="13567" width="1.109375" style="2561" customWidth="1"/>
    <col min="13568" max="13568" width="8.6640625" style="2561" customWidth="1"/>
    <col min="13569" max="13569" width="1.109375" style="2561" customWidth="1"/>
    <col min="13570" max="13570" width="9.109375" style="2561" customWidth="1"/>
    <col min="13571" max="13571" width="1.109375" style="2561" customWidth="1"/>
    <col min="13572" max="13572" width="10" style="2561" customWidth="1"/>
    <col min="13573" max="13573" width="1.109375" style="2561" customWidth="1"/>
    <col min="13574" max="13574" width="9.109375" style="2561" customWidth="1"/>
    <col min="13575" max="13575" width="1.109375" style="2561" customWidth="1"/>
    <col min="13576" max="13576" width="11.109375" style="2561" customWidth="1"/>
    <col min="13577" max="13577" width="1.109375" style="2561" customWidth="1"/>
    <col min="13578" max="13578" width="9.109375" style="2561" customWidth="1"/>
    <col min="13579" max="13579" width="1.6640625" style="2561" customWidth="1"/>
    <col min="13580" max="13580" width="11" style="2561" customWidth="1"/>
    <col min="13581" max="13581" width="1.109375" style="2561" customWidth="1"/>
    <col min="13582" max="13582" width="10.6640625" style="2561" customWidth="1"/>
    <col min="13583" max="13583" width="1.109375" style="2561" customWidth="1"/>
    <col min="13584" max="13584" width="10" style="2561" customWidth="1"/>
    <col min="13585" max="13585" width="1.109375" style="2561" customWidth="1"/>
    <col min="13586" max="13586" width="9.109375" style="2561" customWidth="1"/>
    <col min="13587" max="13587" width="1.109375" style="2561" customWidth="1"/>
    <col min="13588" max="13588" width="7.6640625" style="2561" customWidth="1"/>
    <col min="13589" max="13589" width="1.109375" style="2561" customWidth="1"/>
    <col min="13590" max="13590" width="0.6640625" style="2561" customWidth="1"/>
    <col min="13591" max="13591" width="9.109375" style="2561" customWidth="1"/>
    <col min="13592" max="13592" width="1.109375" style="2561" customWidth="1"/>
    <col min="13593" max="13593" width="0.6640625" style="2561" customWidth="1"/>
    <col min="13594" max="13594" width="9.5546875" style="2561" bestFit="1" customWidth="1"/>
    <col min="13595" max="13596" width="0.6640625" style="2561" customWidth="1"/>
    <col min="13597" max="13597" width="9.6640625" style="2561" customWidth="1"/>
    <col min="13598" max="13598" width="1.109375" style="2561" customWidth="1"/>
    <col min="13599" max="13599" width="8.5546875" style="2561" customWidth="1"/>
    <col min="13600" max="13600" width="14.5546875" style="2561" customWidth="1"/>
    <col min="13601" max="13601" width="10" style="2561" customWidth="1"/>
    <col min="13602" max="13602" width="7.6640625" style="2561" bestFit="1" customWidth="1"/>
    <col min="13603" max="13603" width="9.6640625" style="2561" customWidth="1"/>
    <col min="13604" max="13820" width="8.6640625" style="2561"/>
    <col min="13821" max="13821" width="38.44140625" style="2561" customWidth="1"/>
    <col min="13822" max="13822" width="8.5546875" style="2561" customWidth="1"/>
    <col min="13823" max="13823" width="1.109375" style="2561" customWidth="1"/>
    <col min="13824" max="13824" width="8.6640625" style="2561" customWidth="1"/>
    <col min="13825" max="13825" width="1.109375" style="2561" customWidth="1"/>
    <col min="13826" max="13826" width="9.109375" style="2561" customWidth="1"/>
    <col min="13827" max="13827" width="1.109375" style="2561" customWidth="1"/>
    <col min="13828" max="13828" width="10" style="2561" customWidth="1"/>
    <col min="13829" max="13829" width="1.109375" style="2561" customWidth="1"/>
    <col min="13830" max="13830" width="9.109375" style="2561" customWidth="1"/>
    <col min="13831" max="13831" width="1.109375" style="2561" customWidth="1"/>
    <col min="13832" max="13832" width="11.109375" style="2561" customWidth="1"/>
    <col min="13833" max="13833" width="1.109375" style="2561" customWidth="1"/>
    <col min="13834" max="13834" width="9.109375" style="2561" customWidth="1"/>
    <col min="13835" max="13835" width="1.6640625" style="2561" customWidth="1"/>
    <col min="13836" max="13836" width="11" style="2561" customWidth="1"/>
    <col min="13837" max="13837" width="1.109375" style="2561" customWidth="1"/>
    <col min="13838" max="13838" width="10.6640625" style="2561" customWidth="1"/>
    <col min="13839" max="13839" width="1.109375" style="2561" customWidth="1"/>
    <col min="13840" max="13840" width="10" style="2561" customWidth="1"/>
    <col min="13841" max="13841" width="1.109375" style="2561" customWidth="1"/>
    <col min="13842" max="13842" width="9.109375" style="2561" customWidth="1"/>
    <col min="13843" max="13843" width="1.109375" style="2561" customWidth="1"/>
    <col min="13844" max="13844" width="7.6640625" style="2561" customWidth="1"/>
    <col min="13845" max="13845" width="1.109375" style="2561" customWidth="1"/>
    <col min="13846" max="13846" width="0.6640625" style="2561" customWidth="1"/>
    <col min="13847" max="13847" width="9.109375" style="2561" customWidth="1"/>
    <col min="13848" max="13848" width="1.109375" style="2561" customWidth="1"/>
    <col min="13849" max="13849" width="0.6640625" style="2561" customWidth="1"/>
    <col min="13850" max="13850" width="9.5546875" style="2561" bestFit="1" customWidth="1"/>
    <col min="13851" max="13852" width="0.6640625" style="2561" customWidth="1"/>
    <col min="13853" max="13853" width="9.6640625" style="2561" customWidth="1"/>
    <col min="13854" max="13854" width="1.109375" style="2561" customWidth="1"/>
    <col min="13855" max="13855" width="8.5546875" style="2561" customWidth="1"/>
    <col min="13856" max="13856" width="14.5546875" style="2561" customWidth="1"/>
    <col min="13857" max="13857" width="10" style="2561" customWidth="1"/>
    <col min="13858" max="13858" width="7.6640625" style="2561" bestFit="1" customWidth="1"/>
    <col min="13859" max="13859" width="9.6640625" style="2561" customWidth="1"/>
    <col min="13860" max="14076" width="8.6640625" style="2561"/>
    <col min="14077" max="14077" width="38.44140625" style="2561" customWidth="1"/>
    <col min="14078" max="14078" width="8.5546875" style="2561" customWidth="1"/>
    <col min="14079" max="14079" width="1.109375" style="2561" customWidth="1"/>
    <col min="14080" max="14080" width="8.6640625" style="2561" customWidth="1"/>
    <col min="14081" max="14081" width="1.109375" style="2561" customWidth="1"/>
    <col min="14082" max="14082" width="9.109375" style="2561" customWidth="1"/>
    <col min="14083" max="14083" width="1.109375" style="2561" customWidth="1"/>
    <col min="14084" max="14084" width="10" style="2561" customWidth="1"/>
    <col min="14085" max="14085" width="1.109375" style="2561" customWidth="1"/>
    <col min="14086" max="14086" width="9.109375" style="2561" customWidth="1"/>
    <col min="14087" max="14087" width="1.109375" style="2561" customWidth="1"/>
    <col min="14088" max="14088" width="11.109375" style="2561" customWidth="1"/>
    <col min="14089" max="14089" width="1.109375" style="2561" customWidth="1"/>
    <col min="14090" max="14090" width="9.109375" style="2561" customWidth="1"/>
    <col min="14091" max="14091" width="1.6640625" style="2561" customWidth="1"/>
    <col min="14092" max="14092" width="11" style="2561" customWidth="1"/>
    <col min="14093" max="14093" width="1.109375" style="2561" customWidth="1"/>
    <col min="14094" max="14094" width="10.6640625" style="2561" customWidth="1"/>
    <col min="14095" max="14095" width="1.109375" style="2561" customWidth="1"/>
    <col min="14096" max="14096" width="10" style="2561" customWidth="1"/>
    <col min="14097" max="14097" width="1.109375" style="2561" customWidth="1"/>
    <col min="14098" max="14098" width="9.109375" style="2561" customWidth="1"/>
    <col min="14099" max="14099" width="1.109375" style="2561" customWidth="1"/>
    <col min="14100" max="14100" width="7.6640625" style="2561" customWidth="1"/>
    <col min="14101" max="14101" width="1.109375" style="2561" customWidth="1"/>
    <col min="14102" max="14102" width="0.6640625" style="2561" customWidth="1"/>
    <col min="14103" max="14103" width="9.109375" style="2561" customWidth="1"/>
    <col min="14104" max="14104" width="1.109375" style="2561" customWidth="1"/>
    <col min="14105" max="14105" width="0.6640625" style="2561" customWidth="1"/>
    <col min="14106" max="14106" width="9.5546875" style="2561" bestFit="1" customWidth="1"/>
    <col min="14107" max="14108" width="0.6640625" style="2561" customWidth="1"/>
    <col min="14109" max="14109" width="9.6640625" style="2561" customWidth="1"/>
    <col min="14110" max="14110" width="1.109375" style="2561" customWidth="1"/>
    <col min="14111" max="14111" width="8.5546875" style="2561" customWidth="1"/>
    <col min="14112" max="14112" width="14.5546875" style="2561" customWidth="1"/>
    <col min="14113" max="14113" width="10" style="2561" customWidth="1"/>
    <col min="14114" max="14114" width="7.6640625" style="2561" bestFit="1" customWidth="1"/>
    <col min="14115" max="14115" width="9.6640625" style="2561" customWidth="1"/>
    <col min="14116" max="14332" width="8.6640625" style="2561"/>
    <col min="14333" max="14333" width="38.44140625" style="2561" customWidth="1"/>
    <col min="14334" max="14334" width="8.5546875" style="2561" customWidth="1"/>
    <col min="14335" max="14335" width="1.109375" style="2561" customWidth="1"/>
    <col min="14336" max="14336" width="8.6640625" style="2561" customWidth="1"/>
    <col min="14337" max="14337" width="1.109375" style="2561" customWidth="1"/>
    <col min="14338" max="14338" width="9.109375" style="2561" customWidth="1"/>
    <col min="14339" max="14339" width="1.109375" style="2561" customWidth="1"/>
    <col min="14340" max="14340" width="10" style="2561" customWidth="1"/>
    <col min="14341" max="14341" width="1.109375" style="2561" customWidth="1"/>
    <col min="14342" max="14342" width="9.109375" style="2561" customWidth="1"/>
    <col min="14343" max="14343" width="1.109375" style="2561" customWidth="1"/>
    <col min="14344" max="14344" width="11.109375" style="2561" customWidth="1"/>
    <col min="14345" max="14345" width="1.109375" style="2561" customWidth="1"/>
    <col min="14346" max="14346" width="9.109375" style="2561" customWidth="1"/>
    <col min="14347" max="14347" width="1.6640625" style="2561" customWidth="1"/>
    <col min="14348" max="14348" width="11" style="2561" customWidth="1"/>
    <col min="14349" max="14349" width="1.109375" style="2561" customWidth="1"/>
    <col min="14350" max="14350" width="10.6640625" style="2561" customWidth="1"/>
    <col min="14351" max="14351" width="1.109375" style="2561" customWidth="1"/>
    <col min="14352" max="14352" width="10" style="2561" customWidth="1"/>
    <col min="14353" max="14353" width="1.109375" style="2561" customWidth="1"/>
    <col min="14354" max="14354" width="9.109375" style="2561" customWidth="1"/>
    <col min="14355" max="14355" width="1.109375" style="2561" customWidth="1"/>
    <col min="14356" max="14356" width="7.6640625" style="2561" customWidth="1"/>
    <col min="14357" max="14357" width="1.109375" style="2561" customWidth="1"/>
    <col min="14358" max="14358" width="0.6640625" style="2561" customWidth="1"/>
    <col min="14359" max="14359" width="9.109375" style="2561" customWidth="1"/>
    <col min="14360" max="14360" width="1.109375" style="2561" customWidth="1"/>
    <col min="14361" max="14361" width="0.6640625" style="2561" customWidth="1"/>
    <col min="14362" max="14362" width="9.5546875" style="2561" bestFit="1" customWidth="1"/>
    <col min="14363" max="14364" width="0.6640625" style="2561" customWidth="1"/>
    <col min="14365" max="14365" width="9.6640625" style="2561" customWidth="1"/>
    <col min="14366" max="14366" width="1.109375" style="2561" customWidth="1"/>
    <col min="14367" max="14367" width="8.5546875" style="2561" customWidth="1"/>
    <col min="14368" max="14368" width="14.5546875" style="2561" customWidth="1"/>
    <col min="14369" max="14369" width="10" style="2561" customWidth="1"/>
    <col min="14370" max="14370" width="7.6640625" style="2561" bestFit="1" customWidth="1"/>
    <col min="14371" max="14371" width="9.6640625" style="2561" customWidth="1"/>
    <col min="14372" max="14588" width="8.6640625" style="2561"/>
    <col min="14589" max="14589" width="38.44140625" style="2561" customWidth="1"/>
    <col min="14590" max="14590" width="8.5546875" style="2561" customWidth="1"/>
    <col min="14591" max="14591" width="1.109375" style="2561" customWidth="1"/>
    <col min="14592" max="14592" width="8.6640625" style="2561" customWidth="1"/>
    <col min="14593" max="14593" width="1.109375" style="2561" customWidth="1"/>
    <col min="14594" max="14594" width="9.109375" style="2561" customWidth="1"/>
    <col min="14595" max="14595" width="1.109375" style="2561" customWidth="1"/>
    <col min="14596" max="14596" width="10" style="2561" customWidth="1"/>
    <col min="14597" max="14597" width="1.109375" style="2561" customWidth="1"/>
    <col min="14598" max="14598" width="9.109375" style="2561" customWidth="1"/>
    <col min="14599" max="14599" width="1.109375" style="2561" customWidth="1"/>
    <col min="14600" max="14600" width="11.109375" style="2561" customWidth="1"/>
    <col min="14601" max="14601" width="1.109375" style="2561" customWidth="1"/>
    <col min="14602" max="14602" width="9.109375" style="2561" customWidth="1"/>
    <col min="14603" max="14603" width="1.6640625" style="2561" customWidth="1"/>
    <col min="14604" max="14604" width="11" style="2561" customWidth="1"/>
    <col min="14605" max="14605" width="1.109375" style="2561" customWidth="1"/>
    <col min="14606" max="14606" width="10.6640625" style="2561" customWidth="1"/>
    <col min="14607" max="14607" width="1.109375" style="2561" customWidth="1"/>
    <col min="14608" max="14608" width="10" style="2561" customWidth="1"/>
    <col min="14609" max="14609" width="1.109375" style="2561" customWidth="1"/>
    <col min="14610" max="14610" width="9.109375" style="2561" customWidth="1"/>
    <col min="14611" max="14611" width="1.109375" style="2561" customWidth="1"/>
    <col min="14612" max="14612" width="7.6640625" style="2561" customWidth="1"/>
    <col min="14613" max="14613" width="1.109375" style="2561" customWidth="1"/>
    <col min="14614" max="14614" width="0.6640625" style="2561" customWidth="1"/>
    <col min="14615" max="14615" width="9.109375" style="2561" customWidth="1"/>
    <col min="14616" max="14616" width="1.109375" style="2561" customWidth="1"/>
    <col min="14617" max="14617" width="0.6640625" style="2561" customWidth="1"/>
    <col min="14618" max="14618" width="9.5546875" style="2561" bestFit="1" customWidth="1"/>
    <col min="14619" max="14620" width="0.6640625" style="2561" customWidth="1"/>
    <col min="14621" max="14621" width="9.6640625" style="2561" customWidth="1"/>
    <col min="14622" max="14622" width="1.109375" style="2561" customWidth="1"/>
    <col min="14623" max="14623" width="8.5546875" style="2561" customWidth="1"/>
    <col min="14624" max="14624" width="14.5546875" style="2561" customWidth="1"/>
    <col min="14625" max="14625" width="10" style="2561" customWidth="1"/>
    <col min="14626" max="14626" width="7.6640625" style="2561" bestFit="1" customWidth="1"/>
    <col min="14627" max="14627" width="9.6640625" style="2561" customWidth="1"/>
    <col min="14628" max="14844" width="8.6640625" style="2561"/>
    <col min="14845" max="14845" width="38.44140625" style="2561" customWidth="1"/>
    <col min="14846" max="14846" width="8.5546875" style="2561" customWidth="1"/>
    <col min="14847" max="14847" width="1.109375" style="2561" customWidth="1"/>
    <col min="14848" max="14848" width="8.6640625" style="2561" customWidth="1"/>
    <col min="14849" max="14849" width="1.109375" style="2561" customWidth="1"/>
    <col min="14850" max="14850" width="9.109375" style="2561" customWidth="1"/>
    <col min="14851" max="14851" width="1.109375" style="2561" customWidth="1"/>
    <col min="14852" max="14852" width="10" style="2561" customWidth="1"/>
    <col min="14853" max="14853" width="1.109375" style="2561" customWidth="1"/>
    <col min="14854" max="14854" width="9.109375" style="2561" customWidth="1"/>
    <col min="14855" max="14855" width="1.109375" style="2561" customWidth="1"/>
    <col min="14856" max="14856" width="11.109375" style="2561" customWidth="1"/>
    <col min="14857" max="14857" width="1.109375" style="2561" customWidth="1"/>
    <col min="14858" max="14858" width="9.109375" style="2561" customWidth="1"/>
    <col min="14859" max="14859" width="1.6640625" style="2561" customWidth="1"/>
    <col min="14860" max="14860" width="11" style="2561" customWidth="1"/>
    <col min="14861" max="14861" width="1.109375" style="2561" customWidth="1"/>
    <col min="14862" max="14862" width="10.6640625" style="2561" customWidth="1"/>
    <col min="14863" max="14863" width="1.109375" style="2561" customWidth="1"/>
    <col min="14864" max="14864" width="10" style="2561" customWidth="1"/>
    <col min="14865" max="14865" width="1.109375" style="2561" customWidth="1"/>
    <col min="14866" max="14866" width="9.109375" style="2561" customWidth="1"/>
    <col min="14867" max="14867" width="1.109375" style="2561" customWidth="1"/>
    <col min="14868" max="14868" width="7.6640625" style="2561" customWidth="1"/>
    <col min="14869" max="14869" width="1.109375" style="2561" customWidth="1"/>
    <col min="14870" max="14870" width="0.6640625" style="2561" customWidth="1"/>
    <col min="14871" max="14871" width="9.109375" style="2561" customWidth="1"/>
    <col min="14872" max="14872" width="1.109375" style="2561" customWidth="1"/>
    <col min="14873" max="14873" width="0.6640625" style="2561" customWidth="1"/>
    <col min="14874" max="14874" width="9.5546875" style="2561" bestFit="1" customWidth="1"/>
    <col min="14875" max="14876" width="0.6640625" style="2561" customWidth="1"/>
    <col min="14877" max="14877" width="9.6640625" style="2561" customWidth="1"/>
    <col min="14878" max="14878" width="1.109375" style="2561" customWidth="1"/>
    <col min="14879" max="14879" width="8.5546875" style="2561" customWidth="1"/>
    <col min="14880" max="14880" width="14.5546875" style="2561" customWidth="1"/>
    <col min="14881" max="14881" width="10" style="2561" customWidth="1"/>
    <col min="14882" max="14882" width="7.6640625" style="2561" bestFit="1" customWidth="1"/>
    <col min="14883" max="14883" width="9.6640625" style="2561" customWidth="1"/>
    <col min="14884" max="15100" width="8.6640625" style="2561"/>
    <col min="15101" max="15101" width="38.44140625" style="2561" customWidth="1"/>
    <col min="15102" max="15102" width="8.5546875" style="2561" customWidth="1"/>
    <col min="15103" max="15103" width="1.109375" style="2561" customWidth="1"/>
    <col min="15104" max="15104" width="8.6640625" style="2561" customWidth="1"/>
    <col min="15105" max="15105" width="1.109375" style="2561" customWidth="1"/>
    <col min="15106" max="15106" width="9.109375" style="2561" customWidth="1"/>
    <col min="15107" max="15107" width="1.109375" style="2561" customWidth="1"/>
    <col min="15108" max="15108" width="10" style="2561" customWidth="1"/>
    <col min="15109" max="15109" width="1.109375" style="2561" customWidth="1"/>
    <col min="15110" max="15110" width="9.109375" style="2561" customWidth="1"/>
    <col min="15111" max="15111" width="1.109375" style="2561" customWidth="1"/>
    <col min="15112" max="15112" width="11.109375" style="2561" customWidth="1"/>
    <col min="15113" max="15113" width="1.109375" style="2561" customWidth="1"/>
    <col min="15114" max="15114" width="9.109375" style="2561" customWidth="1"/>
    <col min="15115" max="15115" width="1.6640625" style="2561" customWidth="1"/>
    <col min="15116" max="15116" width="11" style="2561" customWidth="1"/>
    <col min="15117" max="15117" width="1.109375" style="2561" customWidth="1"/>
    <col min="15118" max="15118" width="10.6640625" style="2561" customWidth="1"/>
    <col min="15119" max="15119" width="1.109375" style="2561" customWidth="1"/>
    <col min="15120" max="15120" width="10" style="2561" customWidth="1"/>
    <col min="15121" max="15121" width="1.109375" style="2561" customWidth="1"/>
    <col min="15122" max="15122" width="9.109375" style="2561" customWidth="1"/>
    <col min="15123" max="15123" width="1.109375" style="2561" customWidth="1"/>
    <col min="15124" max="15124" width="7.6640625" style="2561" customWidth="1"/>
    <col min="15125" max="15125" width="1.109375" style="2561" customWidth="1"/>
    <col min="15126" max="15126" width="0.6640625" style="2561" customWidth="1"/>
    <col min="15127" max="15127" width="9.109375" style="2561" customWidth="1"/>
    <col min="15128" max="15128" width="1.109375" style="2561" customWidth="1"/>
    <col min="15129" max="15129" width="0.6640625" style="2561" customWidth="1"/>
    <col min="15130" max="15130" width="9.5546875" style="2561" bestFit="1" customWidth="1"/>
    <col min="15131" max="15132" width="0.6640625" style="2561" customWidth="1"/>
    <col min="15133" max="15133" width="9.6640625" style="2561" customWidth="1"/>
    <col min="15134" max="15134" width="1.109375" style="2561" customWidth="1"/>
    <col min="15135" max="15135" width="8.5546875" style="2561" customWidth="1"/>
    <col min="15136" max="15136" width="14.5546875" style="2561" customWidth="1"/>
    <col min="15137" max="15137" width="10" style="2561" customWidth="1"/>
    <col min="15138" max="15138" width="7.6640625" style="2561" bestFit="1" customWidth="1"/>
    <col min="15139" max="15139" width="9.6640625" style="2561" customWidth="1"/>
    <col min="15140" max="15356" width="8.6640625" style="2561"/>
    <col min="15357" max="15357" width="38.44140625" style="2561" customWidth="1"/>
    <col min="15358" max="15358" width="8.5546875" style="2561" customWidth="1"/>
    <col min="15359" max="15359" width="1.109375" style="2561" customWidth="1"/>
    <col min="15360" max="15360" width="8.6640625" style="2561" customWidth="1"/>
    <col min="15361" max="15361" width="1.109375" style="2561" customWidth="1"/>
    <col min="15362" max="15362" width="9.109375" style="2561" customWidth="1"/>
    <col min="15363" max="15363" width="1.109375" style="2561" customWidth="1"/>
    <col min="15364" max="15364" width="10" style="2561" customWidth="1"/>
    <col min="15365" max="15365" width="1.109375" style="2561" customWidth="1"/>
    <col min="15366" max="15366" width="9.109375" style="2561" customWidth="1"/>
    <col min="15367" max="15367" width="1.109375" style="2561" customWidth="1"/>
    <col min="15368" max="15368" width="11.109375" style="2561" customWidth="1"/>
    <col min="15369" max="15369" width="1.109375" style="2561" customWidth="1"/>
    <col min="15370" max="15370" width="9.109375" style="2561" customWidth="1"/>
    <col min="15371" max="15371" width="1.6640625" style="2561" customWidth="1"/>
    <col min="15372" max="15372" width="11" style="2561" customWidth="1"/>
    <col min="15373" max="15373" width="1.109375" style="2561" customWidth="1"/>
    <col min="15374" max="15374" width="10.6640625" style="2561" customWidth="1"/>
    <col min="15375" max="15375" width="1.109375" style="2561" customWidth="1"/>
    <col min="15376" max="15376" width="10" style="2561" customWidth="1"/>
    <col min="15377" max="15377" width="1.109375" style="2561" customWidth="1"/>
    <col min="15378" max="15378" width="9.109375" style="2561" customWidth="1"/>
    <col min="15379" max="15379" width="1.109375" style="2561" customWidth="1"/>
    <col min="15380" max="15380" width="7.6640625" style="2561" customWidth="1"/>
    <col min="15381" max="15381" width="1.109375" style="2561" customWidth="1"/>
    <col min="15382" max="15382" width="0.6640625" style="2561" customWidth="1"/>
    <col min="15383" max="15383" width="9.109375" style="2561" customWidth="1"/>
    <col min="15384" max="15384" width="1.109375" style="2561" customWidth="1"/>
    <col min="15385" max="15385" width="0.6640625" style="2561" customWidth="1"/>
    <col min="15386" max="15386" width="9.5546875" style="2561" bestFit="1" customWidth="1"/>
    <col min="15387" max="15388" width="0.6640625" style="2561" customWidth="1"/>
    <col min="15389" max="15389" width="9.6640625" style="2561" customWidth="1"/>
    <col min="15390" max="15390" width="1.109375" style="2561" customWidth="1"/>
    <col min="15391" max="15391" width="8.5546875" style="2561" customWidth="1"/>
    <col min="15392" max="15392" width="14.5546875" style="2561" customWidth="1"/>
    <col min="15393" max="15393" width="10" style="2561" customWidth="1"/>
    <col min="15394" max="15394" width="7.6640625" style="2561" bestFit="1" customWidth="1"/>
    <col min="15395" max="15395" width="9.6640625" style="2561" customWidth="1"/>
    <col min="15396" max="15612" width="8.6640625" style="2561"/>
    <col min="15613" max="15613" width="38.44140625" style="2561" customWidth="1"/>
    <col min="15614" max="15614" width="8.5546875" style="2561" customWidth="1"/>
    <col min="15615" max="15615" width="1.109375" style="2561" customWidth="1"/>
    <col min="15616" max="15616" width="8.6640625" style="2561" customWidth="1"/>
    <col min="15617" max="15617" width="1.109375" style="2561" customWidth="1"/>
    <col min="15618" max="15618" width="9.109375" style="2561" customWidth="1"/>
    <col min="15619" max="15619" width="1.109375" style="2561" customWidth="1"/>
    <col min="15620" max="15620" width="10" style="2561" customWidth="1"/>
    <col min="15621" max="15621" width="1.109375" style="2561" customWidth="1"/>
    <col min="15622" max="15622" width="9.109375" style="2561" customWidth="1"/>
    <col min="15623" max="15623" width="1.109375" style="2561" customWidth="1"/>
    <col min="15624" max="15624" width="11.109375" style="2561" customWidth="1"/>
    <col min="15625" max="15625" width="1.109375" style="2561" customWidth="1"/>
    <col min="15626" max="15626" width="9.109375" style="2561" customWidth="1"/>
    <col min="15627" max="15627" width="1.6640625" style="2561" customWidth="1"/>
    <col min="15628" max="15628" width="11" style="2561" customWidth="1"/>
    <col min="15629" max="15629" width="1.109375" style="2561" customWidth="1"/>
    <col min="15630" max="15630" width="10.6640625" style="2561" customWidth="1"/>
    <col min="15631" max="15631" width="1.109375" style="2561" customWidth="1"/>
    <col min="15632" max="15632" width="10" style="2561" customWidth="1"/>
    <col min="15633" max="15633" width="1.109375" style="2561" customWidth="1"/>
    <col min="15634" max="15634" width="9.109375" style="2561" customWidth="1"/>
    <col min="15635" max="15635" width="1.109375" style="2561" customWidth="1"/>
    <col min="15636" max="15636" width="7.6640625" style="2561" customWidth="1"/>
    <col min="15637" max="15637" width="1.109375" style="2561" customWidth="1"/>
    <col min="15638" max="15638" width="0.6640625" style="2561" customWidth="1"/>
    <col min="15639" max="15639" width="9.109375" style="2561" customWidth="1"/>
    <col min="15640" max="15640" width="1.109375" style="2561" customWidth="1"/>
    <col min="15641" max="15641" width="0.6640625" style="2561" customWidth="1"/>
    <col min="15642" max="15642" width="9.5546875" style="2561" bestFit="1" customWidth="1"/>
    <col min="15643" max="15644" width="0.6640625" style="2561" customWidth="1"/>
    <col min="15645" max="15645" width="9.6640625" style="2561" customWidth="1"/>
    <col min="15646" max="15646" width="1.109375" style="2561" customWidth="1"/>
    <col min="15647" max="15647" width="8.5546875" style="2561" customWidth="1"/>
    <col min="15648" max="15648" width="14.5546875" style="2561" customWidth="1"/>
    <col min="15649" max="15649" width="10" style="2561" customWidth="1"/>
    <col min="15650" max="15650" width="7.6640625" style="2561" bestFit="1" customWidth="1"/>
    <col min="15651" max="15651" width="9.6640625" style="2561" customWidth="1"/>
    <col min="15652" max="15868" width="8.6640625" style="2561"/>
    <col min="15869" max="15869" width="38.44140625" style="2561" customWidth="1"/>
    <col min="15870" max="15870" width="8.5546875" style="2561" customWidth="1"/>
    <col min="15871" max="15871" width="1.109375" style="2561" customWidth="1"/>
    <col min="15872" max="15872" width="8.6640625" style="2561" customWidth="1"/>
    <col min="15873" max="15873" width="1.109375" style="2561" customWidth="1"/>
    <col min="15874" max="15874" width="9.109375" style="2561" customWidth="1"/>
    <col min="15875" max="15875" width="1.109375" style="2561" customWidth="1"/>
    <col min="15876" max="15876" width="10" style="2561" customWidth="1"/>
    <col min="15877" max="15877" width="1.109375" style="2561" customWidth="1"/>
    <col min="15878" max="15878" width="9.109375" style="2561" customWidth="1"/>
    <col min="15879" max="15879" width="1.109375" style="2561" customWidth="1"/>
    <col min="15880" max="15880" width="11.109375" style="2561" customWidth="1"/>
    <col min="15881" max="15881" width="1.109375" style="2561" customWidth="1"/>
    <col min="15882" max="15882" width="9.109375" style="2561" customWidth="1"/>
    <col min="15883" max="15883" width="1.6640625" style="2561" customWidth="1"/>
    <col min="15884" max="15884" width="11" style="2561" customWidth="1"/>
    <col min="15885" max="15885" width="1.109375" style="2561" customWidth="1"/>
    <col min="15886" max="15886" width="10.6640625" style="2561" customWidth="1"/>
    <col min="15887" max="15887" width="1.109375" style="2561" customWidth="1"/>
    <col min="15888" max="15888" width="10" style="2561" customWidth="1"/>
    <col min="15889" max="15889" width="1.109375" style="2561" customWidth="1"/>
    <col min="15890" max="15890" width="9.109375" style="2561" customWidth="1"/>
    <col min="15891" max="15891" width="1.109375" style="2561" customWidth="1"/>
    <col min="15892" max="15892" width="7.6640625" style="2561" customWidth="1"/>
    <col min="15893" max="15893" width="1.109375" style="2561" customWidth="1"/>
    <col min="15894" max="15894" width="0.6640625" style="2561" customWidth="1"/>
    <col min="15895" max="15895" width="9.109375" style="2561" customWidth="1"/>
    <col min="15896" max="15896" width="1.109375" style="2561" customWidth="1"/>
    <col min="15897" max="15897" width="0.6640625" style="2561" customWidth="1"/>
    <col min="15898" max="15898" width="9.5546875" style="2561" bestFit="1" customWidth="1"/>
    <col min="15899" max="15900" width="0.6640625" style="2561" customWidth="1"/>
    <col min="15901" max="15901" width="9.6640625" style="2561" customWidth="1"/>
    <col min="15902" max="15902" width="1.109375" style="2561" customWidth="1"/>
    <col min="15903" max="15903" width="8.5546875" style="2561" customWidth="1"/>
    <col min="15904" max="15904" width="14.5546875" style="2561" customWidth="1"/>
    <col min="15905" max="15905" width="10" style="2561" customWidth="1"/>
    <col min="15906" max="15906" width="7.6640625" style="2561" bestFit="1" customWidth="1"/>
    <col min="15907" max="15907" width="9.6640625" style="2561" customWidth="1"/>
    <col min="15908" max="16124" width="8.6640625" style="2561"/>
    <col min="16125" max="16125" width="38.44140625" style="2561" customWidth="1"/>
    <col min="16126" max="16126" width="8.5546875" style="2561" customWidth="1"/>
    <col min="16127" max="16127" width="1.109375" style="2561" customWidth="1"/>
    <col min="16128" max="16128" width="8.6640625" style="2561" customWidth="1"/>
    <col min="16129" max="16129" width="1.109375" style="2561" customWidth="1"/>
    <col min="16130" max="16130" width="9.109375" style="2561" customWidth="1"/>
    <col min="16131" max="16131" width="1.109375" style="2561" customWidth="1"/>
    <col min="16132" max="16132" width="10" style="2561" customWidth="1"/>
    <col min="16133" max="16133" width="1.109375" style="2561" customWidth="1"/>
    <col min="16134" max="16134" width="9.109375" style="2561" customWidth="1"/>
    <col min="16135" max="16135" width="1.109375" style="2561" customWidth="1"/>
    <col min="16136" max="16136" width="11.109375" style="2561" customWidth="1"/>
    <col min="16137" max="16137" width="1.109375" style="2561" customWidth="1"/>
    <col min="16138" max="16138" width="9.109375" style="2561" customWidth="1"/>
    <col min="16139" max="16139" width="1.6640625" style="2561" customWidth="1"/>
    <col min="16140" max="16140" width="11" style="2561" customWidth="1"/>
    <col min="16141" max="16141" width="1.109375" style="2561" customWidth="1"/>
    <col min="16142" max="16142" width="10.6640625" style="2561" customWidth="1"/>
    <col min="16143" max="16143" width="1.109375" style="2561" customWidth="1"/>
    <col min="16144" max="16144" width="10" style="2561" customWidth="1"/>
    <col min="16145" max="16145" width="1.109375" style="2561" customWidth="1"/>
    <col min="16146" max="16146" width="9.109375" style="2561" customWidth="1"/>
    <col min="16147" max="16147" width="1.109375" style="2561" customWidth="1"/>
    <col min="16148" max="16148" width="7.6640625" style="2561" customWidth="1"/>
    <col min="16149" max="16149" width="1.109375" style="2561" customWidth="1"/>
    <col min="16150" max="16150" width="0.6640625" style="2561" customWidth="1"/>
    <col min="16151" max="16151" width="9.109375" style="2561" customWidth="1"/>
    <col min="16152" max="16152" width="1.109375" style="2561" customWidth="1"/>
    <col min="16153" max="16153" width="0.6640625" style="2561" customWidth="1"/>
    <col min="16154" max="16154" width="9.5546875" style="2561" bestFit="1" customWidth="1"/>
    <col min="16155" max="16156" width="0.6640625" style="2561" customWidth="1"/>
    <col min="16157" max="16157" width="9.6640625" style="2561" customWidth="1"/>
    <col min="16158" max="16158" width="1.109375" style="2561" customWidth="1"/>
    <col min="16159" max="16159" width="8.5546875" style="2561" customWidth="1"/>
    <col min="16160" max="16160" width="14.5546875" style="2561" customWidth="1"/>
    <col min="16161" max="16161" width="10" style="2561" customWidth="1"/>
    <col min="16162" max="16162" width="7.6640625" style="2561" bestFit="1" customWidth="1"/>
    <col min="16163" max="16163" width="9.6640625" style="2561" customWidth="1"/>
    <col min="16164" max="16384" width="8.6640625" style="2561"/>
  </cols>
  <sheetData>
    <row r="1" spans="1:36" ht="15">
      <c r="A1" s="2171" t="s">
        <v>870</v>
      </c>
    </row>
    <row r="2" spans="1:36" ht="10.5" customHeight="1"/>
    <row r="3" spans="1:36" ht="18">
      <c r="A3" s="2564" t="s">
        <v>0</v>
      </c>
      <c r="AI3" s="2565" t="s">
        <v>1045</v>
      </c>
    </row>
    <row r="4" spans="1:36" ht="18">
      <c r="A4" s="2566" t="s">
        <v>181</v>
      </c>
    </row>
    <row r="5" spans="1:36" ht="18">
      <c r="A5" s="2566" t="s">
        <v>145</v>
      </c>
      <c r="AB5" s="3954"/>
      <c r="AC5" s="3955"/>
      <c r="AD5" s="3955"/>
      <c r="AE5" s="2567"/>
      <c r="AF5" s="2567"/>
      <c r="AG5" s="2567"/>
      <c r="AH5" s="2567"/>
      <c r="AI5" s="2567"/>
      <c r="AJ5" s="2568"/>
    </row>
    <row r="6" spans="1:36" ht="18">
      <c r="A6" s="2564" t="str">
        <f>'Cashflow Governmental'!A6</f>
        <v xml:space="preserve">FISCAL YEAR 2022-2023   </v>
      </c>
    </row>
    <row r="7" spans="1:36" ht="18">
      <c r="A7" s="2566" t="s">
        <v>1250</v>
      </c>
    </row>
    <row r="8" spans="1:36" ht="15.75">
      <c r="AA8" s="3956" t="s">
        <v>1518</v>
      </c>
      <c r="AB8" s="3956"/>
      <c r="AC8" s="3956"/>
      <c r="AD8" s="3956"/>
      <c r="AE8" s="3956"/>
      <c r="AF8" s="3956"/>
      <c r="AG8" s="3956"/>
      <c r="AH8" s="3956"/>
      <c r="AI8" s="3956"/>
    </row>
    <row r="9" spans="1:36" ht="15.75">
      <c r="B9" s="2569" t="str">
        <f>'Cashflow Governmental'!C13</f>
        <v>2022</v>
      </c>
      <c r="C9" s="2389"/>
      <c r="D9" s="2389"/>
      <c r="E9" s="2389"/>
      <c r="F9" s="2570"/>
      <c r="G9" s="2389"/>
      <c r="H9" s="2389"/>
      <c r="I9" s="2389"/>
      <c r="J9" s="2389"/>
      <c r="K9" s="2389"/>
      <c r="L9" s="2389"/>
      <c r="M9" s="2389"/>
      <c r="N9" s="2389"/>
      <c r="O9" s="2389"/>
      <c r="P9" s="2389"/>
      <c r="Q9" s="2389"/>
      <c r="R9" s="2389"/>
      <c r="S9" s="2389"/>
      <c r="T9" s="2569">
        <f>'Cashflow Governmental'!U13</f>
        <v>2023</v>
      </c>
      <c r="U9" s="2389"/>
      <c r="V9" s="2389"/>
      <c r="W9" s="2389"/>
      <c r="X9" s="2571"/>
      <c r="Y9" s="2389"/>
      <c r="Z9" s="2389"/>
      <c r="AA9" s="2389"/>
      <c r="AB9" s="2389"/>
      <c r="AC9" s="2389"/>
      <c r="AD9" s="2389"/>
      <c r="AE9" s="2572"/>
      <c r="AF9" s="2389"/>
      <c r="AG9" s="2573" t="s">
        <v>7</v>
      </c>
      <c r="AH9" s="2574"/>
      <c r="AI9" s="2575" t="s">
        <v>8</v>
      </c>
      <c r="AJ9" s="2568"/>
    </row>
    <row r="10" spans="1:36" ht="15.75">
      <c r="B10" s="2576" t="s">
        <v>122</v>
      </c>
      <c r="C10" s="2389"/>
      <c r="D10" s="2576" t="s">
        <v>123</v>
      </c>
      <c r="E10" s="2571"/>
      <c r="F10" s="2577" t="s">
        <v>124</v>
      </c>
      <c r="G10" s="2571"/>
      <c r="H10" s="2576" t="s">
        <v>125</v>
      </c>
      <c r="I10" s="2571"/>
      <c r="J10" s="2576" t="s">
        <v>126</v>
      </c>
      <c r="K10" s="2571"/>
      <c r="L10" s="2578" t="s">
        <v>141</v>
      </c>
      <c r="M10" s="2571"/>
      <c r="N10" s="2576" t="s">
        <v>142</v>
      </c>
      <c r="O10" s="2571"/>
      <c r="P10" s="2576" t="s">
        <v>129</v>
      </c>
      <c r="Q10" s="2571"/>
      <c r="R10" s="2576" t="s">
        <v>130</v>
      </c>
      <c r="S10" s="2389"/>
      <c r="T10" s="2576" t="s">
        <v>131</v>
      </c>
      <c r="U10" s="2571"/>
      <c r="V10" s="2576" t="s">
        <v>132</v>
      </c>
      <c r="W10" s="2571"/>
      <c r="X10" s="2576" t="s">
        <v>182</v>
      </c>
      <c r="Y10" s="2571"/>
      <c r="Z10" s="2571"/>
      <c r="AA10" s="2579">
        <f>'Cashflow Governmental'!AB14</f>
        <v>2022</v>
      </c>
      <c r="AB10" s="2571"/>
      <c r="AC10" s="2571"/>
      <c r="AD10" s="2579">
        <f>'Cashflow Governmental'!AE14</f>
        <v>2021</v>
      </c>
      <c r="AE10" s="2580"/>
      <c r="AF10" s="2580"/>
      <c r="AG10" s="2581" t="s">
        <v>11</v>
      </c>
      <c r="AH10" s="2582"/>
      <c r="AI10" s="2581" t="s">
        <v>12</v>
      </c>
      <c r="AJ10" s="2568"/>
    </row>
    <row r="11" spans="1:36" ht="3" customHeight="1">
      <c r="B11" s="2583"/>
      <c r="C11" s="1427"/>
      <c r="D11" s="2583"/>
      <c r="E11" s="2584"/>
      <c r="F11" s="2585"/>
      <c r="G11" s="2584"/>
      <c r="H11" s="2583"/>
      <c r="I11" s="2584"/>
      <c r="J11" s="2583"/>
      <c r="K11" s="2584"/>
      <c r="L11" s="2586"/>
      <c r="M11" s="2584"/>
      <c r="N11" s="2583"/>
      <c r="O11" s="2584"/>
      <c r="P11" s="2583"/>
      <c r="Q11" s="2584"/>
      <c r="R11" s="2583"/>
      <c r="S11" s="1427"/>
      <c r="T11" s="2587"/>
      <c r="U11" s="2584"/>
      <c r="V11" s="2583"/>
      <c r="W11" s="2584"/>
      <c r="X11" s="2583"/>
      <c r="Y11" s="2584"/>
      <c r="Z11" s="2584"/>
      <c r="AA11" s="2588"/>
      <c r="AB11" s="2584"/>
      <c r="AC11" s="2584"/>
      <c r="AD11" s="2588"/>
      <c r="AE11" s="2588"/>
      <c r="AF11" s="2589"/>
      <c r="AG11" s="2588"/>
      <c r="AH11" s="1424"/>
      <c r="AI11" s="1427"/>
    </row>
    <row r="12" spans="1:36" ht="15.75">
      <c r="A12" s="2590" t="s">
        <v>183</v>
      </c>
      <c r="B12" s="2369">
        <v>102</v>
      </c>
      <c r="C12" s="2369"/>
      <c r="D12" s="2591">
        <f>B78</f>
        <v>265.89999999999998</v>
      </c>
      <c r="E12" s="2369"/>
      <c r="F12" s="2591"/>
      <c r="G12" s="2369"/>
      <c r="H12" s="2591"/>
      <c r="I12" s="2369"/>
      <c r="J12" s="2591"/>
      <c r="K12" s="2369"/>
      <c r="L12" s="2591"/>
      <c r="M12" s="2369"/>
      <c r="N12" s="2591"/>
      <c r="O12" s="2369"/>
      <c r="P12" s="2591"/>
      <c r="Q12" s="2369"/>
      <c r="R12" s="2591"/>
      <c r="S12" s="2369"/>
      <c r="T12" s="2591"/>
      <c r="U12" s="2369"/>
      <c r="V12" s="2591"/>
      <c r="W12" s="2369"/>
      <c r="X12" s="2591"/>
      <c r="Y12" s="2592"/>
      <c r="Z12" s="2369"/>
      <c r="AA12" s="2369">
        <f>B12</f>
        <v>102</v>
      </c>
      <c r="AB12" s="2592"/>
      <c r="AC12" s="2369"/>
      <c r="AD12" s="3355">
        <v>65</v>
      </c>
      <c r="AE12" s="2593"/>
      <c r="AF12" s="2594"/>
      <c r="AG12" s="2595">
        <f>ROUND(SUM(AA12-AD12),1)</f>
        <v>37</v>
      </c>
      <c r="AH12" s="2572"/>
      <c r="AI12" s="2596">
        <f>ROUND(SUM(AG12/AD12),3)</f>
        <v>0.56899999999999995</v>
      </c>
      <c r="AJ12" s="2568"/>
    </row>
    <row r="13" spans="1:36" ht="12.75" customHeight="1">
      <c r="A13" s="1427"/>
      <c r="B13" s="1427"/>
      <c r="C13" s="1427"/>
      <c r="D13" s="1427"/>
      <c r="E13" s="1427"/>
      <c r="F13" s="1923"/>
      <c r="G13" s="1427"/>
      <c r="H13" s="1427"/>
      <c r="I13" s="1427"/>
      <c r="J13" s="1427"/>
      <c r="K13" s="1427"/>
      <c r="L13" s="1427"/>
      <c r="M13" s="1427"/>
      <c r="N13" s="1427"/>
      <c r="O13" s="1427"/>
      <c r="P13" s="1427"/>
      <c r="Q13" s="1427"/>
      <c r="R13" s="1427"/>
      <c r="S13" s="1427"/>
      <c r="T13" s="1427"/>
      <c r="U13" s="1427"/>
      <c r="V13" s="1427"/>
      <c r="W13" s="1427"/>
      <c r="X13" s="1427"/>
      <c r="Y13" s="2597"/>
      <c r="Z13" s="1427"/>
      <c r="AA13" s="1923"/>
      <c r="AB13" s="2598"/>
      <c r="AC13" s="1923"/>
      <c r="AD13" s="2521"/>
      <c r="AE13" s="2588"/>
      <c r="AF13" s="2599"/>
      <c r="AG13" s="2600"/>
      <c r="AH13" s="1424"/>
      <c r="AI13" s="1427"/>
    </row>
    <row r="14" spans="1:36" ht="14.25" customHeight="1">
      <c r="A14" s="2389" t="s">
        <v>13</v>
      </c>
      <c r="B14" s="1427"/>
      <c r="C14" s="1427"/>
      <c r="D14" s="1427"/>
      <c r="E14" s="1427"/>
      <c r="F14" s="1923"/>
      <c r="G14" s="1427"/>
      <c r="H14" s="1427"/>
      <c r="I14" s="1427"/>
      <c r="J14" s="1427"/>
      <c r="K14" s="1427"/>
      <c r="L14" s="1427"/>
      <c r="M14" s="1427"/>
      <c r="N14" s="1427"/>
      <c r="O14" s="1427"/>
      <c r="P14" s="1427"/>
      <c r="Q14" s="1427"/>
      <c r="R14" s="1427"/>
      <c r="S14" s="1427"/>
      <c r="T14" s="1427"/>
      <c r="U14" s="1427"/>
      <c r="V14" s="1427"/>
      <c r="W14" s="1427"/>
      <c r="X14" s="1427"/>
      <c r="Y14" s="2597"/>
      <c r="Z14" s="1427"/>
      <c r="AA14" s="1923"/>
      <c r="AB14" s="2598"/>
      <c r="AC14" s="1923"/>
      <c r="AD14" s="2521"/>
      <c r="AE14" s="2588"/>
      <c r="AF14" s="2599"/>
      <c r="AG14" s="2600"/>
      <c r="AH14" s="1424"/>
      <c r="AI14" s="1427"/>
    </row>
    <row r="15" spans="1:36" ht="14.25" customHeight="1">
      <c r="A15" s="2378" t="s">
        <v>980</v>
      </c>
      <c r="B15" s="1408"/>
      <c r="C15" s="1408"/>
      <c r="D15" s="1408"/>
      <c r="E15" s="2601"/>
      <c r="F15" s="1408"/>
      <c r="G15" s="2601"/>
      <c r="H15" s="1427"/>
      <c r="I15" s="1427"/>
      <c r="J15" s="1427"/>
      <c r="K15" s="1427"/>
      <c r="L15" s="1427"/>
      <c r="M15" s="1427"/>
      <c r="N15" s="1427"/>
      <c r="O15" s="1427"/>
      <c r="P15" s="1427"/>
      <c r="Q15" s="1427"/>
      <c r="R15" s="1427"/>
      <c r="S15" s="1427"/>
      <c r="T15" s="1427"/>
      <c r="U15" s="1427"/>
      <c r="V15" s="1427"/>
      <c r="W15" s="1427"/>
      <c r="X15" s="1427"/>
      <c r="Y15" s="2602"/>
      <c r="Z15" s="1427"/>
      <c r="AA15" s="1923"/>
      <c r="AB15" s="1922"/>
      <c r="AC15" s="1923"/>
      <c r="AD15" s="2992"/>
      <c r="AE15" s="2588"/>
      <c r="AF15" s="2599"/>
      <c r="AG15" s="2600"/>
      <c r="AH15" s="1424"/>
      <c r="AI15" s="1427"/>
    </row>
    <row r="16" spans="1:36" ht="14.25" customHeight="1">
      <c r="A16" s="2456" t="s">
        <v>983</v>
      </c>
      <c r="B16" s="1337">
        <v>7360.8</v>
      </c>
      <c r="C16" s="1391"/>
      <c r="D16" s="1337">
        <f>$AA16-B16</f>
        <v>1362.0999999999995</v>
      </c>
      <c r="E16" s="1391"/>
      <c r="F16" s="1337"/>
      <c r="G16" s="1337"/>
      <c r="H16" s="1337"/>
      <c r="I16" s="2521"/>
      <c r="J16" s="1337"/>
      <c r="K16" s="2521"/>
      <c r="L16" s="1337"/>
      <c r="M16" s="2521"/>
      <c r="N16" s="1337"/>
      <c r="O16" s="2521"/>
      <c r="P16" s="1741"/>
      <c r="Q16" s="2521"/>
      <c r="R16" s="1741"/>
      <c r="S16" s="2521"/>
      <c r="T16" s="1741"/>
      <c r="U16" s="2521"/>
      <c r="V16" s="1741"/>
      <c r="W16" s="2521"/>
      <c r="X16" s="1741"/>
      <c r="Y16" s="2602"/>
      <c r="Z16" s="1427"/>
      <c r="AA16" s="1741">
        <v>8722.9</v>
      </c>
      <c r="AB16" s="1922"/>
      <c r="AC16" s="1923"/>
      <c r="AD16" s="1741">
        <v>8179.4</v>
      </c>
      <c r="AE16" s="2588"/>
      <c r="AF16" s="2599"/>
      <c r="AG16" s="2603">
        <f>ROUND(SUM(AA16-AD16),1)</f>
        <v>543.5</v>
      </c>
      <c r="AH16" s="1424"/>
      <c r="AI16" s="1603">
        <f>ROUND(IF(AD16=0,0,AG16/ABS(AD16)),3)</f>
        <v>6.6000000000000003E-2</v>
      </c>
    </row>
    <row r="17" spans="1:35" ht="6" customHeight="1">
      <c r="A17" s="2456"/>
      <c r="B17" s="1337"/>
      <c r="C17" s="1391"/>
      <c r="D17" s="1337"/>
      <c r="E17" s="1391"/>
      <c r="F17" s="1337"/>
      <c r="G17" s="2385"/>
      <c r="H17" s="1337"/>
      <c r="I17" s="1427"/>
      <c r="J17" s="1337"/>
      <c r="K17" s="1427"/>
      <c r="L17" s="1337"/>
      <c r="M17" s="1427"/>
      <c r="N17" s="1337"/>
      <c r="O17" s="1427"/>
      <c r="P17" s="1741"/>
      <c r="Q17" s="1427"/>
      <c r="R17" s="1741"/>
      <c r="S17" s="1427"/>
      <c r="T17" s="1741"/>
      <c r="U17" s="1427"/>
      <c r="V17" s="1741"/>
      <c r="W17" s="1427"/>
      <c r="X17" s="1741"/>
      <c r="Y17" s="2604"/>
      <c r="Z17" s="1427"/>
      <c r="AA17" s="1741"/>
      <c r="AB17" s="1924"/>
      <c r="AC17" s="1923"/>
      <c r="AD17" s="1741"/>
      <c r="AE17" s="2588"/>
      <c r="AF17" s="2599"/>
      <c r="AG17" s="2603"/>
      <c r="AH17" s="1424"/>
      <c r="AI17" s="1603"/>
    </row>
    <row r="18" spans="1:35" ht="14.25" customHeight="1">
      <c r="A18" s="2456" t="s">
        <v>1039</v>
      </c>
      <c r="B18" s="1412"/>
      <c r="C18" s="1411"/>
      <c r="D18" s="1337"/>
      <c r="E18" s="1411"/>
      <c r="F18" s="1337"/>
      <c r="G18" s="1411"/>
      <c r="H18" s="1412"/>
      <c r="I18" s="1427"/>
      <c r="J18" s="1337"/>
      <c r="K18" s="1427"/>
      <c r="L18" s="1337"/>
      <c r="M18" s="1427"/>
      <c r="N18" s="1337"/>
      <c r="O18" s="1427"/>
      <c r="P18" s="1741"/>
      <c r="Q18" s="1427"/>
      <c r="R18" s="1741"/>
      <c r="S18" s="1427"/>
      <c r="T18" s="1741"/>
      <c r="U18" s="1427"/>
      <c r="V18" s="1741"/>
      <c r="W18" s="1427"/>
      <c r="X18" s="1741"/>
      <c r="Y18" s="2602"/>
      <c r="Z18" s="1427"/>
      <c r="AA18" s="1430"/>
      <c r="AB18" s="1922"/>
      <c r="AC18" s="1923"/>
      <c r="AD18" s="1430"/>
      <c r="AE18" s="2588"/>
      <c r="AF18" s="2599"/>
      <c r="AG18" s="2600"/>
      <c r="AH18" s="1424"/>
      <c r="AI18" s="1427"/>
    </row>
    <row r="19" spans="1:35" ht="14.25" customHeight="1">
      <c r="A19" s="2171" t="s">
        <v>995</v>
      </c>
      <c r="B19" s="1337">
        <v>931.6</v>
      </c>
      <c r="C19" s="1391"/>
      <c r="D19" s="1337">
        <f>$AA19-B19</f>
        <v>982.19999999999993</v>
      </c>
      <c r="E19" s="1391"/>
      <c r="F19" s="1337"/>
      <c r="G19" s="1411"/>
      <c r="H19" s="1337"/>
      <c r="I19" s="2521"/>
      <c r="J19" s="1337"/>
      <c r="K19" s="2521"/>
      <c r="L19" s="1337"/>
      <c r="M19" s="2521"/>
      <c r="N19" s="1337"/>
      <c r="O19" s="2521"/>
      <c r="P19" s="1741"/>
      <c r="Q19" s="2521"/>
      <c r="R19" s="1741"/>
      <c r="S19" s="2521"/>
      <c r="T19" s="1741"/>
      <c r="U19" s="2521"/>
      <c r="V19" s="1741"/>
      <c r="W19" s="2521"/>
      <c r="X19" s="1741"/>
      <c r="Y19" s="2602"/>
      <c r="Z19" s="1427"/>
      <c r="AA19" s="1741">
        <v>1913.8</v>
      </c>
      <c r="AB19" s="1922"/>
      <c r="AC19" s="1923"/>
      <c r="AD19" s="1741">
        <v>1780.7</v>
      </c>
      <c r="AE19" s="2588"/>
      <c r="AF19" s="2599"/>
      <c r="AG19" s="2603">
        <f>ROUND(SUM(AA19-AD19),1)</f>
        <v>133.1</v>
      </c>
      <c r="AH19" s="1424"/>
      <c r="AI19" s="1394">
        <f>ROUND(IF(AD19=0,0,AG19/ABS(AD19)),3)</f>
        <v>7.4999999999999997E-2</v>
      </c>
    </row>
    <row r="20" spans="1:35" ht="14.25" customHeight="1">
      <c r="A20" s="2389" t="s">
        <v>994</v>
      </c>
      <c r="B20" s="1428">
        <f>ROUND(SUM(B19:B19),1)</f>
        <v>931.6</v>
      </c>
      <c r="C20" s="1429"/>
      <c r="D20" s="1428">
        <f>ROUND(SUM(D19:D19),1)</f>
        <v>982.2</v>
      </c>
      <c r="E20" s="1429"/>
      <c r="F20" s="1428">
        <f>ROUND(SUM(F19:F19),1)</f>
        <v>0</v>
      </c>
      <c r="G20" s="1429"/>
      <c r="H20" s="1428">
        <f>ROUND(SUM(H19:H19),1)</f>
        <v>0</v>
      </c>
      <c r="I20" s="1427"/>
      <c r="J20" s="1428">
        <f>ROUND(SUM(J19:J19),1)</f>
        <v>0</v>
      </c>
      <c r="K20" s="1427"/>
      <c r="L20" s="1428">
        <f>ROUND(SUM(L19:L19),1)</f>
        <v>0</v>
      </c>
      <c r="M20" s="1427"/>
      <c r="N20" s="1428">
        <f>ROUND(SUM(N19:N19),1)</f>
        <v>0</v>
      </c>
      <c r="O20" s="1427"/>
      <c r="P20" s="1428">
        <f>ROUND(SUM(P19:P19),1)</f>
        <v>0</v>
      </c>
      <c r="Q20" s="1427"/>
      <c r="R20" s="1428">
        <f>ROUND(SUM(R19:R19),1)</f>
        <v>0</v>
      </c>
      <c r="S20" s="1427"/>
      <c r="T20" s="1428">
        <f>ROUND(SUM(T19:T19),1)</f>
        <v>0</v>
      </c>
      <c r="U20" s="1427"/>
      <c r="V20" s="1428">
        <f>ROUND(SUM(V19:V19),1)</f>
        <v>0</v>
      </c>
      <c r="W20" s="1427"/>
      <c r="X20" s="1428">
        <f>ROUND(SUM(X19:X19),1)</f>
        <v>0</v>
      </c>
      <c r="Y20" s="2602"/>
      <c r="Z20" s="1427"/>
      <c r="AA20" s="1428">
        <f>ROUND(SUM(AA19:AA19),1)</f>
        <v>1913.8</v>
      </c>
      <c r="AB20" s="1922"/>
      <c r="AC20" s="1923"/>
      <c r="AD20" s="1428">
        <f>ROUND(SUM(AD19:AD19),1)</f>
        <v>1780.7</v>
      </c>
      <c r="AE20" s="2588"/>
      <c r="AF20" s="2599"/>
      <c r="AG20" s="2605">
        <f>ROUND(SUM(AA20-AD20),1)</f>
        <v>133.1</v>
      </c>
      <c r="AH20" s="2572"/>
      <c r="AI20" s="1410">
        <f>ROUND(IF(AD20=0,0,AG20/ABS(AD20)),3)</f>
        <v>7.4999999999999997E-2</v>
      </c>
    </row>
    <row r="21" spans="1:35" ht="14.25" customHeight="1">
      <c r="A21" s="2456" t="s">
        <v>1040</v>
      </c>
      <c r="B21" s="1430"/>
      <c r="C21" s="1429"/>
      <c r="D21" s="1430"/>
      <c r="E21" s="1429"/>
      <c r="F21" s="1430"/>
      <c r="G21" s="1429"/>
      <c r="H21" s="1430"/>
      <c r="I21" s="1427"/>
      <c r="J21" s="1430"/>
      <c r="K21" s="1427"/>
      <c r="L21" s="1430"/>
      <c r="M21" s="1427"/>
      <c r="N21" s="1430"/>
      <c r="O21" s="1427"/>
      <c r="P21" s="1430"/>
      <c r="Q21" s="1427"/>
      <c r="R21" s="1430"/>
      <c r="S21" s="1427"/>
      <c r="T21" s="1430"/>
      <c r="U21" s="1427"/>
      <c r="V21" s="1430"/>
      <c r="W21" s="1427"/>
      <c r="X21" s="1430"/>
      <c r="Y21" s="3845"/>
      <c r="Z21" s="1427"/>
      <c r="AA21" s="1430"/>
      <c r="AB21" s="3846"/>
      <c r="AC21" s="1923"/>
      <c r="AD21" s="1430"/>
      <c r="AE21" s="2588"/>
      <c r="AF21" s="2599"/>
      <c r="AG21" s="2618"/>
      <c r="AH21" s="2572"/>
      <c r="AI21" s="1399"/>
    </row>
    <row r="22" spans="1:35" ht="14.25" customHeight="1">
      <c r="A22" s="2171" t="s">
        <v>1452</v>
      </c>
      <c r="B22" s="1337">
        <v>90.6</v>
      </c>
      <c r="C22" s="1411"/>
      <c r="D22" s="1337">
        <f>$AA22-B22</f>
        <v>-24.199999999999989</v>
      </c>
      <c r="E22" s="1411"/>
      <c r="F22" s="1984"/>
      <c r="G22" s="1411"/>
      <c r="H22" s="1984"/>
      <c r="I22" s="2619"/>
      <c r="J22" s="1984"/>
      <c r="K22" s="2619"/>
      <c r="L22" s="1984"/>
      <c r="M22" s="2619"/>
      <c r="N22" s="1984"/>
      <c r="O22" s="2619"/>
      <c r="P22" s="1984"/>
      <c r="Q22" s="2619"/>
      <c r="R22" s="1741"/>
      <c r="S22" s="2619"/>
      <c r="T22" s="1741"/>
      <c r="U22" s="2619"/>
      <c r="V22" s="1741"/>
      <c r="W22" s="2619"/>
      <c r="X22" s="1984"/>
      <c r="Y22" s="3847"/>
      <c r="Z22" s="2619"/>
      <c r="AA22" s="1741">
        <v>66.400000000000006</v>
      </c>
      <c r="AB22" s="1922"/>
      <c r="AC22" s="1923"/>
      <c r="AD22" s="1741">
        <v>0</v>
      </c>
      <c r="AE22" s="3440"/>
      <c r="AF22" s="3441"/>
      <c r="AG22" s="2603">
        <f>ROUND(SUM(AA22-AD22),1)</f>
        <v>66.400000000000006</v>
      </c>
      <c r="AH22" s="1424"/>
      <c r="AI22" s="1394">
        <f>ROUND(IF(AD22=0,1,AG22/ABS(AD22)),3)</f>
        <v>1</v>
      </c>
    </row>
    <row r="23" spans="1:35" ht="14.25" customHeight="1">
      <c r="A23" s="2389" t="s">
        <v>1001</v>
      </c>
      <c r="B23" s="3044">
        <f>ROUND(SUM(B22),1)</f>
        <v>90.6</v>
      </c>
      <c r="C23" s="1429"/>
      <c r="D23" s="3044">
        <f>ROUND(SUM(D22),1)</f>
        <v>-24.2</v>
      </c>
      <c r="E23" s="1429"/>
      <c r="F23" s="3044">
        <f>ROUND(SUM(F22),1)</f>
        <v>0</v>
      </c>
      <c r="G23" s="1429"/>
      <c r="H23" s="3044">
        <f>ROUND(SUM(H22),1)</f>
        <v>0</v>
      </c>
      <c r="I23" s="1427"/>
      <c r="J23" s="3044">
        <f>ROUND(SUM(J22),1)</f>
        <v>0</v>
      </c>
      <c r="K23" s="1427"/>
      <c r="L23" s="3044">
        <f>ROUND(SUM(L22),1)</f>
        <v>0</v>
      </c>
      <c r="M23" s="1427"/>
      <c r="N23" s="3044">
        <f>ROUND(SUM(N22),1)</f>
        <v>0</v>
      </c>
      <c r="O23" s="1427"/>
      <c r="P23" s="3044">
        <f>ROUND(SUM(P22),1)</f>
        <v>0</v>
      </c>
      <c r="Q23" s="1427"/>
      <c r="R23" s="3044">
        <f>ROUND(SUM(R22),1)</f>
        <v>0</v>
      </c>
      <c r="S23" s="1427"/>
      <c r="T23" s="3044">
        <f>ROUND(SUM(T22),1)</f>
        <v>0</v>
      </c>
      <c r="U23" s="1427"/>
      <c r="V23" s="3044">
        <f>ROUND(SUM(V22),1)</f>
        <v>0</v>
      </c>
      <c r="W23" s="1427"/>
      <c r="X23" s="3044">
        <f>ROUND(SUM(X22),1)</f>
        <v>0</v>
      </c>
      <c r="Y23" s="3845"/>
      <c r="Z23" s="1427"/>
      <c r="AA23" s="3044">
        <f>ROUND(SUM(AA22),1)</f>
        <v>66.400000000000006</v>
      </c>
      <c r="AB23" s="3846"/>
      <c r="AC23" s="1923"/>
      <c r="AD23" s="3044">
        <f>ROUND(SUM(AD22),1)</f>
        <v>0</v>
      </c>
      <c r="AE23" s="2588"/>
      <c r="AF23" s="2599"/>
      <c r="AG23" s="2605">
        <f>ROUND(SUM(AA23-AD23),1)</f>
        <v>66.400000000000006</v>
      </c>
      <c r="AH23" s="2572"/>
      <c r="AI23" s="1410">
        <f>ROUND(IF(AD23=0,1,AG23/ABS(AD23)),3)</f>
        <v>1</v>
      </c>
    </row>
    <row r="24" spans="1:35" ht="14.25" customHeight="1">
      <c r="A24" s="2379" t="s">
        <v>1041</v>
      </c>
      <c r="B24" s="1412"/>
      <c r="C24" s="1429"/>
      <c r="D24" s="1412"/>
      <c r="E24" s="1429"/>
      <c r="F24" s="1412"/>
      <c r="G24" s="1429"/>
      <c r="H24" s="1412"/>
      <c r="I24" s="1427"/>
      <c r="J24" s="1412"/>
      <c r="K24" s="1427"/>
      <c r="L24" s="1412"/>
      <c r="M24" s="1427"/>
      <c r="N24" s="1412"/>
      <c r="O24" s="1427"/>
      <c r="P24" s="1412"/>
      <c r="Q24" s="1427"/>
      <c r="R24" s="1412"/>
      <c r="S24" s="1427"/>
      <c r="T24" s="1412"/>
      <c r="U24" s="1427"/>
      <c r="V24" s="1412"/>
      <c r="W24" s="1427"/>
      <c r="X24" s="1412"/>
      <c r="Y24" s="2602"/>
      <c r="Z24" s="1427"/>
      <c r="AA24" s="1430"/>
      <c r="AB24" s="1922"/>
      <c r="AC24" s="1923"/>
      <c r="AD24" s="1430"/>
      <c r="AE24" s="2588"/>
      <c r="AF24" s="2599"/>
      <c r="AG24" s="2600"/>
      <c r="AH24" s="1424"/>
      <c r="AI24" s="1427"/>
    </row>
    <row r="25" spans="1:35" ht="14.25" customHeight="1">
      <c r="A25" s="2171" t="s">
        <v>1012</v>
      </c>
      <c r="B25" s="1337">
        <v>152.4</v>
      </c>
      <c r="C25" s="1391"/>
      <c r="D25" s="1337">
        <f t="shared" ref="D25:D26" si="0">$AA25-B25</f>
        <v>129.99999999999997</v>
      </c>
      <c r="E25" s="1391"/>
      <c r="F25" s="1337"/>
      <c r="G25" s="1429"/>
      <c r="H25" s="1337"/>
      <c r="I25" s="2521"/>
      <c r="J25" s="1337"/>
      <c r="K25" s="2521"/>
      <c r="L25" s="1337"/>
      <c r="M25" s="2521"/>
      <c r="N25" s="1337"/>
      <c r="O25" s="2521"/>
      <c r="P25" s="1741"/>
      <c r="Q25" s="2521"/>
      <c r="R25" s="1741"/>
      <c r="S25" s="2521"/>
      <c r="T25" s="1741"/>
      <c r="U25" s="2521"/>
      <c r="V25" s="1741"/>
      <c r="W25" s="2521"/>
      <c r="X25" s="1741"/>
      <c r="Y25" s="2602"/>
      <c r="Z25" s="1427"/>
      <c r="AA25" s="1741">
        <v>282.39999999999998</v>
      </c>
      <c r="AB25" s="1922"/>
      <c r="AC25" s="1923"/>
      <c r="AD25" s="1741">
        <v>207.4</v>
      </c>
      <c r="AE25" s="2588"/>
      <c r="AF25" s="2599"/>
      <c r="AG25" s="2603">
        <f>ROUND(SUM(AA25-AD25),1)</f>
        <v>75</v>
      </c>
      <c r="AH25" s="1424"/>
      <c r="AI25" s="1394">
        <f>ROUND(IF(AD25=0,0,AG25/ABS(AD25)),3)</f>
        <v>0.36199999999999999</v>
      </c>
    </row>
    <row r="26" spans="1:35" ht="14.25" customHeight="1">
      <c r="A26" s="2386" t="s">
        <v>1257</v>
      </c>
      <c r="B26" s="1337">
        <v>0.2</v>
      </c>
      <c r="C26" s="1411"/>
      <c r="D26" s="1337">
        <f t="shared" si="0"/>
        <v>9.9999999999999978E-2</v>
      </c>
      <c r="E26" s="1411"/>
      <c r="F26" s="1337"/>
      <c r="G26" s="1411"/>
      <c r="H26" s="1337"/>
      <c r="I26" s="2619"/>
      <c r="J26" s="1337"/>
      <c r="K26" s="2619"/>
      <c r="L26" s="1337"/>
      <c r="M26" s="2619"/>
      <c r="N26" s="1337"/>
      <c r="O26" s="2619"/>
      <c r="P26" s="1741"/>
      <c r="Q26" s="2619"/>
      <c r="R26" s="1741"/>
      <c r="S26" s="2619"/>
      <c r="T26" s="1741"/>
      <c r="U26" s="2619"/>
      <c r="V26" s="1741"/>
      <c r="W26" s="2619"/>
      <c r="X26" s="1741"/>
      <c r="Y26" s="3437"/>
      <c r="Z26" s="2619"/>
      <c r="AA26" s="1741">
        <v>0.3</v>
      </c>
      <c r="AB26" s="3438"/>
      <c r="AC26" s="3439"/>
      <c r="AD26" s="1741">
        <v>0.2</v>
      </c>
      <c r="AE26" s="3440"/>
      <c r="AF26" s="3441"/>
      <c r="AG26" s="2603">
        <f>ROUND(SUM(AA26-AD26),1)</f>
        <v>0.1</v>
      </c>
      <c r="AH26" s="1424"/>
      <c r="AI26" s="1603">
        <f>ROUND(IF(AD26=0,1,AG26/ABS(AD26)),3)</f>
        <v>0.5</v>
      </c>
    </row>
    <row r="27" spans="1:35" ht="14.25" customHeight="1">
      <c r="A27" s="2389" t="s">
        <v>1007</v>
      </c>
      <c r="B27" s="1925">
        <f>ROUND(SUM(B25:B26),1)</f>
        <v>152.6</v>
      </c>
      <c r="C27" s="1429"/>
      <c r="D27" s="1985">
        <f>ROUND(SUM(D25:D26),1)</f>
        <v>130.1</v>
      </c>
      <c r="E27" s="1429"/>
      <c r="F27" s="1985">
        <f>ROUND(SUM(F25:F26),1)</f>
        <v>0</v>
      </c>
      <c r="G27" s="1429"/>
      <c r="H27" s="1985">
        <f>ROUND(SUM(H25:H26),1)</f>
        <v>0</v>
      </c>
      <c r="I27" s="1427"/>
      <c r="J27" s="1985">
        <f>ROUND(SUM(J25:J26),1)</f>
        <v>0</v>
      </c>
      <c r="K27" s="1427"/>
      <c r="L27" s="1985">
        <f>ROUND(SUM(L25:L26),1)</f>
        <v>0</v>
      </c>
      <c r="M27" s="1427"/>
      <c r="N27" s="1985">
        <f>ROUND(SUM(N25:N26),1)</f>
        <v>0</v>
      </c>
      <c r="O27" s="1427"/>
      <c r="P27" s="1985">
        <f>ROUND(SUM(P25:P26),1)</f>
        <v>0</v>
      </c>
      <c r="Q27" s="1427"/>
      <c r="R27" s="1985">
        <f>ROUND(SUM(R25:R26),1)</f>
        <v>0</v>
      </c>
      <c r="S27" s="1427"/>
      <c r="T27" s="1985">
        <f>ROUND(SUM(T25:T26),1)</f>
        <v>0</v>
      </c>
      <c r="U27" s="1427"/>
      <c r="V27" s="1985">
        <f>ROUND(SUM(V25:V26),1)</f>
        <v>0</v>
      </c>
      <c r="W27" s="1427"/>
      <c r="X27" s="1985">
        <f>ROUND(SUM(X25:X26),1)</f>
        <v>0</v>
      </c>
      <c r="Y27" s="2602"/>
      <c r="Z27" s="1427"/>
      <c r="AA27" s="1428">
        <f>SUM(AA25:AA26)</f>
        <v>282.7</v>
      </c>
      <c r="AB27" s="1922"/>
      <c r="AC27" s="1923"/>
      <c r="AD27" s="1428">
        <f>SUM(AD25:AD26)</f>
        <v>207.6</v>
      </c>
      <c r="AE27" s="2588"/>
      <c r="AF27" s="2599"/>
      <c r="AG27" s="2606">
        <f>ROUND(SUM(AA27-AD27),1)</f>
        <v>75.099999999999994</v>
      </c>
      <c r="AH27" s="2572"/>
      <c r="AI27" s="1423">
        <f>ROUND(IF(AD27=0,0,AG27/ABS(AD27)),3)</f>
        <v>0.36199999999999999</v>
      </c>
    </row>
    <row r="28" spans="1:35" ht="14.25" customHeight="1">
      <c r="A28" s="2389"/>
      <c r="B28" s="1925"/>
      <c r="C28" s="1429"/>
      <c r="D28" s="1412"/>
      <c r="E28" s="1429"/>
      <c r="F28" s="1412"/>
      <c r="G28" s="1412"/>
      <c r="H28" s="1412"/>
      <c r="I28" s="1424"/>
      <c r="J28" s="1412"/>
      <c r="K28" s="1424"/>
      <c r="L28" s="1412"/>
      <c r="M28" s="1424"/>
      <c r="N28" s="1412"/>
      <c r="O28" s="1424"/>
      <c r="P28" s="1412"/>
      <c r="Q28" s="1424"/>
      <c r="R28" s="1412"/>
      <c r="S28" s="1424"/>
      <c r="T28" s="1412"/>
      <c r="U28" s="1424"/>
      <c r="V28" s="1412"/>
      <c r="W28" s="1424"/>
      <c r="X28" s="1412"/>
      <c r="Y28" s="2602"/>
      <c r="Z28" s="1427"/>
      <c r="AA28" s="1925"/>
      <c r="AB28" s="1922"/>
      <c r="AC28" s="1923"/>
      <c r="AD28" s="3356"/>
      <c r="AE28" s="2588"/>
      <c r="AF28" s="2599"/>
      <c r="AG28" s="2600"/>
      <c r="AH28" s="1424"/>
      <c r="AI28" s="1424"/>
    </row>
    <row r="29" spans="1:35" ht="14.25" customHeight="1">
      <c r="A29" s="2389" t="s">
        <v>1008</v>
      </c>
      <c r="B29" s="2398">
        <f>ROUND(SUM(B16+B20+B23+B27),1)</f>
        <v>8535.6</v>
      </c>
      <c r="C29" s="1411"/>
      <c r="D29" s="2398">
        <f>ROUND(SUM(D16+D20+D23+D27),1)</f>
        <v>2450.1999999999998</v>
      </c>
      <c r="E29" s="1411"/>
      <c r="F29" s="2398">
        <f>ROUND(SUM(F16+F20+F23+F27),1)</f>
        <v>0</v>
      </c>
      <c r="G29" s="1411"/>
      <c r="H29" s="2398">
        <f>ROUND(SUM(H16+H20+H23+H27),1)</f>
        <v>0</v>
      </c>
      <c r="I29" s="1427"/>
      <c r="J29" s="1926">
        <f>ROUND(SUM(J16+J20+J23+J27),1)</f>
        <v>0</v>
      </c>
      <c r="K29" s="1427"/>
      <c r="L29" s="1926">
        <f>ROUND(SUM(L16+L20+L23+L27),1)</f>
        <v>0</v>
      </c>
      <c r="M29" s="1427"/>
      <c r="N29" s="1926">
        <f>ROUND(SUM(N16+N20+N23+N27),1)</f>
        <v>0</v>
      </c>
      <c r="O29" s="1427"/>
      <c r="P29" s="1926">
        <f>ROUND(SUM(P16+P20+P23+P27),1)</f>
        <v>0</v>
      </c>
      <c r="Q29" s="1427"/>
      <c r="R29" s="1926">
        <f>ROUND(SUM(R16+R20+R23+R27),1)</f>
        <v>0</v>
      </c>
      <c r="S29" s="1427"/>
      <c r="T29" s="1926">
        <f>ROUND(SUM(T16+T20+T23+T27),1)</f>
        <v>0</v>
      </c>
      <c r="U29" s="1427"/>
      <c r="V29" s="1926">
        <f>ROUND(SUM(V16+V20+V23+V27),1)</f>
        <v>0</v>
      </c>
      <c r="W29" s="1427"/>
      <c r="X29" s="1926">
        <f>ROUND(SUM(X16+X20+X23+X27),1)</f>
        <v>0</v>
      </c>
      <c r="Y29" s="2602"/>
      <c r="Z29" s="1427"/>
      <c r="AA29" s="1926">
        <f>ROUND(SUM(AA16+AA20+AA23+AA27),1)</f>
        <v>10985.8</v>
      </c>
      <c r="AB29" s="1922"/>
      <c r="AC29" s="1923"/>
      <c r="AD29" s="1926">
        <f>ROUND(SUM(AD16+AD20+AD23+AD27),1)</f>
        <v>10167.700000000001</v>
      </c>
      <c r="AE29" s="2588"/>
      <c r="AF29" s="2599"/>
      <c r="AG29" s="1926">
        <f>ROUND(SUM(AG16+AG20+AG23+AG27),1)</f>
        <v>818.1</v>
      </c>
      <c r="AH29" s="2572"/>
      <c r="AI29" s="1425">
        <f>ROUND(IF(AD29=0,0,AG29/ABS(AD29)),3)</f>
        <v>0.08</v>
      </c>
    </row>
    <row r="30" spans="1:35" ht="14.25" customHeight="1">
      <c r="A30" s="2378"/>
      <c r="B30" s="1411"/>
      <c r="C30" s="1411"/>
      <c r="D30" s="1411"/>
      <c r="E30" s="1411"/>
      <c r="F30" s="1411"/>
      <c r="G30" s="1411"/>
      <c r="H30" s="1411"/>
      <c r="I30" s="1427"/>
      <c r="J30" s="1949"/>
      <c r="K30" s="1427"/>
      <c r="L30" s="1949"/>
      <c r="M30" s="1427"/>
      <c r="N30" s="1949"/>
      <c r="O30" s="1427"/>
      <c r="P30" s="1949"/>
      <c r="Q30" s="1427"/>
      <c r="R30" s="1949"/>
      <c r="S30" s="1427"/>
      <c r="T30" s="1949"/>
      <c r="U30" s="1427"/>
      <c r="V30" s="1949"/>
      <c r="W30" s="1427"/>
      <c r="X30" s="1949"/>
      <c r="Y30" s="2602"/>
      <c r="Z30" s="1427"/>
      <c r="AA30" s="1411"/>
      <c r="AB30" s="1922"/>
      <c r="AC30" s="1923"/>
      <c r="AD30" s="1943"/>
      <c r="AE30" s="2588"/>
      <c r="AF30" s="2599"/>
      <c r="AG30" s="2600"/>
      <c r="AH30" s="1424"/>
      <c r="AI30" s="1427"/>
    </row>
    <row r="31" spans="1:35" ht="14.25" customHeight="1">
      <c r="A31" s="2378" t="s">
        <v>918</v>
      </c>
      <c r="B31" s="1927"/>
      <c r="C31" s="1941"/>
      <c r="D31" s="1941"/>
      <c r="E31" s="1941"/>
      <c r="F31" s="1941"/>
      <c r="G31" s="1941"/>
      <c r="H31" s="1941"/>
      <c r="I31" s="1921"/>
      <c r="J31" s="1921"/>
      <c r="K31" s="1921"/>
      <c r="L31" s="1921"/>
      <c r="M31" s="1921"/>
      <c r="N31" s="1921"/>
      <c r="O31" s="1921"/>
      <c r="P31" s="1921"/>
      <c r="Q31" s="1921"/>
      <c r="R31" s="1921"/>
      <c r="S31" s="1921"/>
      <c r="T31" s="1921"/>
      <c r="U31" s="1921"/>
      <c r="V31" s="1921"/>
      <c r="W31" s="1921"/>
      <c r="X31" s="1921"/>
      <c r="Y31" s="1928"/>
      <c r="Z31" s="1921"/>
      <c r="AA31" s="1927"/>
      <c r="AB31" s="1928"/>
      <c r="AC31" s="1921"/>
      <c r="AD31" s="1927"/>
      <c r="AE31" s="2607"/>
      <c r="AF31" s="2608"/>
      <c r="AG31" s="2603"/>
      <c r="AH31" s="1424"/>
      <c r="AI31" s="1426"/>
    </row>
    <row r="32" spans="1:35" ht="14.25" customHeight="1">
      <c r="A32" s="2401" t="s">
        <v>1034</v>
      </c>
      <c r="B32" s="1927"/>
      <c r="C32" s="1941"/>
      <c r="D32" s="1941"/>
      <c r="E32" s="1941"/>
      <c r="F32" s="1941"/>
      <c r="G32" s="1941"/>
      <c r="H32" s="1941"/>
      <c r="I32" s="1921"/>
      <c r="J32" s="1921"/>
      <c r="K32" s="1921"/>
      <c r="L32" s="1921"/>
      <c r="M32" s="1921"/>
      <c r="N32" s="1921"/>
      <c r="O32" s="1921"/>
      <c r="P32" s="1921"/>
      <c r="Q32" s="1921"/>
      <c r="R32" s="1921"/>
      <c r="S32" s="1921"/>
      <c r="T32" s="1921"/>
      <c r="U32" s="1921"/>
      <c r="V32" s="1921"/>
      <c r="W32" s="1921"/>
      <c r="X32" s="1921"/>
      <c r="Y32" s="1929"/>
      <c r="Z32" s="1921"/>
      <c r="AA32" s="1927"/>
      <c r="AB32" s="1929"/>
      <c r="AC32" s="1921"/>
      <c r="AD32" s="1927"/>
      <c r="AE32" s="2607"/>
      <c r="AF32" s="2608"/>
      <c r="AG32" s="2603"/>
      <c r="AH32" s="1424"/>
      <c r="AI32" s="1426"/>
    </row>
    <row r="33" spans="1:35" ht="14.25" customHeight="1">
      <c r="A33" s="2401" t="s">
        <v>922</v>
      </c>
      <c r="B33" s="1337">
        <v>0</v>
      </c>
      <c r="C33" s="1941"/>
      <c r="D33" s="1337">
        <f>$AA33-B33</f>
        <v>0</v>
      </c>
      <c r="E33" s="1941"/>
      <c r="F33" s="1337"/>
      <c r="G33" s="1941"/>
      <c r="H33" s="1337"/>
      <c r="I33" s="2521"/>
      <c r="J33" s="1337"/>
      <c r="K33" s="2521"/>
      <c r="L33" s="1337"/>
      <c r="M33" s="2521"/>
      <c r="N33" s="1337"/>
      <c r="O33" s="2521"/>
      <c r="P33" s="1741"/>
      <c r="Q33" s="2521"/>
      <c r="R33" s="1741"/>
      <c r="S33" s="2521"/>
      <c r="T33" s="1741"/>
      <c r="U33" s="2521"/>
      <c r="V33" s="1741"/>
      <c r="W33" s="2521"/>
      <c r="X33" s="1741"/>
      <c r="Y33" s="2602"/>
      <c r="Z33" s="1427"/>
      <c r="AA33" s="1741">
        <v>0</v>
      </c>
      <c r="AB33" s="1922"/>
      <c r="AC33" s="1923"/>
      <c r="AD33" s="1741">
        <v>0</v>
      </c>
      <c r="AE33" s="2607"/>
      <c r="AF33" s="2608"/>
      <c r="AG33" s="2603">
        <f>ROUND(SUM(AA33-AD33),1)</f>
        <v>0</v>
      </c>
      <c r="AH33" s="1424"/>
      <c r="AI33" s="1394">
        <f>ROUND(IF(AD33=0,0,AG33/ABS(AD33)),3)</f>
        <v>0</v>
      </c>
    </row>
    <row r="34" spans="1:35" ht="14.25" customHeight="1">
      <c r="A34" s="2401" t="s">
        <v>1038</v>
      </c>
      <c r="B34" s="1337" t="s">
        <v>14</v>
      </c>
      <c r="C34" s="1941"/>
      <c r="D34" s="1337"/>
      <c r="E34" s="1941"/>
      <c r="F34" s="1337"/>
      <c r="G34" s="1941"/>
      <c r="H34" s="1337"/>
      <c r="I34" s="2521"/>
      <c r="J34" s="1337"/>
      <c r="K34" s="2521"/>
      <c r="L34" s="1337"/>
      <c r="M34" s="2521"/>
      <c r="N34" s="1337"/>
      <c r="O34" s="2521"/>
      <c r="P34" s="1741"/>
      <c r="Q34" s="2521"/>
      <c r="R34" s="1741"/>
      <c r="S34" s="2521"/>
      <c r="T34" s="1741"/>
      <c r="U34" s="2521"/>
      <c r="V34" s="1741"/>
      <c r="W34" s="2521"/>
      <c r="X34" s="1741"/>
      <c r="Y34" s="2602"/>
      <c r="Z34" s="1427"/>
      <c r="AA34" s="1741"/>
      <c r="AB34" s="1922"/>
      <c r="AC34" s="1923"/>
      <c r="AD34" s="1741"/>
      <c r="AE34" s="2607"/>
      <c r="AF34" s="2608"/>
      <c r="AG34" s="2603"/>
      <c r="AH34" s="1424"/>
      <c r="AI34" s="1426"/>
    </row>
    <row r="35" spans="1:35" ht="14.25" customHeight="1">
      <c r="A35" s="2401" t="s">
        <v>925</v>
      </c>
      <c r="B35" s="1337">
        <v>0</v>
      </c>
      <c r="C35" s="1941"/>
      <c r="D35" s="1337">
        <f t="shared" ref="D35:D42" si="1">$AA35-B35</f>
        <v>0</v>
      </c>
      <c r="E35" s="1941"/>
      <c r="F35" s="1337"/>
      <c r="G35" s="1941"/>
      <c r="H35" s="1337"/>
      <c r="I35" s="2521"/>
      <c r="J35" s="1337"/>
      <c r="K35" s="2521"/>
      <c r="L35" s="1337"/>
      <c r="M35" s="2521"/>
      <c r="N35" s="1337"/>
      <c r="O35" s="2521"/>
      <c r="P35" s="1741"/>
      <c r="Q35" s="2521"/>
      <c r="R35" s="1741"/>
      <c r="S35" s="2521"/>
      <c r="T35" s="1741"/>
      <c r="U35" s="2521"/>
      <c r="V35" s="1741"/>
      <c r="W35" s="2521"/>
      <c r="X35" s="1741"/>
      <c r="Y35" s="2602"/>
      <c r="Z35" s="1427"/>
      <c r="AA35" s="1741">
        <v>0</v>
      </c>
      <c r="AB35" s="1922"/>
      <c r="AC35" s="1923"/>
      <c r="AD35" s="1741">
        <v>0</v>
      </c>
      <c r="AE35" s="2607"/>
      <c r="AF35" s="2608"/>
      <c r="AG35" s="2603">
        <f t="shared" ref="AG35:AG45" si="2">ROUND(SUM(AA35-AD35),1)</f>
        <v>0</v>
      </c>
      <c r="AH35" s="1424"/>
      <c r="AI35" s="1394">
        <f t="shared" ref="AI35:AI45" si="3">ROUND(IF(AD35=0,0,AG35/ABS(AD35)),3)</f>
        <v>0</v>
      </c>
    </row>
    <row r="36" spans="1:35" ht="14.25" customHeight="1">
      <c r="A36" s="2401" t="s">
        <v>926</v>
      </c>
      <c r="B36" s="1337">
        <v>0</v>
      </c>
      <c r="C36" s="1941"/>
      <c r="D36" s="1337">
        <f t="shared" si="1"/>
        <v>0</v>
      </c>
      <c r="E36" s="1941"/>
      <c r="F36" s="1337"/>
      <c r="G36" s="1941"/>
      <c r="H36" s="1337"/>
      <c r="I36" s="2521"/>
      <c r="J36" s="1337"/>
      <c r="K36" s="2521"/>
      <c r="L36" s="1337"/>
      <c r="M36" s="2521"/>
      <c r="N36" s="1337"/>
      <c r="O36" s="2521"/>
      <c r="P36" s="1741"/>
      <c r="Q36" s="2521"/>
      <c r="R36" s="1741"/>
      <c r="S36" s="2521"/>
      <c r="T36" s="1741"/>
      <c r="U36" s="2521"/>
      <c r="V36" s="1741"/>
      <c r="W36" s="2521"/>
      <c r="X36" s="1741"/>
      <c r="Y36" s="2602"/>
      <c r="Z36" s="1427"/>
      <c r="AA36" s="1741">
        <v>0</v>
      </c>
      <c r="AB36" s="1922"/>
      <c r="AC36" s="1923"/>
      <c r="AD36" s="1741">
        <v>0</v>
      </c>
      <c r="AE36" s="2607"/>
      <c r="AF36" s="2608"/>
      <c r="AG36" s="2603">
        <f t="shared" si="2"/>
        <v>0</v>
      </c>
      <c r="AH36" s="1424"/>
      <c r="AI36" s="1394">
        <f t="shared" si="3"/>
        <v>0</v>
      </c>
    </row>
    <row r="37" spans="1:35" ht="14.25" customHeight="1">
      <c r="A37" s="2401" t="s">
        <v>927</v>
      </c>
      <c r="B37" s="1337">
        <v>0</v>
      </c>
      <c r="C37" s="1941"/>
      <c r="D37" s="1337">
        <f t="shared" si="1"/>
        <v>0</v>
      </c>
      <c r="E37" s="1941"/>
      <c r="F37" s="1337"/>
      <c r="G37" s="1941"/>
      <c r="H37" s="1337"/>
      <c r="I37" s="2521"/>
      <c r="J37" s="1337"/>
      <c r="K37" s="2521"/>
      <c r="L37" s="1337"/>
      <c r="M37" s="2521"/>
      <c r="N37" s="1337"/>
      <c r="O37" s="2521"/>
      <c r="P37" s="1741"/>
      <c r="Q37" s="2521"/>
      <c r="R37" s="1741"/>
      <c r="S37" s="2521"/>
      <c r="T37" s="1741"/>
      <c r="U37" s="2521"/>
      <c r="V37" s="1741"/>
      <c r="W37" s="2521"/>
      <c r="X37" s="1741"/>
      <c r="Y37" s="2602"/>
      <c r="Z37" s="1427"/>
      <c r="AA37" s="1741">
        <v>0</v>
      </c>
      <c r="AB37" s="1922"/>
      <c r="AC37" s="1923"/>
      <c r="AD37" s="1741">
        <v>0</v>
      </c>
      <c r="AE37" s="2607"/>
      <c r="AF37" s="2608"/>
      <c r="AG37" s="2603">
        <f t="shared" si="2"/>
        <v>0</v>
      </c>
      <c r="AH37" s="1424"/>
      <c r="AI37" s="1394">
        <f t="shared" si="3"/>
        <v>0</v>
      </c>
    </row>
    <row r="38" spans="1:35" ht="14.25" customHeight="1">
      <c r="A38" s="2401" t="s">
        <v>928</v>
      </c>
      <c r="B38" s="1337">
        <v>0</v>
      </c>
      <c r="C38" s="1941"/>
      <c r="D38" s="1337">
        <f t="shared" si="1"/>
        <v>0</v>
      </c>
      <c r="E38" s="1941"/>
      <c r="F38" s="1337"/>
      <c r="G38" s="1941"/>
      <c r="H38" s="1337"/>
      <c r="I38" s="2521"/>
      <c r="J38" s="1337"/>
      <c r="K38" s="2521"/>
      <c r="L38" s="1337"/>
      <c r="M38" s="2521"/>
      <c r="N38" s="1337"/>
      <c r="O38" s="2521"/>
      <c r="P38" s="1741"/>
      <c r="Q38" s="2521"/>
      <c r="R38" s="1741"/>
      <c r="S38" s="2521"/>
      <c r="T38" s="1741"/>
      <c r="U38" s="2521"/>
      <c r="V38" s="1741"/>
      <c r="W38" s="2521"/>
      <c r="X38" s="1741"/>
      <c r="Y38" s="2602"/>
      <c r="Z38" s="1427"/>
      <c r="AA38" s="1741">
        <v>0</v>
      </c>
      <c r="AB38" s="1922"/>
      <c r="AC38" s="1923"/>
      <c r="AD38" s="1741">
        <v>0</v>
      </c>
      <c r="AE38" s="2607"/>
      <c r="AF38" s="2608"/>
      <c r="AG38" s="2603">
        <f t="shared" si="2"/>
        <v>0</v>
      </c>
      <c r="AH38" s="1424"/>
      <c r="AI38" s="1394">
        <f t="shared" si="3"/>
        <v>0</v>
      </c>
    </row>
    <row r="39" spans="1:35" ht="14.25" customHeight="1">
      <c r="A39" s="2401" t="s">
        <v>929</v>
      </c>
      <c r="B39" s="1337">
        <v>0</v>
      </c>
      <c r="C39" s="1941"/>
      <c r="D39" s="1337">
        <f t="shared" si="1"/>
        <v>0</v>
      </c>
      <c r="E39" s="1941"/>
      <c r="F39" s="1337"/>
      <c r="G39" s="1941"/>
      <c r="H39" s="1337"/>
      <c r="I39" s="2521"/>
      <c r="J39" s="1337"/>
      <c r="K39" s="2521"/>
      <c r="L39" s="1337"/>
      <c r="M39" s="2521"/>
      <c r="N39" s="1337"/>
      <c r="O39" s="2521"/>
      <c r="P39" s="1741"/>
      <c r="Q39" s="2521"/>
      <c r="R39" s="1741"/>
      <c r="S39" s="2521"/>
      <c r="T39" s="1741"/>
      <c r="U39" s="2521"/>
      <c r="V39" s="1741"/>
      <c r="W39" s="2521"/>
      <c r="X39" s="1741"/>
      <c r="Y39" s="2602"/>
      <c r="Z39" s="1427"/>
      <c r="AA39" s="1741">
        <v>0</v>
      </c>
      <c r="AB39" s="1922"/>
      <c r="AC39" s="1923"/>
      <c r="AD39" s="1741">
        <v>0</v>
      </c>
      <c r="AE39" s="2607"/>
      <c r="AF39" s="2608"/>
      <c r="AG39" s="2603">
        <f t="shared" si="2"/>
        <v>0</v>
      </c>
      <c r="AH39" s="1424"/>
      <c r="AI39" s="1394">
        <f t="shared" si="3"/>
        <v>0</v>
      </c>
    </row>
    <row r="40" spans="1:35" ht="14.25" customHeight="1">
      <c r="A40" s="2401" t="s">
        <v>930</v>
      </c>
      <c r="B40" s="1337">
        <v>0</v>
      </c>
      <c r="C40" s="1941"/>
      <c r="D40" s="1337">
        <f t="shared" si="1"/>
        <v>0</v>
      </c>
      <c r="E40" s="1941"/>
      <c r="F40" s="1337"/>
      <c r="G40" s="1941"/>
      <c r="H40" s="1337"/>
      <c r="I40" s="2521"/>
      <c r="J40" s="1337"/>
      <c r="K40" s="2521"/>
      <c r="L40" s="1337"/>
      <c r="M40" s="2521"/>
      <c r="N40" s="1337"/>
      <c r="O40" s="2521"/>
      <c r="P40" s="1741"/>
      <c r="Q40" s="2521"/>
      <c r="R40" s="1741"/>
      <c r="S40" s="2521"/>
      <c r="T40" s="1741"/>
      <c r="U40" s="2521"/>
      <c r="V40" s="1741"/>
      <c r="W40" s="2521"/>
      <c r="X40" s="1741"/>
      <c r="Y40" s="2602"/>
      <c r="Z40" s="1427"/>
      <c r="AA40" s="1741">
        <v>0</v>
      </c>
      <c r="AB40" s="1922"/>
      <c r="AC40" s="1923"/>
      <c r="AD40" s="1741">
        <v>0</v>
      </c>
      <c r="AE40" s="2607"/>
      <c r="AF40" s="2608"/>
      <c r="AG40" s="2603">
        <f t="shared" si="2"/>
        <v>0</v>
      </c>
      <c r="AH40" s="1424"/>
      <c r="AI40" s="1394">
        <f t="shared" si="3"/>
        <v>0</v>
      </c>
    </row>
    <row r="41" spans="1:35" ht="14.25" customHeight="1">
      <c r="A41" s="2401" t="s">
        <v>920</v>
      </c>
      <c r="B41" s="1337">
        <v>0</v>
      </c>
      <c r="C41" s="1941"/>
      <c r="D41" s="1337">
        <f t="shared" si="1"/>
        <v>0</v>
      </c>
      <c r="E41" s="1941"/>
      <c r="F41" s="1337"/>
      <c r="G41" s="1941"/>
      <c r="H41" s="1337"/>
      <c r="I41" s="2521"/>
      <c r="J41" s="1337"/>
      <c r="K41" s="2521"/>
      <c r="L41" s="1337"/>
      <c r="M41" s="2521"/>
      <c r="N41" s="1337"/>
      <c r="O41" s="2521"/>
      <c r="P41" s="1741"/>
      <c r="Q41" s="2521"/>
      <c r="R41" s="1741"/>
      <c r="S41" s="2521"/>
      <c r="T41" s="1741"/>
      <c r="U41" s="2521"/>
      <c r="V41" s="1741"/>
      <c r="W41" s="2521"/>
      <c r="X41" s="1741"/>
      <c r="Y41" s="2602"/>
      <c r="Z41" s="1427"/>
      <c r="AA41" s="1741">
        <v>0</v>
      </c>
      <c r="AB41" s="1922"/>
      <c r="AC41" s="1923"/>
      <c r="AD41" s="1741">
        <v>0</v>
      </c>
      <c r="AE41" s="2607"/>
      <c r="AF41" s="2608"/>
      <c r="AG41" s="2603">
        <f t="shared" si="2"/>
        <v>0</v>
      </c>
      <c r="AH41" s="1424"/>
      <c r="AI41" s="1394">
        <f>ROUND(IF(AD41=0,0,AG41/ABS(AD41)),3)</f>
        <v>0</v>
      </c>
    </row>
    <row r="42" spans="1:35" ht="14.25" customHeight="1">
      <c r="A42" s="2401" t="s">
        <v>937</v>
      </c>
      <c r="B42" s="1337">
        <v>0</v>
      </c>
      <c r="C42" s="1941"/>
      <c r="D42" s="1337">
        <f t="shared" si="1"/>
        <v>0</v>
      </c>
      <c r="E42" s="1941"/>
      <c r="F42" s="1337"/>
      <c r="G42" s="1941"/>
      <c r="H42" s="1337"/>
      <c r="I42" s="2521"/>
      <c r="J42" s="1337"/>
      <c r="K42" s="2521"/>
      <c r="L42" s="1337"/>
      <c r="M42" s="2521"/>
      <c r="N42" s="1337"/>
      <c r="O42" s="2521"/>
      <c r="P42" s="1741"/>
      <c r="Q42" s="2521"/>
      <c r="R42" s="1741"/>
      <c r="S42" s="2521"/>
      <c r="T42" s="1741"/>
      <c r="U42" s="2521"/>
      <c r="V42" s="1741"/>
      <c r="W42" s="2521"/>
      <c r="X42" s="1741"/>
      <c r="Y42" s="2602"/>
      <c r="Z42" s="1427"/>
      <c r="AA42" s="1741">
        <v>0</v>
      </c>
      <c r="AB42" s="1922"/>
      <c r="AC42" s="1923"/>
      <c r="AD42" s="1741">
        <v>0.3</v>
      </c>
      <c r="AE42" s="2607"/>
      <c r="AF42" s="2608"/>
      <c r="AG42" s="2603">
        <f>ROUND(SUM(AA42-AD42),1)</f>
        <v>-0.3</v>
      </c>
      <c r="AH42" s="1424"/>
      <c r="AI42" s="1394">
        <f>ROUND(IF(AD42=0,0,AG42/ABS(AD42)),3)</f>
        <v>-1</v>
      </c>
    </row>
    <row r="43" spans="1:35" ht="14.25" customHeight="1">
      <c r="A43" s="2401" t="s">
        <v>1036</v>
      </c>
      <c r="B43" s="1337" t="s">
        <v>14</v>
      </c>
      <c r="C43" s="1941"/>
      <c r="D43" s="1337"/>
      <c r="E43" s="1941"/>
      <c r="F43" s="1337"/>
      <c r="G43" s="1941"/>
      <c r="H43" s="1337"/>
      <c r="I43" s="2521"/>
      <c r="J43" s="1337"/>
      <c r="K43" s="2521"/>
      <c r="L43" s="1337"/>
      <c r="M43" s="2521"/>
      <c r="N43" s="1337"/>
      <c r="O43" s="2521"/>
      <c r="P43" s="1741"/>
      <c r="Q43" s="2521"/>
      <c r="R43" s="1741"/>
      <c r="S43" s="2521"/>
      <c r="T43" s="1741"/>
      <c r="U43" s="2521"/>
      <c r="V43" s="1741"/>
      <c r="W43" s="2521"/>
      <c r="X43" s="1741"/>
      <c r="Y43" s="2609"/>
      <c r="Z43" s="1427"/>
      <c r="AA43" s="1741" t="s">
        <v>14</v>
      </c>
      <c r="AB43" s="2098"/>
      <c r="AC43" s="3439" t="s">
        <v>14</v>
      </c>
      <c r="AD43" s="1741" t="s">
        <v>14</v>
      </c>
      <c r="AE43" s="2607"/>
      <c r="AF43" s="3731" t="s">
        <v>14</v>
      </c>
      <c r="AG43" s="3732" t="s">
        <v>14</v>
      </c>
      <c r="AH43" s="1424"/>
      <c r="AI43" s="1394" t="s">
        <v>14</v>
      </c>
    </row>
    <row r="44" spans="1:35" ht="14.25" customHeight="1">
      <c r="A44" s="2401" t="s">
        <v>963</v>
      </c>
      <c r="B44" s="1337">
        <v>0</v>
      </c>
      <c r="C44" s="1941"/>
      <c r="D44" s="1337">
        <f t="shared" ref="D44:D45" si="4">$AA44-B44</f>
        <v>0</v>
      </c>
      <c r="E44" s="1941"/>
      <c r="F44" s="1337"/>
      <c r="G44" s="1941"/>
      <c r="H44" s="1337"/>
      <c r="I44" s="2521"/>
      <c r="J44" s="1337"/>
      <c r="K44" s="2521"/>
      <c r="L44" s="1337"/>
      <c r="M44" s="2521"/>
      <c r="N44" s="1337"/>
      <c r="O44" s="2521"/>
      <c r="P44" s="1741"/>
      <c r="Q44" s="2521"/>
      <c r="R44" s="1741"/>
      <c r="S44" s="2521"/>
      <c r="T44" s="1741"/>
      <c r="U44" s="2521"/>
      <c r="V44" s="1741"/>
      <c r="W44" s="2521"/>
      <c r="X44" s="1741"/>
      <c r="Y44" s="2609"/>
      <c r="Z44" s="1427"/>
      <c r="AA44" s="1741">
        <v>0</v>
      </c>
      <c r="AB44" s="2098"/>
      <c r="AC44" s="1923"/>
      <c r="AD44" s="1741">
        <v>0</v>
      </c>
      <c r="AE44" s="2607"/>
      <c r="AF44" s="2608"/>
      <c r="AG44" s="2603">
        <f>ROUND(SUM(AA44-AD44),1)</f>
        <v>0</v>
      </c>
      <c r="AH44" s="1424"/>
      <c r="AI44" s="1394">
        <f>ROUND(IF(AD44=0,0,AG44/ABS(AD44)),3)</f>
        <v>0</v>
      </c>
    </row>
    <row r="45" spans="1:35" ht="14.25" customHeight="1">
      <c r="A45" s="2401" t="s">
        <v>938</v>
      </c>
      <c r="B45" s="1337">
        <v>0</v>
      </c>
      <c r="C45" s="1941"/>
      <c r="D45" s="1337">
        <f t="shared" si="4"/>
        <v>0</v>
      </c>
      <c r="E45" s="1941"/>
      <c r="F45" s="1337"/>
      <c r="G45" s="1941"/>
      <c r="H45" s="1337"/>
      <c r="I45" s="2521"/>
      <c r="J45" s="1337"/>
      <c r="K45" s="2521"/>
      <c r="L45" s="1337"/>
      <c r="M45" s="2521"/>
      <c r="N45" s="1337"/>
      <c r="O45" s="2521"/>
      <c r="P45" s="1741"/>
      <c r="Q45" s="2521"/>
      <c r="R45" s="1741"/>
      <c r="S45" s="2521"/>
      <c r="T45" s="1741"/>
      <c r="U45" s="2521"/>
      <c r="V45" s="1741"/>
      <c r="W45" s="2521"/>
      <c r="X45" s="1741"/>
      <c r="Y45" s="2602"/>
      <c r="Z45" s="1427"/>
      <c r="AA45" s="1741">
        <v>0</v>
      </c>
      <c r="AB45" s="1922"/>
      <c r="AC45" s="1923"/>
      <c r="AD45" s="1741">
        <v>0</v>
      </c>
      <c r="AE45" s="2607"/>
      <c r="AF45" s="2608"/>
      <c r="AG45" s="2603">
        <f t="shared" si="2"/>
        <v>0</v>
      </c>
      <c r="AH45" s="1424"/>
      <c r="AI45" s="1394">
        <f t="shared" si="3"/>
        <v>0</v>
      </c>
    </row>
    <row r="46" spans="1:35" ht="14.25" customHeight="1">
      <c r="A46" s="2401" t="s">
        <v>1037</v>
      </c>
      <c r="B46" s="1337" t="s">
        <v>14</v>
      </c>
      <c r="C46" s="1941"/>
      <c r="D46" s="1337"/>
      <c r="E46" s="1941"/>
      <c r="F46" s="1337"/>
      <c r="G46" s="1941"/>
      <c r="H46" s="1337"/>
      <c r="I46" s="2521"/>
      <c r="J46" s="1337"/>
      <c r="K46" s="2521"/>
      <c r="L46" s="1337"/>
      <c r="M46" s="2521"/>
      <c r="N46" s="1337"/>
      <c r="O46" s="2521"/>
      <c r="P46" s="1741"/>
      <c r="Q46" s="2521"/>
      <c r="R46" s="1741"/>
      <c r="S46" s="2521"/>
      <c r="T46" s="1741"/>
      <c r="U46" s="2521"/>
      <c r="V46" s="1741"/>
      <c r="W46" s="2521"/>
      <c r="X46" s="1741"/>
      <c r="Y46" s="2602"/>
      <c r="Z46" s="1427"/>
      <c r="AA46" s="1741"/>
      <c r="AB46" s="1922"/>
      <c r="AC46" s="1923"/>
      <c r="AD46" s="1741"/>
      <c r="AE46" s="2607"/>
      <c r="AF46" s="2608"/>
      <c r="AG46" s="2603"/>
      <c r="AH46" s="1424"/>
      <c r="AI46" s="1426"/>
    </row>
    <row r="47" spans="1:35" ht="14.25" customHeight="1">
      <c r="A47" s="2401" t="s">
        <v>1102</v>
      </c>
      <c r="B47" s="1337">
        <v>58.6</v>
      </c>
      <c r="C47" s="1941"/>
      <c r="D47" s="1337">
        <f t="shared" ref="D47:D49" si="5">$AA47-B47</f>
        <v>25.9</v>
      </c>
      <c r="E47" s="1941"/>
      <c r="F47" s="1337"/>
      <c r="G47" s="1941"/>
      <c r="H47" s="1337"/>
      <c r="I47" s="2521"/>
      <c r="J47" s="1337"/>
      <c r="K47" s="2521"/>
      <c r="L47" s="1337"/>
      <c r="M47" s="2521"/>
      <c r="N47" s="1337"/>
      <c r="O47" s="2521"/>
      <c r="P47" s="1741"/>
      <c r="Q47" s="2521"/>
      <c r="R47" s="1741"/>
      <c r="S47" s="2521"/>
      <c r="T47" s="1741"/>
      <c r="U47" s="2521"/>
      <c r="V47" s="1741"/>
      <c r="W47" s="2521"/>
      <c r="X47" s="1741"/>
      <c r="Y47" s="2602"/>
      <c r="Z47" s="1427"/>
      <c r="AA47" s="1741">
        <v>84.5</v>
      </c>
      <c r="AB47" s="1922"/>
      <c r="AC47" s="1923"/>
      <c r="AD47" s="1741">
        <v>82</v>
      </c>
      <c r="AE47" s="2607"/>
      <c r="AF47" s="2608"/>
      <c r="AG47" s="2603">
        <f>ROUND(SUM(AA47-AD47),1)</f>
        <v>2.5</v>
      </c>
      <c r="AH47" s="1424"/>
      <c r="AI47" s="1433">
        <f>ROUND(IF(AD47=0,0,AG47/ABS(AD47)),3)</f>
        <v>0.03</v>
      </c>
    </row>
    <row r="48" spans="1:35" ht="14.25" customHeight="1">
      <c r="A48" s="2401" t="s">
        <v>947</v>
      </c>
      <c r="B48" s="1337">
        <v>0</v>
      </c>
      <c r="C48" s="1941"/>
      <c r="D48" s="1337">
        <f t="shared" si="5"/>
        <v>0</v>
      </c>
      <c r="E48" s="1941"/>
      <c r="F48" s="1337"/>
      <c r="G48" s="1941"/>
      <c r="H48" s="1337"/>
      <c r="I48" s="2521"/>
      <c r="J48" s="1337"/>
      <c r="K48" s="2521"/>
      <c r="L48" s="1337"/>
      <c r="M48" s="2521"/>
      <c r="N48" s="1337"/>
      <c r="O48" s="2521"/>
      <c r="P48" s="1741"/>
      <c r="Q48" s="2521"/>
      <c r="R48" s="1741"/>
      <c r="S48" s="2521"/>
      <c r="T48" s="1741"/>
      <c r="U48" s="2521"/>
      <c r="V48" s="1741"/>
      <c r="W48" s="2521"/>
      <c r="X48" s="1741"/>
      <c r="Y48" s="2609"/>
      <c r="Z48" s="1427"/>
      <c r="AA48" s="1741">
        <v>0</v>
      </c>
      <c r="AB48" s="2098"/>
      <c r="AC48" s="1923"/>
      <c r="AD48" s="1741">
        <v>0</v>
      </c>
      <c r="AE48" s="2607"/>
      <c r="AF48" s="2608"/>
      <c r="AG48" s="2603">
        <f>ROUND(SUM(AA48-AD48),1)</f>
        <v>0</v>
      </c>
      <c r="AH48" s="1424"/>
      <c r="AI48" s="1394">
        <f>ROUND(IF(AD48=0,0,AG48/ABS(AD48)),3)</f>
        <v>0</v>
      </c>
    </row>
    <row r="49" spans="1:36" ht="14.25" customHeight="1">
      <c r="A49" s="2401" t="s">
        <v>948</v>
      </c>
      <c r="B49" s="1337">
        <v>0</v>
      </c>
      <c r="C49" s="1941"/>
      <c r="D49" s="1337">
        <f t="shared" si="5"/>
        <v>0</v>
      </c>
      <c r="E49" s="1941"/>
      <c r="F49" s="1337"/>
      <c r="G49" s="1941"/>
      <c r="H49" s="1337"/>
      <c r="I49" s="2521"/>
      <c r="J49" s="1337"/>
      <c r="K49" s="2521"/>
      <c r="L49" s="1337"/>
      <c r="M49" s="2521"/>
      <c r="N49" s="1337"/>
      <c r="O49" s="2521"/>
      <c r="P49" s="1741"/>
      <c r="Q49" s="2521"/>
      <c r="R49" s="1741"/>
      <c r="S49" s="2521"/>
      <c r="T49" s="1741"/>
      <c r="U49" s="2521"/>
      <c r="V49" s="1741"/>
      <c r="W49" s="2521"/>
      <c r="X49" s="1741"/>
      <c r="Y49" s="2602"/>
      <c r="Z49" s="1427"/>
      <c r="AA49" s="1741">
        <v>0</v>
      </c>
      <c r="AB49" s="1922"/>
      <c r="AC49" s="1923"/>
      <c r="AD49" s="1741">
        <v>0</v>
      </c>
      <c r="AE49" s="2607"/>
      <c r="AF49" s="2608"/>
      <c r="AG49" s="2603">
        <f>ROUND(SUM(AA49-AD49),1)</f>
        <v>0</v>
      </c>
      <c r="AH49" s="1424"/>
      <c r="AI49" s="1394">
        <f>ROUND(IF(AD49=0,0,AG49/ABS(AD49)),3)</f>
        <v>0</v>
      </c>
    </row>
    <row r="50" spans="1:36" s="2616" customFormat="1" ht="15.75">
      <c r="A50" s="2389" t="s">
        <v>982</v>
      </c>
      <c r="B50" s="1985">
        <f>ROUND(SUM(B33:B49),1)</f>
        <v>58.6</v>
      </c>
      <c r="C50" s="2610"/>
      <c r="D50" s="1985">
        <f>ROUND(SUM(D33:D49),1)</f>
        <v>25.9</v>
      </c>
      <c r="E50" s="2610"/>
      <c r="F50" s="1985">
        <f>ROUND(SUM(F33:F49),1)</f>
        <v>0</v>
      </c>
      <c r="G50" s="2610"/>
      <c r="H50" s="1985">
        <f>ROUND(SUM(H33:H49),1)</f>
        <v>0</v>
      </c>
      <c r="I50" s="2611"/>
      <c r="J50" s="1976">
        <f>ROUND(SUM(J33:J49),1)</f>
        <v>0</v>
      </c>
      <c r="K50" s="2611"/>
      <c r="L50" s="1976">
        <f>ROUND(SUM(L33:L49),1)</f>
        <v>0</v>
      </c>
      <c r="M50" s="2611"/>
      <c r="N50" s="1976">
        <f>ROUND(SUM(N33:N49),1)</f>
        <v>0</v>
      </c>
      <c r="O50" s="2611"/>
      <c r="P50" s="1976">
        <f>ROUND(SUM(P33:P49),1)</f>
        <v>0</v>
      </c>
      <c r="Q50" s="2611"/>
      <c r="R50" s="1976">
        <f>ROUND(SUM(R33:R49),1)</f>
        <v>0</v>
      </c>
      <c r="S50" s="2611"/>
      <c r="T50" s="1976">
        <f>ROUND(SUM(T33:T49),1)</f>
        <v>0</v>
      </c>
      <c r="U50" s="2611"/>
      <c r="V50" s="1960">
        <f>ROUND(SUM(V33:V49),1)</f>
        <v>0</v>
      </c>
      <c r="W50" s="2611"/>
      <c r="X50" s="1960">
        <f>ROUND(SUM(X33:X49),1)</f>
        <v>0</v>
      </c>
      <c r="Y50" s="2612"/>
      <c r="Z50" s="2611"/>
      <c r="AA50" s="1960">
        <f>ROUND(SUM(AA33:AA49),1)</f>
        <v>84.5</v>
      </c>
      <c r="AB50" s="2612"/>
      <c r="AC50" s="2611"/>
      <c r="AD50" s="1960">
        <f>ROUND(SUM(AD33:AD49),1)</f>
        <v>82.3</v>
      </c>
      <c r="AE50" s="2613"/>
      <c r="AF50" s="2614"/>
      <c r="AG50" s="1976">
        <f>ROUND(SUM(AG33:AG49),1)</f>
        <v>2.2000000000000002</v>
      </c>
      <c r="AH50" s="2572"/>
      <c r="AI50" s="2615">
        <f>ROUND(IF(AD50=0,0,AG50/ABS(AD50)),3)</f>
        <v>2.7E-2</v>
      </c>
      <c r="AJ50" s="2568"/>
    </row>
    <row r="51" spans="1:36" s="2616" customFormat="1" ht="14.25" customHeight="1">
      <c r="A51" s="2389"/>
      <c r="B51" s="1412"/>
      <c r="C51" s="2610"/>
      <c r="D51" s="1412"/>
      <c r="E51" s="2610"/>
      <c r="F51" s="1412"/>
      <c r="G51" s="2610"/>
      <c r="H51" s="1412"/>
      <c r="I51" s="2611"/>
      <c r="J51" s="1412"/>
      <c r="K51" s="2611"/>
      <c r="L51" s="1412"/>
      <c r="M51" s="2611"/>
      <c r="N51" s="1412"/>
      <c r="O51" s="2611"/>
      <c r="P51" s="1412"/>
      <c r="Q51" s="2611"/>
      <c r="R51" s="1412"/>
      <c r="S51" s="2611"/>
      <c r="T51" s="1412"/>
      <c r="U51" s="2611"/>
      <c r="V51" s="1430"/>
      <c r="W51" s="2611"/>
      <c r="X51" s="1430"/>
      <c r="Y51" s="2617"/>
      <c r="Z51" s="2611"/>
      <c r="AA51" s="1430"/>
      <c r="AB51" s="2617"/>
      <c r="AC51" s="2611"/>
      <c r="AD51" s="1430"/>
      <c r="AE51" s="2613"/>
      <c r="AF51" s="2614"/>
      <c r="AG51" s="2618"/>
      <c r="AH51" s="2572"/>
      <c r="AI51" s="2596"/>
      <c r="AJ51" s="2568"/>
    </row>
    <row r="52" spans="1:36" ht="15">
      <c r="A52" s="2619" t="s">
        <v>836</v>
      </c>
      <c r="B52" s="1337">
        <v>0</v>
      </c>
      <c r="C52" s="2620"/>
      <c r="D52" s="1337">
        <f>$AA52-B52</f>
        <v>0</v>
      </c>
      <c r="E52" s="2620"/>
      <c r="F52" s="1337"/>
      <c r="G52" s="1941"/>
      <c r="H52" s="1337"/>
      <c r="I52" s="1921"/>
      <c r="J52" s="1337"/>
      <c r="K52" s="1921"/>
      <c r="L52" s="1337"/>
      <c r="M52" s="1921"/>
      <c r="N52" s="1337"/>
      <c r="O52" s="1921"/>
      <c r="P52" s="1741"/>
      <c r="Q52" s="1921"/>
      <c r="R52" s="1741"/>
      <c r="S52" s="1921"/>
      <c r="T52" s="1741"/>
      <c r="U52" s="1921"/>
      <c r="V52" s="1741"/>
      <c r="W52" s="1921"/>
      <c r="X52" s="1741"/>
      <c r="Y52" s="2621"/>
      <c r="Z52" s="1921"/>
      <c r="AA52" s="2622">
        <v>0</v>
      </c>
      <c r="AB52" s="2621"/>
      <c r="AC52" s="1921"/>
      <c r="AD52" s="2622">
        <v>0</v>
      </c>
      <c r="AE52" s="2607"/>
      <c r="AF52" s="2608"/>
      <c r="AG52" s="2623">
        <f>ROUND(SUM(AA52-AD52),1)</f>
        <v>0</v>
      </c>
      <c r="AH52" s="1424"/>
      <c r="AI52" s="1395">
        <f>ROUND(IF(AD52=0,0,AG52/ABS(AD52)),3)</f>
        <v>0</v>
      </c>
    </row>
    <row r="53" spans="1:36" ht="12" customHeight="1">
      <c r="A53" s="1427"/>
      <c r="B53" s="2624"/>
      <c r="C53" s="1941"/>
      <c r="D53" s="2624"/>
      <c r="E53" s="1941"/>
      <c r="F53" s="2624"/>
      <c r="G53" s="1941"/>
      <c r="H53" s="2624"/>
      <c r="I53" s="1921"/>
      <c r="J53" s="2625"/>
      <c r="K53" s="1921"/>
      <c r="L53" s="2625"/>
      <c r="M53" s="1921"/>
      <c r="N53" s="2625"/>
      <c r="O53" s="1921"/>
      <c r="P53" s="2625"/>
      <c r="Q53" s="1921"/>
      <c r="R53" s="2625"/>
      <c r="S53" s="1921"/>
      <c r="T53" s="2625"/>
      <c r="U53" s="1921"/>
      <c r="V53" s="2625"/>
      <c r="W53" s="1921"/>
      <c r="X53" s="2625"/>
      <c r="Y53" s="2621"/>
      <c r="Z53" s="1921"/>
      <c r="AA53" s="1941"/>
      <c r="AB53" s="2621"/>
      <c r="AC53" s="1921"/>
      <c r="AD53" s="1941"/>
      <c r="AE53" s="2607"/>
      <c r="AF53" s="2608"/>
      <c r="AG53" s="2603"/>
      <c r="AH53" s="1424"/>
      <c r="AI53" s="1427"/>
    </row>
    <row r="54" spans="1:36" ht="14.25" customHeight="1">
      <c r="A54" s="2389" t="s">
        <v>184</v>
      </c>
      <c r="B54" s="2626">
        <f>B29+B50+B52</f>
        <v>8594.2000000000007</v>
      </c>
      <c r="C54" s="2627"/>
      <c r="D54" s="2626">
        <f>ROUND(SUM(D29+D50+D52),1)</f>
        <v>2476.1</v>
      </c>
      <c r="E54" s="2628"/>
      <c r="F54" s="2626">
        <f>ROUND(SUM(F29+F50+F52),1)</f>
        <v>0</v>
      </c>
      <c r="G54" s="2628"/>
      <c r="H54" s="2626">
        <f>ROUND(SUM(H29+H50+H52),1)</f>
        <v>0</v>
      </c>
      <c r="I54" s="2629"/>
      <c r="J54" s="2630">
        <f>ROUND(SUM(J29+J50+J52),1)</f>
        <v>0</v>
      </c>
      <c r="K54" s="2629"/>
      <c r="L54" s="2630">
        <f>ROUND(SUM(L29+L50+L52),1)</f>
        <v>0</v>
      </c>
      <c r="M54" s="2629"/>
      <c r="N54" s="2630">
        <f>ROUND(SUM(N29+N50+N52),1)</f>
        <v>0</v>
      </c>
      <c r="O54" s="2629"/>
      <c r="P54" s="2630">
        <f>ROUND(SUM(P29+P50+P52),1)</f>
        <v>0</v>
      </c>
      <c r="Q54" s="2629"/>
      <c r="R54" s="2630">
        <f>ROUND(SUM(R29+R50+R52),1)</f>
        <v>0</v>
      </c>
      <c r="S54" s="2629"/>
      <c r="T54" s="2630">
        <f>ROUND(SUM(T29+T50+T52),1)</f>
        <v>0</v>
      </c>
      <c r="U54" s="2629"/>
      <c r="V54" s="2630">
        <f>ROUND(SUM(V29+V50+V52),1)</f>
        <v>0</v>
      </c>
      <c r="W54" s="2629"/>
      <c r="X54" s="2630">
        <f>ROUND(SUM(X29+X50+X52),1)</f>
        <v>0</v>
      </c>
      <c r="Y54" s="2612"/>
      <c r="Z54" s="2611"/>
      <c r="AA54" s="2630">
        <f>ROUND(SUM(AA29+AA50+AA52),1)</f>
        <v>11070.3</v>
      </c>
      <c r="AB54" s="2612"/>
      <c r="AC54" s="2611"/>
      <c r="AD54" s="2630">
        <f>ROUND(SUM(AD29+AD50+AD52),1)</f>
        <v>10250</v>
      </c>
      <c r="AE54" s="2613"/>
      <c r="AF54" s="2614"/>
      <c r="AG54" s="2630">
        <f>ROUND(SUM(AG29+AG50+AG52),1)</f>
        <v>820.3</v>
      </c>
      <c r="AH54" s="2572"/>
      <c r="AI54" s="1425">
        <f>ROUND(IF(AD54=0,0,AG54/ABS(AD54)),3)</f>
        <v>0.08</v>
      </c>
      <c r="AJ54" s="2631"/>
    </row>
    <row r="55" spans="1:36" ht="19.5" customHeight="1">
      <c r="A55" s="1427"/>
      <c r="B55" s="1941"/>
      <c r="C55" s="1941"/>
      <c r="D55" s="1941"/>
      <c r="E55" s="1941"/>
      <c r="F55" s="1941"/>
      <c r="G55" s="1941"/>
      <c r="H55" s="1941"/>
      <c r="I55" s="1921"/>
      <c r="J55" s="1921"/>
      <c r="K55" s="1921"/>
      <c r="L55" s="1921"/>
      <c r="M55" s="1921"/>
      <c r="N55" s="1921"/>
      <c r="O55" s="1921"/>
      <c r="P55" s="1921"/>
      <c r="Q55" s="1921"/>
      <c r="R55" s="1921"/>
      <c r="S55" s="1921"/>
      <c r="T55" s="1921"/>
      <c r="U55" s="1921"/>
      <c r="V55" s="1921"/>
      <c r="W55" s="1921"/>
      <c r="X55" s="1921"/>
      <c r="Y55" s="2621"/>
      <c r="Z55" s="1921"/>
      <c r="AA55" s="1941"/>
      <c r="AB55" s="2621"/>
      <c r="AC55" s="1921"/>
      <c r="AD55" s="1941"/>
      <c r="AE55" s="2607"/>
      <c r="AF55" s="2608"/>
      <c r="AG55" s="2603"/>
      <c r="AH55" s="1424"/>
      <c r="AI55" s="1427"/>
    </row>
    <row r="56" spans="1:36" ht="15.75">
      <c r="A56" s="2632" t="s">
        <v>185</v>
      </c>
      <c r="B56" s="1941"/>
      <c r="C56" s="1941"/>
      <c r="D56" s="1941"/>
      <c r="E56" s="1941"/>
      <c r="F56" s="1941"/>
      <c r="G56" s="1941"/>
      <c r="H56" s="1941"/>
      <c r="I56" s="1921"/>
      <c r="J56" s="1921"/>
      <c r="K56" s="1921"/>
      <c r="L56" s="1921"/>
      <c r="M56" s="1921"/>
      <c r="N56" s="1921"/>
      <c r="O56" s="1921"/>
      <c r="P56" s="1921"/>
      <c r="Q56" s="1921"/>
      <c r="R56" s="1921"/>
      <c r="S56" s="1921"/>
      <c r="T56" s="1921"/>
      <c r="U56" s="1921"/>
      <c r="V56" s="1921"/>
      <c r="W56" s="1921"/>
      <c r="X56" s="1921"/>
      <c r="Y56" s="2621"/>
      <c r="Z56" s="1921"/>
      <c r="AA56" s="1941"/>
      <c r="AB56" s="2621"/>
      <c r="AC56" s="1921"/>
      <c r="AD56" s="1941"/>
      <c r="AE56" s="2607"/>
      <c r="AF56" s="2608"/>
      <c r="AG56" s="2603"/>
      <c r="AH56" s="1424"/>
      <c r="AI56" s="1427"/>
    </row>
    <row r="57" spans="1:36" ht="14.25" customHeight="1">
      <c r="A57" s="2633" t="s">
        <v>149</v>
      </c>
      <c r="B57" s="1941"/>
      <c r="C57" s="1941"/>
      <c r="D57" s="1941"/>
      <c r="E57" s="1941"/>
      <c r="F57" s="1941"/>
      <c r="G57" s="1941"/>
      <c r="H57" s="1941"/>
      <c r="I57" s="1921"/>
      <c r="J57" s="1921"/>
      <c r="K57" s="1921"/>
      <c r="L57" s="1921"/>
      <c r="M57" s="1921"/>
      <c r="N57" s="1921"/>
      <c r="O57" s="1921"/>
      <c r="P57" s="1921"/>
      <c r="Q57" s="1921"/>
      <c r="R57" s="1921"/>
      <c r="S57" s="1921"/>
      <c r="T57" s="1921"/>
      <c r="U57" s="1921"/>
      <c r="V57" s="1921"/>
      <c r="W57" s="1921"/>
      <c r="X57" s="1921"/>
      <c r="Y57" s="2621"/>
      <c r="Z57" s="1921"/>
      <c r="AA57" s="1941"/>
      <c r="AB57" s="2621"/>
      <c r="AC57" s="1921"/>
      <c r="AD57" s="1941"/>
      <c r="AE57" s="2607"/>
      <c r="AF57" s="2608"/>
      <c r="AG57" s="2603"/>
      <c r="AH57" s="1424"/>
      <c r="AI57" s="1427"/>
    </row>
    <row r="58" spans="1:36" ht="14.25" customHeight="1">
      <c r="A58" s="2633" t="s">
        <v>37</v>
      </c>
      <c r="B58" s="1337">
        <v>0</v>
      </c>
      <c r="C58" s="1941"/>
      <c r="D58" s="1337">
        <f>$AA58-B58</f>
        <v>1.5</v>
      </c>
      <c r="E58" s="2634"/>
      <c r="F58" s="1337"/>
      <c r="G58" s="1941"/>
      <c r="H58" s="1337"/>
      <c r="I58" s="1921"/>
      <c r="J58" s="1337"/>
      <c r="K58" s="1921"/>
      <c r="L58" s="1337"/>
      <c r="M58" s="1921"/>
      <c r="N58" s="1337"/>
      <c r="O58" s="1921"/>
      <c r="P58" s="1741"/>
      <c r="Q58" s="1921"/>
      <c r="R58" s="1741"/>
      <c r="S58" s="1921"/>
      <c r="T58" s="1741"/>
      <c r="U58" s="1921"/>
      <c r="V58" s="1741"/>
      <c r="W58" s="1921"/>
      <c r="X58" s="1741"/>
      <c r="Y58" s="2621"/>
      <c r="Z58" s="1921"/>
      <c r="AA58" s="1927">
        <v>1.5</v>
      </c>
      <c r="AB58" s="2621"/>
      <c r="AC58" s="1921"/>
      <c r="AD58" s="1927">
        <v>2.4</v>
      </c>
      <c r="AE58" s="2607"/>
      <c r="AF58" s="2608"/>
      <c r="AG58" s="2603">
        <f>ROUND(SUM(AA58-AD58),1)</f>
        <v>-0.9</v>
      </c>
      <c r="AH58" s="1424"/>
      <c r="AI58" s="1433">
        <f>ROUND(IF(AD58=0,1,AG58/ABS(AD58)),3)</f>
        <v>-0.375</v>
      </c>
    </row>
    <row r="59" spans="1:36" ht="14.25" customHeight="1">
      <c r="A59" s="2635" t="s">
        <v>1265</v>
      </c>
      <c r="B59" s="1337" t="s">
        <v>1151</v>
      </c>
      <c r="C59" s="1941"/>
      <c r="D59" s="1337"/>
      <c r="E59" s="1941"/>
      <c r="F59" s="1337"/>
      <c r="G59" s="1941"/>
      <c r="H59" s="1337"/>
      <c r="I59" s="1921"/>
      <c r="J59" s="1337"/>
      <c r="K59" s="1921"/>
      <c r="L59" s="1337"/>
      <c r="M59" s="1921"/>
      <c r="N59" s="1337"/>
      <c r="O59" s="1921"/>
      <c r="P59" s="1741"/>
      <c r="Q59" s="1921"/>
      <c r="R59" s="1741"/>
      <c r="S59" s="1921"/>
      <c r="T59" s="1741"/>
      <c r="U59" s="1921"/>
      <c r="V59" s="1741"/>
      <c r="W59" s="1921"/>
      <c r="X59" s="1741"/>
      <c r="Y59" s="2621"/>
      <c r="Z59" s="1921"/>
      <c r="AA59" s="1941"/>
      <c r="AB59" s="2621"/>
      <c r="AC59" s="1921"/>
      <c r="AD59" s="1941"/>
      <c r="AE59" s="2607"/>
      <c r="AF59" s="2608"/>
      <c r="AG59" s="2603"/>
      <c r="AH59" s="1424"/>
      <c r="AI59" s="1427"/>
    </row>
    <row r="60" spans="1:36" ht="14.25" customHeight="1">
      <c r="A60" s="2636" t="s">
        <v>1043</v>
      </c>
      <c r="B60" s="1337">
        <v>115.8</v>
      </c>
      <c r="C60" s="1941"/>
      <c r="D60" s="1337">
        <f>$AA60-B60</f>
        <v>29.500000000000014</v>
      </c>
      <c r="E60" s="1941"/>
      <c r="F60" s="1337"/>
      <c r="G60" s="1941"/>
      <c r="H60" s="1337"/>
      <c r="I60" s="1921"/>
      <c r="J60" s="1337"/>
      <c r="K60" s="1921"/>
      <c r="L60" s="1337"/>
      <c r="M60" s="1921"/>
      <c r="N60" s="1337"/>
      <c r="O60" s="1921"/>
      <c r="P60" s="1741"/>
      <c r="Q60" s="1921"/>
      <c r="R60" s="1741"/>
      <c r="S60" s="1921"/>
      <c r="T60" s="1741"/>
      <c r="U60" s="1921"/>
      <c r="V60" s="1741"/>
      <c r="W60" s="1921"/>
      <c r="X60" s="1741"/>
      <c r="Y60" s="2621"/>
      <c r="Z60" s="1921"/>
      <c r="AA60" s="2637">
        <v>145.30000000000001</v>
      </c>
      <c r="AB60" s="2621"/>
      <c r="AC60" s="1921"/>
      <c r="AD60" s="2637">
        <v>162.9</v>
      </c>
      <c r="AE60" s="2607"/>
      <c r="AF60" s="2608"/>
      <c r="AG60" s="2638">
        <f>ROUND(SUM(AA60-AD60),1)</f>
        <v>-17.600000000000001</v>
      </c>
      <c r="AH60" s="1424"/>
      <c r="AI60" s="1395">
        <f>ROUND(IF(AD60=0,0,AG60/ABS(AD60)),3)</f>
        <v>-0.108</v>
      </c>
    </row>
    <row r="61" spans="1:36" ht="15">
      <c r="A61" s="1427"/>
      <c r="B61" s="2624"/>
      <c r="C61" s="1941"/>
      <c r="D61" s="2624"/>
      <c r="E61" s="1941"/>
      <c r="F61" s="2624"/>
      <c r="G61" s="1941"/>
      <c r="H61" s="2624"/>
      <c r="I61" s="1921"/>
      <c r="J61" s="2625"/>
      <c r="K61" s="1921"/>
      <c r="L61" s="2625"/>
      <c r="M61" s="1921"/>
      <c r="N61" s="2625"/>
      <c r="O61" s="1921"/>
      <c r="P61" s="2625"/>
      <c r="Q61" s="1921"/>
      <c r="R61" s="2625"/>
      <c r="S61" s="1921"/>
      <c r="T61" s="2625"/>
      <c r="U61" s="1921"/>
      <c r="V61" s="2625"/>
      <c r="W61" s="1921"/>
      <c r="X61" s="2625"/>
      <c r="Y61" s="2621"/>
      <c r="Z61" s="1921"/>
      <c r="AA61" s="1941"/>
      <c r="AB61" s="2621"/>
      <c r="AC61" s="1921"/>
      <c r="AD61" s="1941"/>
      <c r="AE61" s="2607"/>
      <c r="AF61" s="2608"/>
      <c r="AG61" s="2603"/>
      <c r="AH61" s="1424"/>
      <c r="AI61" s="1427"/>
    </row>
    <row r="62" spans="1:36" ht="14.25" customHeight="1">
      <c r="A62" s="2632" t="s">
        <v>186</v>
      </c>
      <c r="B62" s="2626">
        <f>ROUND(SUM(B58:B60),1)</f>
        <v>115.8</v>
      </c>
      <c r="C62" s="2627"/>
      <c r="D62" s="2626">
        <f>ROUND(SUM(D58:D60),1)</f>
        <v>31</v>
      </c>
      <c r="E62" s="2628"/>
      <c r="F62" s="2626">
        <f>ROUND(SUM(F58:F60),1)</f>
        <v>0</v>
      </c>
      <c r="G62" s="2628"/>
      <c r="H62" s="2626">
        <f>ROUND(SUM(H58:H60),1)</f>
        <v>0</v>
      </c>
      <c r="I62" s="2629"/>
      <c r="J62" s="2630">
        <f>ROUND(SUM(J58:J60),1)</f>
        <v>0</v>
      </c>
      <c r="K62" s="2629"/>
      <c r="L62" s="2630">
        <f>ROUND(SUM(L58:L60),1)</f>
        <v>0</v>
      </c>
      <c r="M62" s="2629"/>
      <c r="N62" s="2630">
        <f>ROUND(SUM(N58:N60),1)</f>
        <v>0</v>
      </c>
      <c r="O62" s="2629"/>
      <c r="P62" s="2630">
        <f>ROUND(SUM(P58:P60),1)</f>
        <v>0</v>
      </c>
      <c r="Q62" s="2629"/>
      <c r="R62" s="2630">
        <f>ROUND(SUM(R58:R60),1)</f>
        <v>0</v>
      </c>
      <c r="S62" s="2629"/>
      <c r="T62" s="2630">
        <f>ROUND(SUM(T58:T60),1)</f>
        <v>0</v>
      </c>
      <c r="U62" s="2629"/>
      <c r="V62" s="2630">
        <f>ROUND(SUM(V58:V60),1)</f>
        <v>0</v>
      </c>
      <c r="W62" s="2629"/>
      <c r="X62" s="2630">
        <f>ROUND(SUM(X58:X60),1)</f>
        <v>0</v>
      </c>
      <c r="Y62" s="2612"/>
      <c r="Z62" s="2611"/>
      <c r="AA62" s="2630">
        <f>ROUND(SUM(AA58:AA60),1)</f>
        <v>146.80000000000001</v>
      </c>
      <c r="AB62" s="2612"/>
      <c r="AC62" s="2611"/>
      <c r="AD62" s="2630">
        <f>ROUND(SUM(AD58:AD60),1)</f>
        <v>165.3</v>
      </c>
      <c r="AE62" s="2613"/>
      <c r="AF62" s="2614"/>
      <c r="AG62" s="2630">
        <f>ROUND(SUM(AG58:AG60),1)</f>
        <v>-18.5</v>
      </c>
      <c r="AH62" s="2572"/>
      <c r="AI62" s="1425">
        <f>ROUND(IF(AD62=0,0,AG62/ABS(AD62)),3)</f>
        <v>-0.112</v>
      </c>
      <c r="AJ62" s="2639"/>
    </row>
    <row r="63" spans="1:36" ht="12" customHeight="1">
      <c r="A63" s="1427"/>
      <c r="B63" s="1941"/>
      <c r="C63" s="1941"/>
      <c r="D63" s="2640"/>
      <c r="E63" s="2640"/>
      <c r="F63" s="2640"/>
      <c r="G63" s="2640"/>
      <c r="H63" s="2640"/>
      <c r="I63" s="2641"/>
      <c r="J63" s="2641"/>
      <c r="K63" s="2641"/>
      <c r="L63" s="2641"/>
      <c r="M63" s="2641"/>
      <c r="N63" s="2641"/>
      <c r="O63" s="2641"/>
      <c r="P63" s="2641"/>
      <c r="Q63" s="2641"/>
      <c r="R63" s="2641"/>
      <c r="S63" s="2641"/>
      <c r="T63" s="2641"/>
      <c r="U63" s="2641"/>
      <c r="V63" s="2641"/>
      <c r="W63" s="2641"/>
      <c r="X63" s="2641"/>
      <c r="Y63" s="2621"/>
      <c r="Z63" s="1921"/>
      <c r="AA63" s="1941"/>
      <c r="AB63" s="2621"/>
      <c r="AC63" s="1921"/>
      <c r="AD63" s="1941"/>
      <c r="AE63" s="2607"/>
      <c r="AF63" s="2608"/>
      <c r="AG63" s="2603"/>
      <c r="AH63" s="1424"/>
      <c r="AI63" s="1427"/>
    </row>
    <row r="64" spans="1:36" ht="14.25" customHeight="1">
      <c r="A64" s="2632" t="s">
        <v>43</v>
      </c>
      <c r="B64" s="1941"/>
      <c r="C64" s="1941"/>
      <c r="D64" s="2640"/>
      <c r="E64" s="2640"/>
      <c r="F64" s="2640"/>
      <c r="G64" s="2640"/>
      <c r="H64" s="2640"/>
      <c r="I64" s="2641"/>
      <c r="J64" s="2641"/>
      <c r="K64" s="2641"/>
      <c r="L64" s="2641"/>
      <c r="M64" s="2641"/>
      <c r="N64" s="2641"/>
      <c r="O64" s="2641"/>
      <c r="P64" s="2641"/>
      <c r="Q64" s="2641"/>
      <c r="R64" s="2641"/>
      <c r="S64" s="2641"/>
      <c r="T64" s="2641"/>
      <c r="U64" s="2641"/>
      <c r="V64" s="2641"/>
      <c r="W64" s="2641"/>
      <c r="X64" s="2641"/>
      <c r="Y64" s="2621"/>
      <c r="Z64" s="1921"/>
      <c r="AA64" s="1941"/>
      <c r="AB64" s="2621"/>
      <c r="AC64" s="1921"/>
      <c r="AD64" s="1941"/>
      <c r="AE64" s="2607"/>
      <c r="AF64" s="2608"/>
      <c r="AG64" s="2603"/>
      <c r="AH64" s="1424"/>
      <c r="AI64" s="1427"/>
    </row>
    <row r="65" spans="1:38" ht="14.25" customHeight="1">
      <c r="A65" s="2389" t="s">
        <v>187</v>
      </c>
      <c r="B65" s="2626">
        <f>ROUND(SUM(B54-B62),1)</f>
        <v>8478.4</v>
      </c>
      <c r="C65" s="2627"/>
      <c r="D65" s="2626">
        <f>ROUND(SUM(D54-D62),1)</f>
        <v>2445.1</v>
      </c>
      <c r="E65" s="2642"/>
      <c r="F65" s="2626">
        <f>ROUND(SUM(F54-F62),1)</f>
        <v>0</v>
      </c>
      <c r="G65" s="2628"/>
      <c r="H65" s="2626">
        <f>ROUND(SUM(H54-H62),1)</f>
        <v>0</v>
      </c>
      <c r="I65" s="2629"/>
      <c r="J65" s="2630">
        <f>ROUND(SUM(J54-J62),1)</f>
        <v>0</v>
      </c>
      <c r="K65" s="2629"/>
      <c r="L65" s="2630">
        <f>ROUND(SUM(L54-L62),1)</f>
        <v>0</v>
      </c>
      <c r="M65" s="2629"/>
      <c r="N65" s="2630">
        <f>ROUND(SUM(N54-N62),1)</f>
        <v>0</v>
      </c>
      <c r="O65" s="2629"/>
      <c r="P65" s="2630">
        <f>ROUND(SUM(P54-P62),1)</f>
        <v>0</v>
      </c>
      <c r="Q65" s="2629"/>
      <c r="R65" s="2630">
        <f>ROUND(SUM(R54-R62),1)</f>
        <v>0</v>
      </c>
      <c r="S65" s="2629"/>
      <c r="T65" s="2630">
        <f>ROUND(SUM(T54-T62),1)</f>
        <v>0</v>
      </c>
      <c r="U65" s="2629"/>
      <c r="V65" s="2630">
        <f>ROUND(SUM(V54-V62),1)</f>
        <v>0</v>
      </c>
      <c r="W65" s="2629"/>
      <c r="X65" s="2630">
        <f>ROUND(SUM(X54-X62),1)</f>
        <v>0</v>
      </c>
      <c r="Y65" s="2612"/>
      <c r="Z65" s="2611"/>
      <c r="AA65" s="2630">
        <f>ROUND(SUM(AA54-AA62),1)</f>
        <v>10923.5</v>
      </c>
      <c r="AB65" s="2612"/>
      <c r="AC65" s="2611"/>
      <c r="AD65" s="2630">
        <f>ROUND(SUM(AD54-AD62),1)</f>
        <v>10084.700000000001</v>
      </c>
      <c r="AE65" s="2613"/>
      <c r="AF65" s="2614"/>
      <c r="AG65" s="2630">
        <f>ROUND(SUM(+AG54-AG62),1)</f>
        <v>838.8</v>
      </c>
      <c r="AH65" s="2572"/>
      <c r="AI65" s="1425">
        <f>ROUND(IF(AD65=0,0,AG65/ABS(AD65)),3)</f>
        <v>8.3000000000000004E-2</v>
      </c>
      <c r="AJ65" s="2631"/>
    </row>
    <row r="66" spans="1:38" ht="19.5" customHeight="1">
      <c r="A66" s="1427"/>
      <c r="B66" s="2620"/>
      <c r="C66" s="1941"/>
      <c r="D66" s="1941"/>
      <c r="E66" s="1941"/>
      <c r="F66" s="1941"/>
      <c r="G66" s="1941"/>
      <c r="H66" s="1941"/>
      <c r="I66" s="1921"/>
      <c r="J66" s="1921"/>
      <c r="K66" s="1921"/>
      <c r="L66" s="1921"/>
      <c r="M66" s="1921"/>
      <c r="N66" s="1921"/>
      <c r="O66" s="1921"/>
      <c r="P66" s="1921"/>
      <c r="Q66" s="1921"/>
      <c r="R66" s="1921"/>
      <c r="S66" s="1921"/>
      <c r="T66" s="1921"/>
      <c r="U66" s="1921"/>
      <c r="V66" s="1921"/>
      <c r="W66" s="1921"/>
      <c r="X66" s="1921"/>
      <c r="Y66" s="2621"/>
      <c r="Z66" s="1921"/>
      <c r="AA66" s="2620"/>
      <c r="AB66" s="2621"/>
      <c r="AC66" s="1921"/>
      <c r="AD66" s="2620"/>
      <c r="AE66" s="2607"/>
      <c r="AF66" s="2608"/>
      <c r="AG66" s="2603"/>
      <c r="AH66" s="1424"/>
      <c r="AI66" s="1427"/>
    </row>
    <row r="67" spans="1:38" ht="14.25" customHeight="1">
      <c r="A67" s="2632" t="s">
        <v>45</v>
      </c>
      <c r="B67" s="1941"/>
      <c r="C67" s="1941"/>
      <c r="D67" s="1941"/>
      <c r="E67" s="1941"/>
      <c r="F67" s="1941"/>
      <c r="G67" s="1941"/>
      <c r="H67" s="1941"/>
      <c r="I67" s="1921"/>
      <c r="J67" s="1921"/>
      <c r="K67" s="1921"/>
      <c r="L67" s="1921"/>
      <c r="M67" s="1921"/>
      <c r="N67" s="1921"/>
      <c r="O67" s="1921"/>
      <c r="P67" s="1921"/>
      <c r="Q67" s="1921"/>
      <c r="R67" s="1921"/>
      <c r="S67" s="1921"/>
      <c r="T67" s="1921"/>
      <c r="U67" s="1921"/>
      <c r="V67" s="1921"/>
      <c r="W67" s="1921"/>
      <c r="X67" s="1921"/>
      <c r="Y67" s="2621"/>
      <c r="Z67" s="1921"/>
      <c r="AA67" s="1941"/>
      <c r="AB67" s="2621"/>
      <c r="AC67" s="1921"/>
      <c r="AD67" s="1941"/>
      <c r="AE67" s="2607"/>
      <c r="AF67" s="2608"/>
      <c r="AG67" s="2603"/>
      <c r="AH67" s="1424"/>
      <c r="AI67" s="1427"/>
    </row>
    <row r="68" spans="1:38" ht="14.25" customHeight="1">
      <c r="A68" s="2633" t="s">
        <v>178</v>
      </c>
      <c r="B68" s="1337">
        <v>353</v>
      </c>
      <c r="C68" s="1941"/>
      <c r="D68" s="1337">
        <f t="shared" ref="D68:D69" si="6">$AA68-B68</f>
        <v>20.599999999999966</v>
      </c>
      <c r="E68" s="1941"/>
      <c r="F68" s="1337"/>
      <c r="G68" s="1941"/>
      <c r="H68" s="1337"/>
      <c r="I68" s="1921"/>
      <c r="J68" s="1337"/>
      <c r="K68" s="1921"/>
      <c r="L68" s="1337"/>
      <c r="M68" s="1921"/>
      <c r="N68" s="1337"/>
      <c r="O68" s="1921"/>
      <c r="P68" s="1741"/>
      <c r="Q68" s="1921"/>
      <c r="R68" s="1741"/>
      <c r="S68" s="1921"/>
      <c r="T68" s="1741"/>
      <c r="U68" s="1921"/>
      <c r="V68" s="1741"/>
      <c r="W68" s="1921"/>
      <c r="X68" s="1741"/>
      <c r="Y68" s="2621"/>
      <c r="Z68" s="1921"/>
      <c r="AA68" s="1927">
        <v>373.59999999999997</v>
      </c>
      <c r="AB68" s="2621"/>
      <c r="AC68" s="1921"/>
      <c r="AD68" s="1927">
        <v>301.89999999999998</v>
      </c>
      <c r="AE68" s="2607"/>
      <c r="AF68" s="2608"/>
      <c r="AG68" s="2603">
        <f>ROUND(SUM(AA68-AD68),1)</f>
        <v>71.7</v>
      </c>
      <c r="AH68" s="1424"/>
      <c r="AI68" s="1394">
        <f>ROUND(IF(AD68=0,0,AG68/ABS(AD68)),3)</f>
        <v>0.23699999999999999</v>
      </c>
    </row>
    <row r="69" spans="1:38" ht="14.25" customHeight="1">
      <c r="A69" s="2633" t="s">
        <v>188</v>
      </c>
      <c r="B69" s="1337">
        <v>-8667.5</v>
      </c>
      <c r="C69" s="1941"/>
      <c r="D69" s="1337">
        <f t="shared" si="6"/>
        <v>-2411.3999999999996</v>
      </c>
      <c r="E69" s="1941"/>
      <c r="F69" s="1337"/>
      <c r="G69" s="1941"/>
      <c r="H69" s="1337"/>
      <c r="I69" s="1921"/>
      <c r="J69" s="1337"/>
      <c r="K69" s="1921"/>
      <c r="L69" s="1337"/>
      <c r="M69" s="1921"/>
      <c r="N69" s="1337"/>
      <c r="O69" s="1921"/>
      <c r="P69" s="1741"/>
      <c r="Q69" s="1921"/>
      <c r="R69" s="1741"/>
      <c r="S69" s="1921"/>
      <c r="T69" s="1741"/>
      <c r="U69" s="1921"/>
      <c r="V69" s="1741"/>
      <c r="W69" s="1921"/>
      <c r="X69" s="1741"/>
      <c r="Y69" s="2621"/>
      <c r="Z69" s="1921"/>
      <c r="AA69" s="2643">
        <v>-11078.9</v>
      </c>
      <c r="AB69" s="2621"/>
      <c r="AC69" s="1921"/>
      <c r="AD69" s="2643">
        <v>-10148.700000000001</v>
      </c>
      <c r="AE69" s="2607"/>
      <c r="AF69" s="2608"/>
      <c r="AG69" s="2638">
        <f>ROUND(SUM(-(AA69-AD69)),1)</f>
        <v>930.2</v>
      </c>
      <c r="AH69" s="1424"/>
      <c r="AI69" s="1395">
        <f>ROUND(IF(AD69=0,0,AG69/ABS(AD69)),3)</f>
        <v>9.1999999999999998E-2</v>
      </c>
    </row>
    <row r="70" spans="1:38" ht="15">
      <c r="A70" s="1427"/>
      <c r="B70" s="2625"/>
      <c r="C70" s="1921"/>
      <c r="D70" s="2644"/>
      <c r="E70" s="1921"/>
      <c r="F70" s="2644"/>
      <c r="G70" s="1921"/>
      <c r="H70" s="2644"/>
      <c r="I70" s="1921"/>
      <c r="J70" s="2644"/>
      <c r="K70" s="1921"/>
      <c r="L70" s="2644"/>
      <c r="M70" s="1921"/>
      <c r="N70" s="2644"/>
      <c r="O70" s="1921"/>
      <c r="P70" s="2644"/>
      <c r="Q70" s="1921"/>
      <c r="R70" s="2644"/>
      <c r="S70" s="1921"/>
      <c r="T70" s="2644"/>
      <c r="U70" s="1921"/>
      <c r="V70" s="2644"/>
      <c r="W70" s="1921"/>
      <c r="X70" s="2644"/>
      <c r="Y70" s="2621"/>
      <c r="Z70" s="1921"/>
      <c r="AA70" s="1941"/>
      <c r="AB70" s="2621"/>
      <c r="AC70" s="1921"/>
      <c r="AD70" s="1941"/>
      <c r="AE70" s="2607"/>
      <c r="AF70" s="2608"/>
      <c r="AG70" s="2603"/>
      <c r="AH70" s="1424"/>
      <c r="AI70" s="1427"/>
    </row>
    <row r="71" spans="1:38" ht="14.25" customHeight="1">
      <c r="A71" s="2632" t="s">
        <v>855</v>
      </c>
      <c r="B71" s="1926">
        <f>ROUND(SUM(B68:B69),1)</f>
        <v>-8314.5</v>
      </c>
      <c r="C71" s="2611"/>
      <c r="D71" s="1926">
        <f>ROUND(SUM(D68:D69),1)</f>
        <v>-2390.8000000000002</v>
      </c>
      <c r="E71" s="2629"/>
      <c r="F71" s="1926">
        <f>ROUND(SUM(F68:F69),1)</f>
        <v>0</v>
      </c>
      <c r="G71" s="2629"/>
      <c r="H71" s="1926">
        <f>ROUND(SUM(H68:H69),1)</f>
        <v>0</v>
      </c>
      <c r="I71" s="2629"/>
      <c r="J71" s="1926">
        <f>ROUND(SUM(J68:J69),1)</f>
        <v>0</v>
      </c>
      <c r="K71" s="2629"/>
      <c r="L71" s="1926">
        <f>ROUND(SUM(L68:L69),1)</f>
        <v>0</v>
      </c>
      <c r="M71" s="2629"/>
      <c r="N71" s="1926">
        <f>ROUND(SUM(N68:N69),1)</f>
        <v>0</v>
      </c>
      <c r="O71" s="2629"/>
      <c r="P71" s="1926">
        <f>ROUND(SUM(P68:P69),1)</f>
        <v>0</v>
      </c>
      <c r="Q71" s="2629"/>
      <c r="R71" s="1926">
        <f>ROUND(SUM(R68:R69),1)</f>
        <v>0</v>
      </c>
      <c r="S71" s="2629"/>
      <c r="T71" s="1926">
        <f>ROUND(SUM(T68:T69),1)</f>
        <v>0</v>
      </c>
      <c r="U71" s="2629"/>
      <c r="V71" s="1926">
        <f>ROUND(SUM(V68:V69),1)</f>
        <v>0</v>
      </c>
      <c r="W71" s="2629"/>
      <c r="X71" s="1926">
        <f>ROUND(SUM(X68:X69),1)</f>
        <v>0</v>
      </c>
      <c r="Y71" s="2612"/>
      <c r="Z71" s="2611"/>
      <c r="AA71" s="1926">
        <f>ROUND(SUM(AA68:AA69),1)</f>
        <v>-10705.3</v>
      </c>
      <c r="AB71" s="2612"/>
      <c r="AC71" s="2611"/>
      <c r="AD71" s="1926">
        <f>ROUND(SUM(AD68:AD69),1)</f>
        <v>-9846.7999999999993</v>
      </c>
      <c r="AE71" s="2613"/>
      <c r="AF71" s="2614"/>
      <c r="AG71" s="1926">
        <f>ROUND(SUM(AA71-AD71),1)</f>
        <v>-858.5</v>
      </c>
      <c r="AH71" s="2572"/>
      <c r="AI71" s="1425">
        <f>ROUND(IF(AD71=0,0,AG71/ABS(AD71)),3)</f>
        <v>-8.6999999999999994E-2</v>
      </c>
      <c r="AJ71" s="2631"/>
    </row>
    <row r="72" spans="1:38" ht="19.5" customHeight="1">
      <c r="A72" s="1427"/>
      <c r="B72" s="1921"/>
      <c r="C72" s="1921"/>
      <c r="D72" s="2645"/>
      <c r="E72" s="1921"/>
      <c r="F72" s="2645"/>
      <c r="G72" s="1921"/>
      <c r="H72" s="2645"/>
      <c r="I72" s="1921"/>
      <c r="J72" s="2645"/>
      <c r="K72" s="1921"/>
      <c r="L72" s="2645"/>
      <c r="M72" s="1921"/>
      <c r="N72" s="2645"/>
      <c r="O72" s="1921"/>
      <c r="P72" s="2645"/>
      <c r="Q72" s="1921"/>
      <c r="R72" s="2645"/>
      <c r="S72" s="1921"/>
      <c r="T72" s="2645"/>
      <c r="U72" s="1921"/>
      <c r="V72" s="2645"/>
      <c r="W72" s="1921"/>
      <c r="X72" s="2645"/>
      <c r="Y72" s="2621"/>
      <c r="Z72" s="1921"/>
      <c r="AA72" s="1941"/>
      <c r="AB72" s="2621"/>
      <c r="AC72" s="1921"/>
      <c r="AD72" s="1941"/>
      <c r="AE72" s="2607"/>
      <c r="AF72" s="2608"/>
      <c r="AG72" s="2603"/>
      <c r="AH72" s="1424"/>
      <c r="AI72" s="1427"/>
    </row>
    <row r="73" spans="1:38" ht="14.25" customHeight="1">
      <c r="A73" s="2389" t="s">
        <v>189</v>
      </c>
      <c r="B73" s="1921"/>
      <c r="C73" s="1921"/>
      <c r="D73" s="2641"/>
      <c r="E73" s="1921"/>
      <c r="F73" s="2641"/>
      <c r="G73" s="1921"/>
      <c r="H73" s="2641"/>
      <c r="I73" s="1921"/>
      <c r="J73" s="2641"/>
      <c r="K73" s="1921"/>
      <c r="L73" s="2641"/>
      <c r="M73" s="1921"/>
      <c r="N73" s="2641"/>
      <c r="O73" s="1921"/>
      <c r="P73" s="2641"/>
      <c r="Q73" s="1921"/>
      <c r="R73" s="2641"/>
      <c r="S73" s="1921"/>
      <c r="T73" s="2641"/>
      <c r="U73" s="1921"/>
      <c r="V73" s="2641"/>
      <c r="W73" s="1921"/>
      <c r="X73" s="2641"/>
      <c r="Y73" s="2621"/>
      <c r="Z73" s="1921"/>
      <c r="AA73" s="1941"/>
      <c r="AB73" s="2621"/>
      <c r="AC73" s="1921"/>
      <c r="AD73" s="1941"/>
      <c r="AE73" s="2607"/>
      <c r="AF73" s="2608"/>
      <c r="AG73" s="2603"/>
      <c r="AH73" s="1424"/>
      <c r="AI73" s="1427"/>
    </row>
    <row r="74" spans="1:38" ht="14.25" customHeight="1">
      <c r="A74" s="2389" t="s">
        <v>190</v>
      </c>
      <c r="B74" s="1921"/>
      <c r="C74" s="1921"/>
      <c r="D74" s="2641"/>
      <c r="E74" s="1921"/>
      <c r="F74" s="2641"/>
      <c r="G74" s="1921"/>
      <c r="H74" s="2641"/>
      <c r="I74" s="1921"/>
      <c r="J74" s="2641"/>
      <c r="K74" s="1921"/>
      <c r="L74" s="2641"/>
      <c r="M74" s="1921"/>
      <c r="N74" s="2641"/>
      <c r="O74" s="1921"/>
      <c r="P74" s="2641"/>
      <c r="Q74" s="1921"/>
      <c r="R74" s="2641"/>
      <c r="S74" s="1921"/>
      <c r="T74" s="2641"/>
      <c r="U74" s="1921"/>
      <c r="V74" s="2641"/>
      <c r="W74" s="1921"/>
      <c r="X74" s="2641"/>
      <c r="Y74" s="2621"/>
      <c r="Z74" s="1921"/>
      <c r="AA74" s="1941"/>
      <c r="AB74" s="2621"/>
      <c r="AC74" s="1921"/>
      <c r="AD74" s="1941"/>
      <c r="AE74" s="2607"/>
      <c r="AF74" s="2608"/>
      <c r="AG74" s="2603"/>
      <c r="AH74" s="1424"/>
      <c r="AI74" s="1427"/>
    </row>
    <row r="75" spans="1:38" ht="14.25" customHeight="1">
      <c r="A75" s="2389" t="s">
        <v>1118</v>
      </c>
      <c r="B75" s="2630">
        <f>ROUND(SUM(+B65+B71),1)</f>
        <v>163.9</v>
      </c>
      <c r="C75" s="2611"/>
      <c r="D75" s="2630">
        <f>ROUND(SUM(+D65+D71),1)</f>
        <v>54.3</v>
      </c>
      <c r="E75" s="2611"/>
      <c r="F75" s="2630">
        <f>ROUND(SUM(+F65+F71),1)</f>
        <v>0</v>
      </c>
      <c r="G75" s="2611"/>
      <c r="H75" s="2630">
        <f>ROUND(SUM(+H65+H71),1)</f>
        <v>0</v>
      </c>
      <c r="I75" s="2611"/>
      <c r="J75" s="2630">
        <f>ROUND(SUM(+J65+J71),1)</f>
        <v>0</v>
      </c>
      <c r="K75" s="2611"/>
      <c r="L75" s="2630">
        <f>ROUND(SUM(+L65+L71),1)</f>
        <v>0</v>
      </c>
      <c r="M75" s="2611"/>
      <c r="N75" s="2630">
        <f>ROUND(SUM(+N65+N71),1)</f>
        <v>0</v>
      </c>
      <c r="O75" s="2611"/>
      <c r="P75" s="2630">
        <f>ROUND(SUM(+P65+P71),1)</f>
        <v>0</v>
      </c>
      <c r="Q75" s="2611"/>
      <c r="R75" s="2630">
        <f>ROUND(SUM(+R65+R71),1)</f>
        <v>0</v>
      </c>
      <c r="S75" s="2611"/>
      <c r="T75" s="2630">
        <f>ROUND(SUM(+T65+T71),1)</f>
        <v>0</v>
      </c>
      <c r="U75" s="2611"/>
      <c r="V75" s="2630">
        <f>ROUND(SUM(+V65+V71),1)</f>
        <v>0</v>
      </c>
      <c r="W75" s="2611"/>
      <c r="X75" s="2630">
        <f>ROUND(SUM(+X65+X71),1)</f>
        <v>0</v>
      </c>
      <c r="Y75" s="2612"/>
      <c r="Z75" s="2611"/>
      <c r="AA75" s="2630">
        <f>ROUND(SUM(+AA65+AA71),1)</f>
        <v>218.2</v>
      </c>
      <c r="AB75" s="2612"/>
      <c r="AC75" s="2611"/>
      <c r="AD75" s="2630">
        <f>ROUND(SUM(+AD65+AD71),1)</f>
        <v>237.9</v>
      </c>
      <c r="AE75" s="2613"/>
      <c r="AF75" s="2614"/>
      <c r="AG75" s="2630">
        <f>ROUND(SUM(+AG65+AG71),1)</f>
        <v>-19.7</v>
      </c>
      <c r="AH75" s="2572"/>
      <c r="AI75" s="1434">
        <f>ROUND(IF(AD75=0,0,AG75/ABS(AD75)),3)</f>
        <v>-8.3000000000000004E-2</v>
      </c>
      <c r="AJ75" s="2631"/>
    </row>
    <row r="76" spans="1:38" ht="15">
      <c r="A76" s="1427"/>
      <c r="B76" s="1923"/>
      <c r="C76" s="1923"/>
      <c r="D76" s="2646"/>
      <c r="E76" s="1923"/>
      <c r="F76" s="2647"/>
      <c r="G76" s="1923"/>
      <c r="H76" s="2647"/>
      <c r="I76" s="1923"/>
      <c r="J76" s="2647"/>
      <c r="K76" s="1923"/>
      <c r="L76" s="2648"/>
      <c r="M76" s="1923"/>
      <c r="N76" s="2647"/>
      <c r="O76" s="1923"/>
      <c r="P76" s="2647"/>
      <c r="Q76" s="1923"/>
      <c r="R76" s="2647"/>
      <c r="S76" s="1923"/>
      <c r="T76" s="2647"/>
      <c r="U76" s="1923"/>
      <c r="V76" s="2647"/>
      <c r="W76" s="1923"/>
      <c r="X76" s="2647"/>
      <c r="Y76" s="2598"/>
      <c r="Z76" s="1923"/>
      <c r="AA76" s="1923" t="s">
        <v>14</v>
      </c>
      <c r="AB76" s="2598"/>
      <c r="AC76" s="1923"/>
      <c r="AD76" s="3357"/>
      <c r="AE76" s="2585"/>
      <c r="AF76" s="2599"/>
      <c r="AG76" s="2600"/>
      <c r="AH76" s="1424"/>
      <c r="AI76" s="1427"/>
    </row>
    <row r="77" spans="1:38" ht="15">
      <c r="A77" s="1427"/>
      <c r="B77" s="1427"/>
      <c r="C77" s="1427"/>
      <c r="D77" s="2584"/>
      <c r="E77" s="1427"/>
      <c r="F77" s="2600"/>
      <c r="G77" s="1427"/>
      <c r="H77" s="1424"/>
      <c r="I77" s="1427"/>
      <c r="J77" s="1424"/>
      <c r="K77" s="1427"/>
      <c r="L77" s="2649"/>
      <c r="M77" s="1427"/>
      <c r="N77" s="1424"/>
      <c r="O77" s="1427"/>
      <c r="P77" s="1424"/>
      <c r="Q77" s="1427"/>
      <c r="R77" s="1424"/>
      <c r="S77" s="1427"/>
      <c r="T77" s="2600"/>
      <c r="U77" s="1923"/>
      <c r="V77" s="2600"/>
      <c r="W77" s="1923"/>
      <c r="X77" s="2600"/>
      <c r="Y77" s="2597"/>
      <c r="Z77" s="1427"/>
      <c r="AA77" s="1923"/>
      <c r="AB77" s="2598"/>
      <c r="AC77" s="1923"/>
      <c r="AD77" s="2521"/>
      <c r="AE77" s="2588"/>
      <c r="AF77" s="2599"/>
      <c r="AG77" s="2600"/>
      <c r="AH77" s="1424"/>
      <c r="AI77" s="1427"/>
    </row>
    <row r="78" spans="1:38" ht="19.5" customHeight="1" thickBot="1">
      <c r="A78" s="2389" t="s">
        <v>139</v>
      </c>
      <c r="B78" s="2650">
        <f>ROUND(SUM(B12+B75),1)</f>
        <v>265.89999999999998</v>
      </c>
      <c r="C78" s="2369"/>
      <c r="D78" s="2650">
        <f>ROUND(SUM(D12+D75),1)</f>
        <v>320.2</v>
      </c>
      <c r="E78" s="2369"/>
      <c r="F78" s="2650">
        <f>ROUND(SUM(F12+F75),1)</f>
        <v>0</v>
      </c>
      <c r="G78" s="2369"/>
      <c r="H78" s="2650">
        <f>ROUND(SUM(H12+H75),1)</f>
        <v>0</v>
      </c>
      <c r="I78" s="2369"/>
      <c r="J78" s="2650">
        <f>ROUND(SUM(J12+J75),1)</f>
        <v>0</v>
      </c>
      <c r="K78" s="2369"/>
      <c r="L78" s="2650">
        <f>ROUND(SUM(L12+L75),1)</f>
        <v>0</v>
      </c>
      <c r="M78" s="2369"/>
      <c r="N78" s="2650">
        <f>ROUND(SUM(N12+N75),1)</f>
        <v>0</v>
      </c>
      <c r="O78" s="2369"/>
      <c r="P78" s="2650">
        <f>ROUND(SUM(P12+P75),1)</f>
        <v>0</v>
      </c>
      <c r="Q78" s="2369"/>
      <c r="R78" s="2650">
        <f>ROUND(SUM(R12+R75),1)</f>
        <v>0</v>
      </c>
      <c r="S78" s="2369"/>
      <c r="T78" s="2650">
        <f>ROUND(SUM(T12+T75),1)</f>
        <v>0</v>
      </c>
      <c r="U78" s="2369"/>
      <c r="V78" s="2650">
        <f>ROUND(SUM(V12+V75),1)</f>
        <v>0</v>
      </c>
      <c r="W78" s="2369"/>
      <c r="X78" s="2650">
        <f>ROUND(SUM(X12+X75),1)</f>
        <v>0</v>
      </c>
      <c r="Y78" s="2592"/>
      <c r="Z78" s="2369"/>
      <c r="AA78" s="2650">
        <f>ROUND(SUM(AA12+AA75),1)</f>
        <v>320.2</v>
      </c>
      <c r="AB78" s="2592"/>
      <c r="AC78" s="2369"/>
      <c r="AD78" s="2650">
        <f>ROUND(SUM(AD12+AD75),1)</f>
        <v>302.89999999999998</v>
      </c>
      <c r="AE78" s="2651"/>
      <c r="AF78" s="2594"/>
      <c r="AG78" s="2650">
        <f>ROUND(SUM(+AG12+AG75),1)</f>
        <v>17.3</v>
      </c>
      <c r="AH78" s="2572"/>
      <c r="AI78" s="2255">
        <f>ROUND(IF(AD78=0,0,AG78/ABS(AD78)),3)</f>
        <v>5.7000000000000002E-2</v>
      </c>
      <c r="AJ78" s="2652"/>
      <c r="AK78" s="2616"/>
      <c r="AL78" s="2616"/>
    </row>
    <row r="79" spans="1:38" ht="14.25" customHeight="1" thickTop="1">
      <c r="A79" s="2616"/>
      <c r="B79" s="2653"/>
      <c r="C79" s="2654"/>
      <c r="D79" s="2653"/>
      <c r="F79" s="2653"/>
      <c r="H79" s="2655"/>
      <c r="J79" s="2655"/>
      <c r="L79" s="2655"/>
      <c r="N79" s="2655"/>
      <c r="P79" s="2655"/>
      <c r="R79" s="2655"/>
      <c r="T79" s="2655"/>
      <c r="U79" s="2562"/>
      <c r="V79" s="2655"/>
      <c r="W79" s="2562"/>
      <c r="X79" s="2655"/>
      <c r="Y79" s="2653"/>
      <c r="Z79" s="2654"/>
      <c r="AA79" s="2653"/>
      <c r="AB79" s="2653"/>
      <c r="AC79" s="2654"/>
      <c r="AD79" s="2653"/>
      <c r="AE79" s="2656"/>
      <c r="AF79" s="2653"/>
      <c r="AG79" s="2653"/>
      <c r="AH79" s="2657"/>
      <c r="AI79" s="2658"/>
    </row>
    <row r="80" spans="1:38">
      <c r="L80" s="2562"/>
      <c r="T80" s="2659"/>
      <c r="U80" s="2659"/>
      <c r="V80" s="2659"/>
      <c r="W80" s="2659"/>
      <c r="X80" s="2659"/>
      <c r="AD80" s="2660"/>
    </row>
    <row r="81" spans="1:35" ht="12" customHeight="1">
      <c r="A81" s="1427"/>
      <c r="L81" s="2562"/>
      <c r="R81" s="2661"/>
      <c r="T81" s="2654"/>
      <c r="V81" s="2654"/>
      <c r="X81" s="2654"/>
    </row>
    <row r="82" spans="1:35">
      <c r="B82" s="2660"/>
      <c r="L82" s="2562"/>
      <c r="R82" s="2661"/>
      <c r="T82" s="2654"/>
      <c r="V82" s="2654"/>
      <c r="X82" s="2654"/>
    </row>
    <row r="83" spans="1:35">
      <c r="A83" s="2662"/>
      <c r="L83" s="2562"/>
    </row>
    <row r="84" spans="1:35">
      <c r="A84" s="2663"/>
      <c r="B84" s="2660"/>
      <c r="L84" s="2562"/>
      <c r="R84" s="2664"/>
    </row>
    <row r="85" spans="1:35">
      <c r="A85" s="2665"/>
      <c r="B85" s="2660"/>
      <c r="L85" s="2562"/>
    </row>
    <row r="86" spans="1:35">
      <c r="A86" s="2666"/>
      <c r="L86" s="2562"/>
      <c r="AI86" s="2654"/>
    </row>
    <row r="87" spans="1:35">
      <c r="L87" s="2562"/>
    </row>
    <row r="88" spans="1:35">
      <c r="L88" s="2562"/>
    </row>
    <row r="89" spans="1:35">
      <c r="L89" s="2562"/>
    </row>
    <row r="90" spans="1:35">
      <c r="L90" s="2562"/>
    </row>
    <row r="91" spans="1:35">
      <c r="L91" s="2562"/>
    </row>
    <row r="92" spans="1:35">
      <c r="L92" s="2562"/>
    </row>
    <row r="93" spans="1:35">
      <c r="L93" s="2562"/>
    </row>
    <row r="94" spans="1:35">
      <c r="L94" s="2562"/>
    </row>
    <row r="95" spans="1:35">
      <c r="L95" s="2562"/>
    </row>
    <row r="96" spans="1:35">
      <c r="L96" s="2562"/>
    </row>
    <row r="97" spans="12:12">
      <c r="L97" s="2562"/>
    </row>
    <row r="98" spans="12:12">
      <c r="L98" s="2562"/>
    </row>
    <row r="99" spans="12:12">
      <c r="L99" s="2562"/>
    </row>
    <row r="100" spans="12:12">
      <c r="L100" s="2562"/>
    </row>
    <row r="101" spans="12:12">
      <c r="L101" s="2562"/>
    </row>
    <row r="102" spans="12:12">
      <c r="L102" s="2562"/>
    </row>
    <row r="103" spans="12:12">
      <c r="L103" s="2562"/>
    </row>
    <row r="104" spans="12:12">
      <c r="L104" s="2562"/>
    </row>
    <row r="105" spans="12:12">
      <c r="L105" s="2562"/>
    </row>
    <row r="106" spans="12:12">
      <c r="L106" s="2562"/>
    </row>
    <row r="107" spans="12:12">
      <c r="L107" s="2562"/>
    </row>
    <row r="108" spans="12:12">
      <c r="L108" s="2562"/>
    </row>
    <row r="109" spans="12:12">
      <c r="L109" s="2562"/>
    </row>
    <row r="110" spans="12:12">
      <c r="L110" s="2562"/>
    </row>
    <row r="111" spans="12:12">
      <c r="L111" s="2562"/>
    </row>
    <row r="112" spans="12:12">
      <c r="L112" s="2562"/>
    </row>
    <row r="113" spans="12:12">
      <c r="L113" s="2562"/>
    </row>
    <row r="114" spans="12:12">
      <c r="L114" s="2562"/>
    </row>
    <row r="115" spans="12:12">
      <c r="L115" s="2562"/>
    </row>
    <row r="116" spans="12:12">
      <c r="L116" s="2562"/>
    </row>
    <row r="117" spans="12:12">
      <c r="L117" s="2562"/>
    </row>
    <row r="118" spans="12:12">
      <c r="L118" s="2562"/>
    </row>
    <row r="119" spans="12:12">
      <c r="L119" s="2562"/>
    </row>
    <row r="120" spans="12:12">
      <c r="L120" s="2562"/>
    </row>
    <row r="121" spans="12:12">
      <c r="L121" s="2562"/>
    </row>
    <row r="122" spans="12:12">
      <c r="L122" s="2562"/>
    </row>
    <row r="123" spans="12:12">
      <c r="L123" s="2562"/>
    </row>
    <row r="124" spans="12:12">
      <c r="L124" s="2562"/>
    </row>
    <row r="125" spans="12:12">
      <c r="L125" s="2562"/>
    </row>
    <row r="126" spans="12:12">
      <c r="L126" s="2562"/>
    </row>
    <row r="127" spans="12:12">
      <c r="L127" s="2562"/>
    </row>
    <row r="128" spans="12:12">
      <c r="L128" s="2562"/>
    </row>
    <row r="129" spans="12:12">
      <c r="L129" s="2562"/>
    </row>
    <row r="130" spans="12:12">
      <c r="L130" s="2562"/>
    </row>
    <row r="131" spans="12:12">
      <c r="L131" s="2562"/>
    </row>
    <row r="132" spans="12:12">
      <c r="L132" s="2562"/>
    </row>
    <row r="133" spans="12:12">
      <c r="L133" s="2562"/>
    </row>
    <row r="134" spans="12:12">
      <c r="L134" s="2562"/>
    </row>
    <row r="135" spans="12:12">
      <c r="L135" s="2562"/>
    </row>
    <row r="136" spans="12:12">
      <c r="L136" s="2562"/>
    </row>
    <row r="137" spans="12:12">
      <c r="L137" s="2562"/>
    </row>
    <row r="138" spans="12:12">
      <c r="L138" s="2562"/>
    </row>
    <row r="139" spans="12:12">
      <c r="L139" s="2562"/>
    </row>
    <row r="140" spans="12:12">
      <c r="L140" s="2562"/>
    </row>
    <row r="141" spans="12:12">
      <c r="L141" s="2562"/>
    </row>
    <row r="142" spans="12:12">
      <c r="L142" s="2562"/>
    </row>
    <row r="143" spans="12:12">
      <c r="L143" s="2562"/>
    </row>
    <row r="144" spans="12:12">
      <c r="L144" s="2562"/>
    </row>
    <row r="145" spans="12:12">
      <c r="L145" s="2562"/>
    </row>
    <row r="146" spans="12:12">
      <c r="L146" s="2562"/>
    </row>
    <row r="147" spans="12:12">
      <c r="L147" s="2562"/>
    </row>
    <row r="148" spans="12:12">
      <c r="L148" s="2562"/>
    </row>
    <row r="149" spans="12:12">
      <c r="L149" s="2562"/>
    </row>
    <row r="150" spans="12:12">
      <c r="L150" s="2562"/>
    </row>
    <row r="151" spans="12:12">
      <c r="L151" s="2562"/>
    </row>
    <row r="152" spans="12:12">
      <c r="L152" s="2562"/>
    </row>
    <row r="153" spans="12:12">
      <c r="L153" s="2562"/>
    </row>
    <row r="154" spans="12:12">
      <c r="L154" s="2562"/>
    </row>
    <row r="155" spans="12:12">
      <c r="L155" s="2562"/>
    </row>
    <row r="156" spans="12:12">
      <c r="L156" s="2562"/>
    </row>
    <row r="157" spans="12:12">
      <c r="L157" s="2562"/>
    </row>
    <row r="158" spans="12:12">
      <c r="L158" s="2562"/>
    </row>
    <row r="159" spans="12:12">
      <c r="L159" s="2562"/>
    </row>
    <row r="160" spans="12:12">
      <c r="L160" s="2562"/>
    </row>
    <row r="161" spans="12:12">
      <c r="L161" s="2562"/>
    </row>
    <row r="162" spans="12:12">
      <c r="L162" s="2562"/>
    </row>
    <row r="163" spans="12:12">
      <c r="L163" s="2562"/>
    </row>
    <row r="164" spans="12:12">
      <c r="L164" s="2562"/>
    </row>
    <row r="165" spans="12:12">
      <c r="L165" s="2562"/>
    </row>
    <row r="166" spans="12:12">
      <c r="L166" s="2562"/>
    </row>
    <row r="167" spans="12:12">
      <c r="L167" s="2562"/>
    </row>
    <row r="168" spans="12:12">
      <c r="L168" s="2562"/>
    </row>
    <row r="169" spans="12:12">
      <c r="L169" s="2562"/>
    </row>
    <row r="170" spans="12:12">
      <c r="L170" s="2562"/>
    </row>
    <row r="171" spans="12:12">
      <c r="L171" s="2562"/>
    </row>
    <row r="172" spans="12:12">
      <c r="L172" s="2562"/>
    </row>
    <row r="173" spans="12:12">
      <c r="L173" s="2562"/>
    </row>
    <row r="174" spans="12:12">
      <c r="L174" s="2562"/>
    </row>
    <row r="175" spans="12:12">
      <c r="L175" s="2562"/>
    </row>
    <row r="176" spans="12:12">
      <c r="L176" s="2562"/>
    </row>
    <row r="177" spans="12:12">
      <c r="L177" s="2562"/>
    </row>
    <row r="178" spans="12:12">
      <c r="L178" s="2562"/>
    </row>
    <row r="179" spans="12:12">
      <c r="L179" s="2562"/>
    </row>
    <row r="180" spans="12:12">
      <c r="L180" s="2562"/>
    </row>
    <row r="181" spans="12:12">
      <c r="L181" s="2562"/>
    </row>
    <row r="182" spans="12:12">
      <c r="L182" s="2562"/>
    </row>
    <row r="183" spans="12:12">
      <c r="L183" s="2562"/>
    </row>
    <row r="184" spans="12:12">
      <c r="L184" s="2562"/>
    </row>
    <row r="185" spans="12:12">
      <c r="L185" s="2562"/>
    </row>
    <row r="186" spans="12:12">
      <c r="L186" s="2562"/>
    </row>
    <row r="187" spans="12:12">
      <c r="L187" s="2562"/>
    </row>
    <row r="188" spans="12:12">
      <c r="L188" s="2562"/>
    </row>
    <row r="189" spans="12:12">
      <c r="L189" s="2562"/>
    </row>
    <row r="190" spans="12:12">
      <c r="L190" s="2562"/>
    </row>
    <row r="191" spans="12:12">
      <c r="L191" s="2562"/>
    </row>
    <row r="192" spans="12:12">
      <c r="L192" s="2562"/>
    </row>
    <row r="193" spans="12:12">
      <c r="L193" s="2562"/>
    </row>
    <row r="194" spans="12:12">
      <c r="L194" s="2562"/>
    </row>
    <row r="195" spans="12:12">
      <c r="L195" s="2562"/>
    </row>
    <row r="196" spans="12:12">
      <c r="L196" s="2562"/>
    </row>
    <row r="197" spans="12:12">
      <c r="L197" s="2562"/>
    </row>
    <row r="198" spans="12:12">
      <c r="L198" s="2562"/>
    </row>
    <row r="199" spans="12:12">
      <c r="L199" s="2562"/>
    </row>
    <row r="200" spans="12:12">
      <c r="L200" s="2562"/>
    </row>
    <row r="201" spans="12:12">
      <c r="L201" s="2562"/>
    </row>
    <row r="202" spans="12:12">
      <c r="L202" s="2562"/>
    </row>
    <row r="203" spans="12:12">
      <c r="L203" s="2562"/>
    </row>
    <row r="204" spans="12:12">
      <c r="L204" s="2562"/>
    </row>
    <row r="205" spans="12:12">
      <c r="L205" s="2562"/>
    </row>
    <row r="206" spans="12:12">
      <c r="L206" s="2562"/>
    </row>
    <row r="207" spans="12:12">
      <c r="L207" s="2562"/>
    </row>
    <row r="208" spans="12:12">
      <c r="L208" s="2562"/>
    </row>
    <row r="209" spans="12:12">
      <c r="L209" s="2562"/>
    </row>
    <row r="210" spans="12:12">
      <c r="L210" s="2562"/>
    </row>
    <row r="211" spans="12:12">
      <c r="L211" s="2562"/>
    </row>
    <row r="212" spans="12:12">
      <c r="L212" s="2562"/>
    </row>
    <row r="213" spans="12:12">
      <c r="L213" s="2562"/>
    </row>
    <row r="214" spans="12:12">
      <c r="L214" s="2562"/>
    </row>
    <row r="215" spans="12:12">
      <c r="L215" s="2562"/>
    </row>
    <row r="216" spans="12:12">
      <c r="L216" s="2562"/>
    </row>
    <row r="217" spans="12:12">
      <c r="L217" s="2562"/>
    </row>
    <row r="218" spans="12:12">
      <c r="L218" s="2562"/>
    </row>
    <row r="219" spans="12:12">
      <c r="L219" s="2562"/>
    </row>
    <row r="220" spans="12:12">
      <c r="L220" s="2562"/>
    </row>
    <row r="221" spans="12:12">
      <c r="L221" s="2562"/>
    </row>
    <row r="222" spans="12:12">
      <c r="L222" s="2562"/>
    </row>
    <row r="223" spans="12:12">
      <c r="L223" s="2562"/>
    </row>
    <row r="224" spans="12:12">
      <c r="L224" s="2562"/>
    </row>
    <row r="225" spans="12:12">
      <c r="L225" s="2562"/>
    </row>
    <row r="226" spans="12:12">
      <c r="L226" s="2562"/>
    </row>
    <row r="227" spans="12:12">
      <c r="L227" s="2562"/>
    </row>
    <row r="228" spans="12:12">
      <c r="L228" s="2562"/>
    </row>
    <row r="229" spans="12:12">
      <c r="L229" s="2562"/>
    </row>
    <row r="230" spans="12:12">
      <c r="L230" s="2562"/>
    </row>
    <row r="231" spans="12:12">
      <c r="L231" s="2562"/>
    </row>
    <row r="232" spans="12:12">
      <c r="L232" s="2562"/>
    </row>
    <row r="233" spans="12:12">
      <c r="L233" s="2562"/>
    </row>
    <row r="234" spans="12:12">
      <c r="L234" s="2562"/>
    </row>
    <row r="235" spans="12:12">
      <c r="L235" s="2562"/>
    </row>
    <row r="236" spans="12:12">
      <c r="L236" s="2562"/>
    </row>
    <row r="237" spans="12:12">
      <c r="L237" s="2562"/>
    </row>
    <row r="238" spans="12:12">
      <c r="L238" s="2562"/>
    </row>
    <row r="239" spans="12:12">
      <c r="L239" s="2562"/>
    </row>
    <row r="240" spans="12:12">
      <c r="L240" s="2562"/>
    </row>
    <row r="241" spans="12:12">
      <c r="L241" s="2562"/>
    </row>
    <row r="242" spans="12:12">
      <c r="L242" s="2562"/>
    </row>
    <row r="243" spans="12:12">
      <c r="L243" s="2562"/>
    </row>
    <row r="244" spans="12:12">
      <c r="L244" s="2562"/>
    </row>
    <row r="245" spans="12:12">
      <c r="L245" s="2562"/>
    </row>
    <row r="246" spans="12:12">
      <c r="L246" s="2562"/>
    </row>
    <row r="247" spans="12:12">
      <c r="L247" s="2562"/>
    </row>
    <row r="248" spans="12:12">
      <c r="L248" s="2562"/>
    </row>
    <row r="249" spans="12:12">
      <c r="L249" s="2562"/>
    </row>
    <row r="250" spans="12:12">
      <c r="L250" s="2562"/>
    </row>
    <row r="251" spans="12:12">
      <c r="L251" s="2562"/>
    </row>
    <row r="252" spans="12:12">
      <c r="L252" s="2562"/>
    </row>
    <row r="253" spans="12:12">
      <c r="L253" s="2562"/>
    </row>
    <row r="254" spans="12:12">
      <c r="L254" s="2562"/>
    </row>
    <row r="255" spans="12:12">
      <c r="L255" s="2562"/>
    </row>
    <row r="256" spans="12:12">
      <c r="L256" s="2562"/>
    </row>
    <row r="257" spans="12:12">
      <c r="L257" s="2562"/>
    </row>
    <row r="258" spans="12:12">
      <c r="L258" s="2562"/>
    </row>
    <row r="259" spans="12:12">
      <c r="L259" s="2562"/>
    </row>
    <row r="260" spans="12:12">
      <c r="L260" s="2562"/>
    </row>
    <row r="261" spans="12:12">
      <c r="L261" s="2562"/>
    </row>
    <row r="262" spans="12:12">
      <c r="L262" s="2562"/>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ignoredErrors>
    <ignoredError sqref="AJ41 AI18 AJ45:AJ46 AJ47 AI76:AI78 AI24 AI28 AI55:AI57 AI73:AI74 AI72 AI66 AI63:AI64 AI61 AI59 AI70 AI71 AI60 AI62 AI65 AI68:AI69 AI51 AI53 AI54 AI50 AI67" unlockedFormula="1"/>
    <ignoredError sqref="I50 K50" formulaRange="1"/>
    <ignoredError sqref="AI47 AI45 AI46" formula="1" unlockedFormula="1"/>
    <ignoredError sqref="AI26"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5" workbookViewId="0"/>
  </sheetViews>
  <sheetFormatPr defaultColWidth="8.6640625" defaultRowHeight="15"/>
  <cols>
    <col min="1" max="1" width="2.5546875" style="95" customWidth="1"/>
    <col min="2" max="2" width="15.6640625" style="95" customWidth="1"/>
    <col min="3" max="3" width="25.109375" style="95" customWidth="1"/>
    <col min="4" max="4" width="2" style="95" customWidth="1"/>
    <col min="5" max="5" width="12.5546875" style="95" customWidth="1"/>
    <col min="6" max="6" width="1.6640625" style="95" customWidth="1"/>
    <col min="7" max="7" width="10.6640625" style="95" customWidth="1"/>
    <col min="8" max="8" width="1.6640625" style="95" customWidth="1"/>
    <col min="9" max="9" width="10.6640625" style="95" customWidth="1"/>
    <col min="10" max="10" width="1.6640625" style="95" customWidth="1"/>
    <col min="11" max="11" width="10" style="95" customWidth="1"/>
    <col min="12" max="12" width="1.109375" style="95" customWidth="1"/>
    <col min="13" max="13" width="10.5546875" style="95" customWidth="1"/>
    <col min="14" max="14" width="1.6640625" style="95" customWidth="1"/>
    <col min="15" max="15" width="12.44140625" style="95" customWidth="1"/>
    <col min="16" max="16" width="1.6640625" style="95" customWidth="1"/>
    <col min="17" max="17" width="12.109375" style="95" customWidth="1"/>
    <col min="18" max="18" width="1.6640625" style="95" customWidth="1"/>
    <col min="19" max="19" width="12.109375" style="95" customWidth="1"/>
    <col min="20" max="20" width="1.6640625" style="95" customWidth="1"/>
    <col min="21" max="21" width="10.6640625" style="95" customWidth="1"/>
    <col min="22" max="22" width="1.6640625" style="95" customWidth="1"/>
    <col min="23" max="23" width="13.6640625" style="95" customWidth="1"/>
    <col min="24" max="24" width="1.6640625" style="95" customWidth="1"/>
    <col min="25" max="25" width="12.6640625" style="95" customWidth="1"/>
    <col min="26" max="26" width="1.6640625" style="95" customWidth="1"/>
    <col min="27" max="27" width="11.6640625" style="95" bestFit="1" customWidth="1"/>
    <col min="28" max="28" width="1.44140625" style="95" customWidth="1"/>
    <col min="29" max="29" width="11.109375" style="95" customWidth="1"/>
    <col min="30" max="31" width="1.6640625" style="95" customWidth="1"/>
    <col min="32" max="32" width="12.6640625" style="95" customWidth="1"/>
    <col min="33" max="34" width="1.109375" style="95" customWidth="1"/>
    <col min="35" max="35" width="12.6640625" style="1067" customWidth="1"/>
    <col min="36" max="37" width="1" style="95" customWidth="1"/>
    <col min="38" max="38" width="13.109375" style="95" bestFit="1" customWidth="1"/>
    <col min="39" max="39" width="1.109375" style="95" customWidth="1"/>
    <col min="40" max="40" width="12.109375" style="95" customWidth="1"/>
    <col min="41" max="16384" width="8.6640625" style="95"/>
  </cols>
  <sheetData>
    <row r="1" spans="1:42">
      <c r="B1" s="625" t="s">
        <v>870</v>
      </c>
    </row>
    <row r="2" spans="1:42">
      <c r="B2" s="803"/>
    </row>
    <row r="3" spans="1:42" ht="19.5" customHeight="1">
      <c r="A3" s="308"/>
      <c r="B3" s="314" t="s">
        <v>0</v>
      </c>
      <c r="C3" s="309"/>
      <c r="D3" s="309"/>
      <c r="E3" s="309"/>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310"/>
      <c r="AF3" s="310"/>
      <c r="AG3" s="310"/>
      <c r="AH3" s="310"/>
      <c r="AI3" s="1069"/>
      <c r="AJ3" s="310"/>
      <c r="AK3" s="310"/>
      <c r="AN3" s="383" t="s">
        <v>191</v>
      </c>
    </row>
    <row r="4" spans="1:42" ht="19.5" customHeight="1">
      <c r="A4" s="308"/>
      <c r="B4" s="314" t="s">
        <v>897</v>
      </c>
      <c r="C4" s="309"/>
      <c r="D4" s="309"/>
      <c r="E4" s="309"/>
      <c r="F4" s="310"/>
      <c r="G4" s="310"/>
      <c r="H4" s="310"/>
      <c r="I4" s="310"/>
      <c r="J4" s="310"/>
      <c r="K4" s="310"/>
      <c r="L4" s="310"/>
      <c r="M4" s="310"/>
      <c r="N4" s="310"/>
      <c r="O4" s="310"/>
      <c r="P4" s="310"/>
      <c r="Q4" s="310"/>
      <c r="R4" s="310"/>
      <c r="S4" s="310"/>
      <c r="T4" s="310"/>
      <c r="U4" s="310"/>
      <c r="V4" s="310"/>
      <c r="W4" s="310"/>
      <c r="X4" s="310"/>
      <c r="Y4" s="310"/>
      <c r="Z4" s="310"/>
      <c r="AA4" s="310"/>
      <c r="AB4" s="310"/>
      <c r="AC4" s="310"/>
      <c r="AD4" s="310"/>
      <c r="AE4" s="310"/>
      <c r="AG4" s="311"/>
      <c r="AH4" s="311"/>
    </row>
    <row r="5" spans="1:42" ht="19.5" customHeight="1">
      <c r="A5" s="308"/>
      <c r="B5" s="295" t="s">
        <v>145</v>
      </c>
      <c r="C5" s="309"/>
      <c r="D5" s="309"/>
      <c r="E5" s="309"/>
      <c r="F5" s="310"/>
      <c r="G5" s="310"/>
      <c r="H5" s="310"/>
      <c r="I5" s="310"/>
      <c r="J5" s="310"/>
      <c r="K5" s="310"/>
      <c r="L5" s="310"/>
      <c r="M5" s="310"/>
      <c r="N5" s="310"/>
      <c r="O5" s="310"/>
      <c r="P5" s="310"/>
      <c r="Q5" s="310"/>
      <c r="R5" s="310"/>
      <c r="S5" s="310" t="s">
        <v>14</v>
      </c>
      <c r="T5" s="310"/>
      <c r="U5" s="310" t="s">
        <v>14</v>
      </c>
      <c r="V5" s="310"/>
      <c r="W5" s="310"/>
      <c r="X5" s="310"/>
      <c r="Y5" s="310"/>
      <c r="Z5" s="310"/>
      <c r="AA5" s="310"/>
      <c r="AB5" s="310"/>
      <c r="AC5" s="310"/>
      <c r="AD5" s="310"/>
      <c r="AE5" s="310"/>
      <c r="AF5" s="310"/>
      <c r="AG5" s="310"/>
      <c r="AH5" s="310"/>
      <c r="AI5" s="1069"/>
      <c r="AJ5" s="310"/>
      <c r="AK5" s="310"/>
      <c r="AN5" s="263"/>
    </row>
    <row r="6" spans="1:42" ht="19.5" customHeight="1">
      <c r="A6" s="308"/>
      <c r="B6" s="1492" t="str">
        <f>'Cashflow Governmental'!A6</f>
        <v xml:space="preserve">FISCAL YEAR 2022-2023   </v>
      </c>
      <c r="C6" s="309"/>
      <c r="D6" s="309"/>
      <c r="E6" s="309"/>
      <c r="F6" s="310"/>
      <c r="G6" s="310"/>
      <c r="H6" s="312"/>
      <c r="I6" s="310"/>
      <c r="J6" s="310"/>
      <c r="K6" s="310"/>
      <c r="L6" s="310"/>
      <c r="M6" s="310"/>
      <c r="N6" s="310"/>
      <c r="O6" s="310"/>
      <c r="P6" s="310"/>
      <c r="Q6" s="310"/>
      <c r="R6" s="310"/>
      <c r="S6" s="310" t="s">
        <v>14</v>
      </c>
      <c r="T6" s="310"/>
      <c r="U6" s="310"/>
      <c r="V6" s="310"/>
      <c r="W6" s="310"/>
      <c r="X6" s="310"/>
      <c r="Y6" s="310"/>
      <c r="Z6" s="310"/>
      <c r="AA6" s="310"/>
      <c r="AB6" s="310"/>
      <c r="AC6" s="310"/>
      <c r="AD6" s="310"/>
      <c r="AE6" s="310"/>
      <c r="AF6" s="310"/>
      <c r="AG6" s="313"/>
      <c r="AH6" s="313"/>
      <c r="AI6" s="1074"/>
      <c r="AJ6" s="313"/>
      <c r="AK6" s="313"/>
    </row>
    <row r="7" spans="1:42" ht="19.5" customHeight="1">
      <c r="A7" s="308"/>
      <c r="B7" s="314" t="s">
        <v>1254</v>
      </c>
      <c r="C7" s="309"/>
      <c r="D7" s="309"/>
      <c r="E7" s="309"/>
      <c r="F7" s="310"/>
      <c r="G7" s="310"/>
      <c r="H7" s="312"/>
      <c r="I7" s="310"/>
      <c r="J7" s="310"/>
      <c r="K7" s="310"/>
      <c r="L7" s="310"/>
      <c r="M7" s="310"/>
      <c r="N7" s="310"/>
      <c r="O7" s="310"/>
      <c r="P7" s="310"/>
      <c r="Q7" s="310"/>
      <c r="R7" s="310"/>
      <c r="S7" s="310" t="s">
        <v>14</v>
      </c>
      <c r="T7" s="310"/>
      <c r="U7" s="310"/>
      <c r="V7" s="310"/>
      <c r="W7" s="310"/>
      <c r="X7" s="310"/>
      <c r="Y7" s="310"/>
      <c r="Z7" s="310"/>
      <c r="AA7" s="310"/>
      <c r="AB7" s="310"/>
      <c r="AC7" s="310"/>
      <c r="AD7" s="310"/>
      <c r="AE7" s="310"/>
      <c r="AF7" s="310"/>
      <c r="AG7" s="313"/>
      <c r="AH7" s="313"/>
      <c r="AI7" s="1074"/>
      <c r="AJ7" s="313"/>
      <c r="AK7" s="313"/>
    </row>
    <row r="8" spans="1:42" ht="19.5" customHeight="1">
      <c r="A8" s="308"/>
      <c r="C8" s="309"/>
      <c r="D8" s="309"/>
      <c r="E8" s="309"/>
      <c r="F8" s="310"/>
      <c r="G8" s="310"/>
      <c r="H8" s="310"/>
      <c r="I8" s="310"/>
      <c r="J8" s="310"/>
      <c r="K8" s="310"/>
      <c r="L8" s="310"/>
      <c r="M8" s="310"/>
      <c r="N8" s="310"/>
      <c r="O8" s="310"/>
      <c r="P8" s="310"/>
      <c r="Q8" s="310"/>
      <c r="R8" s="310"/>
      <c r="S8" s="310" t="s">
        <v>14</v>
      </c>
      <c r="T8" s="310"/>
      <c r="U8" s="310"/>
      <c r="V8" s="310"/>
      <c r="W8" s="310"/>
      <c r="X8" s="310"/>
      <c r="Y8" s="310"/>
      <c r="Z8" s="310"/>
      <c r="AA8" s="310"/>
      <c r="AB8" s="310"/>
      <c r="AC8" s="310"/>
      <c r="AD8" s="310"/>
      <c r="AE8" s="315"/>
    </row>
    <row r="9" spans="1:42" ht="15.75" customHeight="1">
      <c r="A9" s="308"/>
      <c r="B9" s="314"/>
      <c r="C9" s="309"/>
      <c r="D9" s="309"/>
      <c r="E9" s="309"/>
      <c r="F9" s="310"/>
      <c r="G9" s="310"/>
      <c r="H9" s="310"/>
      <c r="I9" s="310"/>
      <c r="J9" s="310"/>
      <c r="K9" s="310"/>
      <c r="L9" s="310"/>
      <c r="M9" s="310"/>
      <c r="N9" s="310"/>
      <c r="O9" s="310"/>
      <c r="P9" s="310"/>
      <c r="Q9" s="310"/>
      <c r="R9" s="310"/>
      <c r="S9" s="310"/>
      <c r="T9" s="310"/>
      <c r="U9" s="310"/>
      <c r="V9" s="310"/>
      <c r="W9" s="310"/>
      <c r="X9" s="310"/>
      <c r="Y9" s="310"/>
      <c r="Z9" s="310"/>
      <c r="AA9" s="310"/>
      <c r="AB9" s="310"/>
      <c r="AC9" s="310"/>
      <c r="AD9" s="310"/>
      <c r="AE9" s="315"/>
    </row>
    <row r="10" spans="1:42" ht="15.75" customHeight="1">
      <c r="A10" s="308"/>
      <c r="B10" s="316"/>
      <c r="C10" s="309"/>
      <c r="D10" s="309"/>
      <c r="E10" s="309"/>
      <c r="F10" s="310"/>
      <c r="G10" s="310"/>
      <c r="H10" s="310"/>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5"/>
    </row>
    <row r="11" spans="1:42" ht="15.75" customHeight="1">
      <c r="A11" s="308"/>
      <c r="B11" s="316"/>
      <c r="C11" s="309"/>
      <c r="D11" s="309"/>
      <c r="E11" s="735"/>
      <c r="F11" s="736"/>
      <c r="G11" s="736"/>
      <c r="H11" s="736"/>
      <c r="I11" s="736"/>
      <c r="J11" s="736"/>
      <c r="K11" s="736"/>
      <c r="L11" s="736"/>
      <c r="M11" s="736"/>
      <c r="N11" s="736"/>
      <c r="O11" s="736"/>
      <c r="P11" s="736"/>
      <c r="Q11" s="736"/>
      <c r="R11" s="736"/>
      <c r="S11" s="736"/>
      <c r="T11" s="736"/>
      <c r="U11" s="736"/>
      <c r="V11" s="736"/>
      <c r="W11" s="736"/>
      <c r="X11" s="736"/>
      <c r="Y11" s="736"/>
      <c r="Z11" s="736"/>
      <c r="AA11" s="736"/>
      <c r="AB11" s="736"/>
      <c r="AC11" s="733" t="s">
        <v>1154</v>
      </c>
      <c r="AD11" s="736"/>
      <c r="AE11" s="737"/>
      <c r="AF11" s="3957" t="s">
        <v>1518</v>
      </c>
      <c r="AG11" s="3958"/>
      <c r="AH11" s="3958"/>
      <c r="AI11" s="3958"/>
      <c r="AJ11" s="3958"/>
      <c r="AK11" s="3958"/>
      <c r="AL11" s="3958"/>
      <c r="AM11" s="3958"/>
      <c r="AN11" s="3958"/>
    </row>
    <row r="12" spans="1:42" ht="15.75" customHeight="1">
      <c r="A12" s="317"/>
      <c r="B12" s="317"/>
      <c r="C12" s="317"/>
      <c r="D12" s="317"/>
      <c r="E12" s="725" t="str">
        <f>'Cashflow Governmental'!C13</f>
        <v>2022</v>
      </c>
      <c r="F12" s="738"/>
      <c r="G12" s="738"/>
      <c r="H12" s="738"/>
      <c r="I12" s="738"/>
      <c r="J12" s="738"/>
      <c r="K12" s="738"/>
      <c r="L12" s="738"/>
      <c r="M12" s="738"/>
      <c r="N12" s="738"/>
      <c r="O12" s="738"/>
      <c r="P12" s="738"/>
      <c r="Q12" s="738"/>
      <c r="R12" s="738"/>
      <c r="S12" s="738"/>
      <c r="T12" s="738"/>
      <c r="U12" s="738"/>
      <c r="V12" s="738"/>
      <c r="W12" s="725">
        <f>'Cashflow Governmental'!U13</f>
        <v>2023</v>
      </c>
      <c r="X12" s="738"/>
      <c r="Y12" s="738"/>
      <c r="Z12" s="738"/>
      <c r="AA12" s="738"/>
      <c r="AB12" s="738"/>
      <c r="AC12" s="733" t="s">
        <v>1155</v>
      </c>
      <c r="AD12" s="738"/>
      <c r="AE12" s="738"/>
      <c r="AF12" s="739"/>
      <c r="AG12" s="739"/>
      <c r="AH12" s="739"/>
      <c r="AI12" s="1076"/>
      <c r="AJ12" s="739"/>
      <c r="AK12" s="739"/>
      <c r="AL12" s="729" t="s">
        <v>7</v>
      </c>
      <c r="AM12" s="729"/>
      <c r="AN12" s="726" t="s">
        <v>8</v>
      </c>
      <c r="AO12" s="742"/>
    </row>
    <row r="13" spans="1:42" ht="15.75" customHeight="1">
      <c r="A13" s="28"/>
      <c r="B13" s="28"/>
      <c r="C13" s="28"/>
      <c r="D13" s="28"/>
      <c r="E13" s="1095" t="s">
        <v>122</v>
      </c>
      <c r="F13" s="248"/>
      <c r="G13" s="1095" t="s">
        <v>123</v>
      </c>
      <c r="H13" s="248"/>
      <c r="I13" s="1095" t="s">
        <v>124</v>
      </c>
      <c r="J13" s="248"/>
      <c r="K13" s="1095" t="s">
        <v>125</v>
      </c>
      <c r="L13" s="248"/>
      <c r="M13" s="1885" t="s">
        <v>126</v>
      </c>
      <c r="N13" s="248"/>
      <c r="O13" s="1095" t="s">
        <v>141</v>
      </c>
      <c r="P13" s="248"/>
      <c r="Q13" s="1095" t="s">
        <v>142</v>
      </c>
      <c r="R13" s="248"/>
      <c r="S13" s="1095" t="s">
        <v>129</v>
      </c>
      <c r="T13" s="248"/>
      <c r="U13" s="1095" t="s">
        <v>130</v>
      </c>
      <c r="V13" s="248"/>
      <c r="W13" s="1095" t="s">
        <v>131</v>
      </c>
      <c r="X13" s="248"/>
      <c r="Y13" s="1095" t="s">
        <v>132</v>
      </c>
      <c r="Z13" s="248"/>
      <c r="AA13" s="1095" t="s">
        <v>182</v>
      </c>
      <c r="AB13" s="733"/>
      <c r="AC13" s="1901" t="s">
        <v>1156</v>
      </c>
      <c r="AD13" s="248"/>
      <c r="AE13" s="248"/>
      <c r="AF13" s="1095">
        <f>'Cashflow Governmental'!AB14</f>
        <v>2022</v>
      </c>
      <c r="AG13" s="248"/>
      <c r="AH13" s="248"/>
      <c r="AI13" s="740">
        <f>'Cashflow Governmental'!AE14</f>
        <v>2021</v>
      </c>
      <c r="AJ13" s="741"/>
      <c r="AK13" s="741"/>
      <c r="AL13" s="734" t="s">
        <v>11</v>
      </c>
      <c r="AM13" s="728"/>
      <c r="AN13" s="734" t="s">
        <v>12</v>
      </c>
      <c r="AO13" s="1097"/>
      <c r="AP13" s="319"/>
    </row>
    <row r="14" spans="1:42" ht="6" customHeight="1">
      <c r="A14" s="28"/>
      <c r="B14" s="26"/>
      <c r="C14" s="26"/>
      <c r="D14" s="28"/>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111"/>
      <c r="AJ14" s="54"/>
      <c r="AK14" s="160"/>
      <c r="AL14" s="319"/>
      <c r="AM14" s="319"/>
      <c r="AN14" s="319"/>
      <c r="AO14" s="319"/>
    </row>
    <row r="15" spans="1:42" ht="15.75" customHeight="1">
      <c r="A15" s="28"/>
      <c r="B15" s="167" t="s">
        <v>1119</v>
      </c>
      <c r="C15" s="26"/>
      <c r="D15" s="28"/>
      <c r="E15" s="300">
        <f>'Exhibit I State'!E14+'Exhibit I Federal'!E14</f>
        <v>-1543.9</v>
      </c>
      <c r="F15" s="88"/>
      <c r="G15" s="88">
        <f>E103</f>
        <v>-1643.7</v>
      </c>
      <c r="H15" s="88"/>
      <c r="I15" s="88"/>
      <c r="J15" s="88"/>
      <c r="K15" s="88"/>
      <c r="L15" s="88"/>
      <c r="M15" s="88"/>
      <c r="N15" s="88"/>
      <c r="O15" s="88"/>
      <c r="P15" s="88"/>
      <c r="Q15" s="88"/>
      <c r="R15" s="88"/>
      <c r="S15" s="88"/>
      <c r="T15" s="88"/>
      <c r="U15" s="88"/>
      <c r="V15" s="88"/>
      <c r="W15" s="88"/>
      <c r="X15" s="88"/>
      <c r="Y15" s="88"/>
      <c r="Z15" s="88"/>
      <c r="AA15" s="88"/>
      <c r="AB15" s="88"/>
      <c r="AC15" s="88">
        <v>0</v>
      </c>
      <c r="AD15" s="88"/>
      <c r="AE15" s="89"/>
      <c r="AF15" s="129">
        <f>E15</f>
        <v>-1543.9</v>
      </c>
      <c r="AG15" s="212"/>
      <c r="AH15" s="213"/>
      <c r="AI15" s="3347">
        <f>'Exhibit I State'!AG14+'Exhibit I Federal'!AG14</f>
        <v>-1144</v>
      </c>
      <c r="AJ15" s="88"/>
      <c r="AK15" s="321"/>
      <c r="AL15" s="320">
        <f>+AF15-AI15</f>
        <v>-399.90000000000009</v>
      </c>
      <c r="AM15" s="322"/>
      <c r="AN15" s="1399">
        <f>ROUND(IF(AI15=0,0,-AL15/(AI15)),3)</f>
        <v>-0.35</v>
      </c>
      <c r="AO15" s="324"/>
    </row>
    <row r="16" spans="1:42" ht="15.75" customHeight="1">
      <c r="A16" s="28"/>
      <c r="B16" s="26"/>
      <c r="C16" s="26"/>
      <c r="D16" s="28"/>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246"/>
      <c r="AF16" s="159"/>
      <c r="AG16" s="254"/>
      <c r="AH16" s="54"/>
      <c r="AI16" s="134"/>
      <c r="AJ16" s="159"/>
      <c r="AK16" s="318"/>
      <c r="AL16" s="319"/>
      <c r="AM16" s="319"/>
      <c r="AN16" s="319"/>
    </row>
    <row r="17" spans="1:46" ht="15.75">
      <c r="A17" s="28"/>
      <c r="B17" s="26" t="s">
        <v>192</v>
      </c>
      <c r="C17" s="28"/>
      <c r="D17" s="28"/>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246"/>
      <c r="AF17" s="134"/>
      <c r="AG17" s="254"/>
      <c r="AH17" s="54"/>
      <c r="AI17" s="134"/>
      <c r="AJ17" s="159"/>
      <c r="AK17" s="318"/>
      <c r="AL17" s="319"/>
      <c r="AM17" s="319"/>
      <c r="AN17" s="319"/>
    </row>
    <row r="18" spans="1:46" ht="15.75">
      <c r="A18" s="28"/>
      <c r="B18" s="255" t="s">
        <v>980</v>
      </c>
      <c r="C18" s="28"/>
      <c r="D18" s="28"/>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246"/>
      <c r="AF18" s="134"/>
      <c r="AG18" s="1041"/>
      <c r="AH18" s="54"/>
      <c r="AI18" s="134"/>
      <c r="AJ18" s="159"/>
      <c r="AK18" s="318"/>
      <c r="AL18" s="319"/>
      <c r="AM18" s="319"/>
      <c r="AN18" s="319"/>
    </row>
    <row r="19" spans="1:46" ht="15.75">
      <c r="A19" s="28"/>
      <c r="B19" s="1028" t="s">
        <v>1039</v>
      </c>
      <c r="C19" s="28"/>
      <c r="D19" s="28"/>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246"/>
      <c r="AF19" s="134"/>
      <c r="AG19" s="1041"/>
      <c r="AH19" s="54"/>
      <c r="AI19" s="134"/>
      <c r="AJ19" s="159"/>
      <c r="AK19" s="318"/>
      <c r="AL19" s="319"/>
      <c r="AM19" s="319"/>
      <c r="AN19" s="319"/>
    </row>
    <row r="20" spans="1:46">
      <c r="A20" s="28"/>
      <c r="B20" s="651" t="s">
        <v>996</v>
      </c>
      <c r="C20" s="28"/>
      <c r="D20" s="28"/>
      <c r="E20" s="1337">
        <f>+'Exhibit I State'!E19</f>
        <v>9.4</v>
      </c>
      <c r="F20" s="1391"/>
      <c r="G20" s="1337">
        <f>+'Exhibit I State'!G19</f>
        <v>9.9999999999999645E-2</v>
      </c>
      <c r="H20" s="1391"/>
      <c r="I20" s="1337"/>
      <c r="J20" s="1411"/>
      <c r="K20" s="1337"/>
      <c r="L20" s="1427"/>
      <c r="M20" s="1337"/>
      <c r="N20" s="1427"/>
      <c r="O20" s="1337"/>
      <c r="P20" s="296"/>
      <c r="Q20" s="1337"/>
      <c r="R20" s="296"/>
      <c r="S20" s="1337"/>
      <c r="T20" s="296"/>
      <c r="U20" s="1337"/>
      <c r="V20" s="296"/>
      <c r="W20" s="1337"/>
      <c r="X20" s="296"/>
      <c r="Y20" s="1337"/>
      <c r="Z20" s="296"/>
      <c r="AA20" s="1337"/>
      <c r="AB20" s="1337"/>
      <c r="AC20" s="1337">
        <v>0</v>
      </c>
      <c r="AD20" s="1029"/>
      <c r="AE20" s="296"/>
      <c r="AF20" s="112">
        <f>ROUND(SUM(E20:AC20),1)</f>
        <v>9.5</v>
      </c>
      <c r="AG20" s="1030"/>
      <c r="AH20" s="297"/>
      <c r="AI20" s="3348">
        <f>+'Exhibit I State'!AG19</f>
        <v>2.1</v>
      </c>
      <c r="AJ20" s="298"/>
      <c r="AK20" s="302"/>
      <c r="AL20" s="305">
        <f>ROUND(SUM(AF20-AI20),1)</f>
        <v>7.4</v>
      </c>
      <c r="AM20" s="299"/>
      <c r="AN20" s="1443">
        <f>ROUND(IF(AI20=0,0,AL20/ABS(AI20)),3)</f>
        <v>3.524</v>
      </c>
      <c r="AO20" s="534"/>
    </row>
    <row r="21" spans="1:46">
      <c r="A21" s="28"/>
      <c r="B21" s="651" t="s">
        <v>998</v>
      </c>
      <c r="C21" s="28"/>
      <c r="D21" s="28"/>
      <c r="E21" s="1337">
        <f>+'Exhibit I State'!E20</f>
        <v>21.5</v>
      </c>
      <c r="F21" s="1391"/>
      <c r="G21" s="1337">
        <f>+'Exhibit I State'!G20</f>
        <v>29.5</v>
      </c>
      <c r="H21" s="1391"/>
      <c r="I21" s="1337"/>
      <c r="J21" s="1411"/>
      <c r="K21" s="1337"/>
      <c r="L21" s="1427"/>
      <c r="M21" s="1337"/>
      <c r="N21" s="1427"/>
      <c r="O21" s="1337"/>
      <c r="P21" s="296"/>
      <c r="Q21" s="1337"/>
      <c r="R21" s="296"/>
      <c r="S21" s="1337"/>
      <c r="T21" s="296"/>
      <c r="U21" s="1337"/>
      <c r="V21" s="296"/>
      <c r="W21" s="1337"/>
      <c r="X21" s="296"/>
      <c r="Y21" s="1337"/>
      <c r="Z21" s="296"/>
      <c r="AA21" s="1337"/>
      <c r="AB21" s="1337"/>
      <c r="AC21" s="1337">
        <v>0</v>
      </c>
      <c r="AD21" s="1029"/>
      <c r="AE21" s="296"/>
      <c r="AF21" s="112">
        <f>ROUND(SUM(E21:AC21),1)</f>
        <v>51</v>
      </c>
      <c r="AG21" s="1030"/>
      <c r="AH21" s="297"/>
      <c r="AI21" s="3348">
        <f>+'Exhibit I State'!AG20</f>
        <v>58.6</v>
      </c>
      <c r="AJ21" s="298"/>
      <c r="AK21" s="302"/>
      <c r="AL21" s="305">
        <f>ROUND(SUM(AF21-AI21),1)</f>
        <v>-7.6</v>
      </c>
      <c r="AM21" s="299"/>
      <c r="AN21" s="8">
        <f>ROUND(IF(AI21=0,0,AL21/ABS(AI21)),3)</f>
        <v>-0.13</v>
      </c>
      <c r="AO21" s="534"/>
    </row>
    <row r="22" spans="1:46">
      <c r="A22" s="28"/>
      <c r="B22" s="651" t="s">
        <v>1000</v>
      </c>
      <c r="C22" s="28"/>
      <c r="D22" s="28"/>
      <c r="E22" s="1337">
        <f>+'Exhibit I State'!E21</f>
        <v>11.9</v>
      </c>
      <c r="F22" s="1391"/>
      <c r="G22" s="1337">
        <f>+'Exhibit I State'!G21</f>
        <v>10.499999999999998</v>
      </c>
      <c r="H22" s="1391"/>
      <c r="I22" s="1337"/>
      <c r="J22" s="1411"/>
      <c r="K22" s="1337"/>
      <c r="L22" s="1427"/>
      <c r="M22" s="1337"/>
      <c r="N22" s="1427"/>
      <c r="O22" s="1337"/>
      <c r="P22" s="296"/>
      <c r="Q22" s="1337"/>
      <c r="R22" s="296"/>
      <c r="S22" s="1337"/>
      <c r="T22" s="296"/>
      <c r="U22" s="1337"/>
      <c r="V22" s="296"/>
      <c r="W22" s="1337"/>
      <c r="X22" s="296"/>
      <c r="Y22" s="1337"/>
      <c r="Z22" s="296"/>
      <c r="AA22" s="1337"/>
      <c r="AB22" s="1337"/>
      <c r="AC22" s="1337">
        <v>0</v>
      </c>
      <c r="AD22" s="1029"/>
      <c r="AE22" s="296"/>
      <c r="AF22" s="112">
        <f>ROUND(SUM(E22:AC22),1)</f>
        <v>22.4</v>
      </c>
      <c r="AG22" s="1030"/>
      <c r="AH22" s="297"/>
      <c r="AI22" s="3348">
        <f>+'Exhibit I State'!AG21</f>
        <v>25</v>
      </c>
      <c r="AJ22" s="298"/>
      <c r="AK22" s="302"/>
      <c r="AL22" s="305">
        <f>ROUND(SUM(AF22-AI22),1)</f>
        <v>-2.6</v>
      </c>
      <c r="AM22" s="299"/>
      <c r="AN22" s="1433">
        <f>ROUND(IF(AI22=0,0,AL22/ABS(AI22)),3)</f>
        <v>-0.104</v>
      </c>
      <c r="AO22" s="534"/>
    </row>
    <row r="23" spans="1:46" ht="15.75">
      <c r="A23" s="28"/>
      <c r="B23" s="304" t="s">
        <v>1080</v>
      </c>
      <c r="C23" s="28"/>
      <c r="D23" s="28"/>
      <c r="E23" s="1428">
        <f>ROUND(SUM(E20:E22),1)</f>
        <v>42.8</v>
      </c>
      <c r="F23" s="1429"/>
      <c r="G23" s="1428">
        <f>ROUND(SUM(G20:G22),1)</f>
        <v>40.1</v>
      </c>
      <c r="H23" s="1429"/>
      <c r="I23" s="1428">
        <f>ROUND(SUM(I20:I22),1)</f>
        <v>0</v>
      </c>
      <c r="J23" s="1429"/>
      <c r="K23" s="1428">
        <f>ROUND(SUM(K20:K22),1)</f>
        <v>0</v>
      </c>
      <c r="L23" s="1427"/>
      <c r="M23" s="1428">
        <f>ROUND(SUM(M20:M22),1)</f>
        <v>0</v>
      </c>
      <c r="N23" s="1427"/>
      <c r="O23" s="1428">
        <f>ROUND(SUM(O20:O22),1)</f>
        <v>0</v>
      </c>
      <c r="P23" s="296"/>
      <c r="Q23" s="1428">
        <f>ROUND(SUM(Q20:Q22),1)</f>
        <v>0</v>
      </c>
      <c r="R23" s="296"/>
      <c r="S23" s="1428">
        <f>ROUND(SUM(S20:S22),1)</f>
        <v>0</v>
      </c>
      <c r="T23" s="296"/>
      <c r="U23" s="1428">
        <f>ROUND(SUM(U20:U22),1)</f>
        <v>0</v>
      </c>
      <c r="V23" s="296"/>
      <c r="W23" s="1428">
        <f>ROUND(SUM(W20:W22),1)</f>
        <v>0</v>
      </c>
      <c r="X23" s="296"/>
      <c r="Y23" s="1428">
        <f>ROUND(SUM(Y20:Y22),1)</f>
        <v>0</v>
      </c>
      <c r="Z23" s="296"/>
      <c r="AA23" s="1428">
        <f>ROUND(SUM(AA20:AA22),1)</f>
        <v>0</v>
      </c>
      <c r="AB23" s="1430"/>
      <c r="AC23" s="1428">
        <f>ROUND(SUM(AC20:AC22),1)</f>
        <v>0</v>
      </c>
      <c r="AD23" s="1029"/>
      <c r="AE23" s="296"/>
      <c r="AF23" s="1497">
        <f>ROUND(SUM(AF20:AF22),1)</f>
        <v>82.9</v>
      </c>
      <c r="AG23" s="1030"/>
      <c r="AH23" s="297"/>
      <c r="AI23" s="1497">
        <f>ROUND(SUM(AI20:AI22),1)</f>
        <v>85.7</v>
      </c>
      <c r="AJ23" s="298"/>
      <c r="AK23" s="302"/>
      <c r="AL23" s="1096">
        <f>ROUND(SUM(AF23-AI23),1)</f>
        <v>-2.8</v>
      </c>
      <c r="AM23" s="301"/>
      <c r="AN23" s="13">
        <f>ROUND(IF(AI23=0,0,AL23/ABS(AI23)),3)</f>
        <v>-3.3000000000000002E-2</v>
      </c>
      <c r="AO23" s="534"/>
    </row>
    <row r="24" spans="1:46" ht="15.75">
      <c r="A24" s="28"/>
      <c r="B24" s="1028" t="s">
        <v>1040</v>
      </c>
      <c r="C24" s="28"/>
      <c r="D24" s="28"/>
      <c r="E24" s="1430"/>
      <c r="F24" s="1429"/>
      <c r="G24" s="1430"/>
      <c r="H24" s="1429"/>
      <c r="I24" s="1430"/>
      <c r="J24" s="1429"/>
      <c r="K24" s="1430"/>
      <c r="L24" s="1427"/>
      <c r="M24" s="1430"/>
      <c r="N24" s="1427"/>
      <c r="O24" s="1430"/>
      <c r="P24" s="296"/>
      <c r="Q24" s="1430"/>
      <c r="R24" s="296"/>
      <c r="S24" s="1430"/>
      <c r="T24" s="296"/>
      <c r="U24" s="1430"/>
      <c r="V24" s="296"/>
      <c r="W24" s="1430"/>
      <c r="X24" s="296"/>
      <c r="Y24" s="1430"/>
      <c r="Z24" s="296"/>
      <c r="AA24" s="1430"/>
      <c r="AB24" s="1430"/>
      <c r="AC24" s="1430"/>
      <c r="AD24" s="1029"/>
      <c r="AE24" s="296"/>
      <c r="AF24" s="109"/>
      <c r="AG24" s="1030"/>
      <c r="AH24" s="297"/>
      <c r="AI24" s="109"/>
      <c r="AJ24" s="298"/>
      <c r="AK24" s="302"/>
      <c r="AL24" s="1032"/>
      <c r="AM24" s="301"/>
      <c r="AN24" s="21"/>
      <c r="AO24" s="534"/>
    </row>
    <row r="25" spans="1:46" ht="15.75">
      <c r="A25" s="28"/>
      <c r="B25" s="651" t="s">
        <v>1002</v>
      </c>
      <c r="C25" s="28"/>
      <c r="D25" s="28"/>
      <c r="E25" s="1337">
        <f>+'Exhibit I State'!E24</f>
        <v>0</v>
      </c>
      <c r="F25" s="1429"/>
      <c r="G25" s="1337">
        <f>+'Exhibit I State'!G24</f>
        <v>0</v>
      </c>
      <c r="H25" s="1429"/>
      <c r="I25" s="1337"/>
      <c r="J25" s="1429"/>
      <c r="K25" s="1337"/>
      <c r="L25" s="1427"/>
      <c r="M25" s="1337"/>
      <c r="N25" s="1427"/>
      <c r="O25" s="1337"/>
      <c r="P25" s="296"/>
      <c r="Q25" s="1337"/>
      <c r="R25" s="296"/>
      <c r="S25" s="1337"/>
      <c r="T25" s="296"/>
      <c r="U25" s="1337"/>
      <c r="V25" s="296"/>
      <c r="W25" s="1337"/>
      <c r="X25" s="296"/>
      <c r="Y25" s="1337"/>
      <c r="Z25" s="296"/>
      <c r="AA25" s="1337"/>
      <c r="AB25" s="1337"/>
      <c r="AC25" s="1337">
        <v>0</v>
      </c>
      <c r="AD25" s="1029"/>
      <c r="AE25" s="296"/>
      <c r="AF25" s="1001">
        <v>0</v>
      </c>
      <c r="AG25" s="1030"/>
      <c r="AH25" s="297"/>
      <c r="AI25" s="3348">
        <f>+'Exhibit I State'!AG24</f>
        <v>0</v>
      </c>
      <c r="AJ25" s="298"/>
      <c r="AK25" s="302"/>
      <c r="AL25" s="305">
        <f>ROUND(SUM(AF25-AI25),1)</f>
        <v>0</v>
      </c>
      <c r="AM25" s="299"/>
      <c r="AN25" s="1426">
        <f>ROUND(IF(AI25=0,0,AL25/ABS(AI25)),3)</f>
        <v>0</v>
      </c>
      <c r="AO25" s="534"/>
      <c r="AP25" s="294"/>
      <c r="AQ25" s="294"/>
      <c r="AR25" s="294"/>
      <c r="AS25" s="294"/>
      <c r="AT25" s="294"/>
    </row>
    <row r="26" spans="1:46" ht="15.75">
      <c r="A26" s="28"/>
      <c r="B26" s="651" t="s">
        <v>1003</v>
      </c>
      <c r="C26" s="28"/>
      <c r="D26" s="28"/>
      <c r="E26" s="1337">
        <f>+'Exhibit I State'!E25</f>
        <v>1.6</v>
      </c>
      <c r="F26" s="1391"/>
      <c r="G26" s="1337">
        <f>+'Exhibit I State'!G25</f>
        <v>0</v>
      </c>
      <c r="H26" s="1391"/>
      <c r="I26" s="1337"/>
      <c r="J26" s="1429"/>
      <c r="K26" s="1337"/>
      <c r="L26" s="1427"/>
      <c r="M26" s="1337"/>
      <c r="N26" s="1427"/>
      <c r="O26" s="1337"/>
      <c r="P26" s="296"/>
      <c r="Q26" s="1337"/>
      <c r="R26" s="296"/>
      <c r="S26" s="1337"/>
      <c r="T26" s="296"/>
      <c r="U26" s="1337"/>
      <c r="V26" s="296"/>
      <c r="W26" s="1337"/>
      <c r="X26" s="296"/>
      <c r="Y26" s="1337"/>
      <c r="Z26" s="296"/>
      <c r="AA26" s="1337"/>
      <c r="AB26" s="1337"/>
      <c r="AC26" s="1337">
        <v>0</v>
      </c>
      <c r="AD26" s="1029"/>
      <c r="AE26" s="296"/>
      <c r="AF26" s="112">
        <f>ROUND(SUM(E26:AC26),1)</f>
        <v>1.6</v>
      </c>
      <c r="AG26" s="1030"/>
      <c r="AH26" s="297"/>
      <c r="AI26" s="3348">
        <f>+'Exhibit I State'!AG25</f>
        <v>3.1</v>
      </c>
      <c r="AJ26" s="298"/>
      <c r="AK26" s="302"/>
      <c r="AL26" s="305">
        <f>ROUND(SUM(AF26-AI26),1)</f>
        <v>-1.5</v>
      </c>
      <c r="AM26" s="299"/>
      <c r="AN26" s="1443">
        <f>ROUND(IF(AI26=0,1,AL26/ABS(AI26)),3)</f>
        <v>-0.48399999999999999</v>
      </c>
      <c r="AO26" s="534"/>
      <c r="AP26" s="294"/>
      <c r="AQ26" s="294"/>
      <c r="AR26" s="294"/>
      <c r="AS26" s="294"/>
      <c r="AT26" s="294"/>
    </row>
    <row r="27" spans="1:46" ht="15.75">
      <c r="A27" s="28"/>
      <c r="B27" s="651" t="s">
        <v>1006</v>
      </c>
      <c r="C27" s="28"/>
      <c r="D27" s="28"/>
      <c r="E27" s="1337">
        <f>+'Exhibit I State'!E26</f>
        <v>47.5</v>
      </c>
      <c r="F27" s="1391"/>
      <c r="G27" s="1337">
        <f>+'Exhibit I State'!G26</f>
        <v>50.199999999999989</v>
      </c>
      <c r="H27" s="1391"/>
      <c r="I27" s="1337"/>
      <c r="J27" s="1429"/>
      <c r="K27" s="1337"/>
      <c r="L27" s="1427"/>
      <c r="M27" s="1337"/>
      <c r="N27" s="1427"/>
      <c r="O27" s="1337"/>
      <c r="P27" s="296"/>
      <c r="Q27" s="1337"/>
      <c r="R27" s="296"/>
      <c r="S27" s="1337"/>
      <c r="T27" s="296"/>
      <c r="U27" s="1337"/>
      <c r="V27" s="296"/>
      <c r="W27" s="1337"/>
      <c r="X27" s="296"/>
      <c r="Y27" s="1337"/>
      <c r="Z27" s="296"/>
      <c r="AA27" s="1337"/>
      <c r="AB27" s="1337"/>
      <c r="AC27" s="1337">
        <v>0</v>
      </c>
      <c r="AD27" s="1029"/>
      <c r="AE27" s="296"/>
      <c r="AF27" s="112">
        <f>ROUND(SUM(E27:AC27),1)</f>
        <v>97.7</v>
      </c>
      <c r="AG27" s="1030"/>
      <c r="AH27" s="297"/>
      <c r="AI27" s="3348">
        <f>+'Exhibit I State'!AG26</f>
        <v>88.6</v>
      </c>
      <c r="AJ27" s="298"/>
      <c r="AK27" s="302"/>
      <c r="AL27" s="305">
        <f>ROUND(SUM(AF27-AI27),1)</f>
        <v>9.1</v>
      </c>
      <c r="AM27" s="299"/>
      <c r="AN27" s="1394">
        <f>ROUND(IF(AI27=0,0,AL27/ABS(AI27)),3)</f>
        <v>0.10299999999999999</v>
      </c>
      <c r="AO27" s="534"/>
      <c r="AP27" s="294"/>
      <c r="AQ27" s="294"/>
      <c r="AR27" s="294"/>
      <c r="AS27" s="294"/>
      <c r="AT27" s="294"/>
    </row>
    <row r="28" spans="1:46" ht="15.75">
      <c r="A28" s="28"/>
      <c r="B28" s="304" t="s">
        <v>1081</v>
      </c>
      <c r="C28" s="28"/>
      <c r="D28" s="28"/>
      <c r="E28" s="1428">
        <f>ROUND(SUM(E25:E27),1)</f>
        <v>49.1</v>
      </c>
      <c r="F28" s="1391"/>
      <c r="G28" s="1428">
        <f>ROUND(SUM(G25:G27),1)</f>
        <v>50.2</v>
      </c>
      <c r="H28" s="1391"/>
      <c r="I28" s="1428">
        <f>ROUND(SUM(I25:I27),1)</f>
        <v>0</v>
      </c>
      <c r="J28" s="1429"/>
      <c r="K28" s="1428">
        <f>ROUND(SUM(K25:K27),1)</f>
        <v>0</v>
      </c>
      <c r="L28" s="1427"/>
      <c r="M28" s="1428">
        <f>ROUND(SUM(M25:M27),1)</f>
        <v>0</v>
      </c>
      <c r="N28" s="1427"/>
      <c r="O28" s="1428">
        <f>ROUND(SUM(O25:O27),1)</f>
        <v>0</v>
      </c>
      <c r="P28" s="296"/>
      <c r="Q28" s="1428">
        <f>ROUND(SUM(Q25:Q27),1)</f>
        <v>0</v>
      </c>
      <c r="R28" s="296"/>
      <c r="S28" s="1428">
        <f>ROUND(SUM(S25:S27),1)</f>
        <v>0</v>
      </c>
      <c r="T28" s="296"/>
      <c r="U28" s="1428">
        <f>ROUND(SUM(U25:U27),1)</f>
        <v>0</v>
      </c>
      <c r="V28" s="296"/>
      <c r="W28" s="1428">
        <f>ROUND(SUM(W25:W27),1)</f>
        <v>0</v>
      </c>
      <c r="X28" s="296"/>
      <c r="Y28" s="1428">
        <f>ROUND(SUM(Y25:Y27),1)</f>
        <v>0</v>
      </c>
      <c r="Z28" s="296"/>
      <c r="AA28" s="1428">
        <f>ROUND(SUM(AA25:AA27),1)</f>
        <v>0</v>
      </c>
      <c r="AB28" s="1430"/>
      <c r="AC28" s="1428">
        <f>ROUND(SUM(AC25:AC27),1)</f>
        <v>0</v>
      </c>
      <c r="AD28" s="1029"/>
      <c r="AE28" s="296"/>
      <c r="AF28" s="1497">
        <f>ROUND(SUM(AF25:AF27),1)</f>
        <v>99.3</v>
      </c>
      <c r="AG28" s="1030"/>
      <c r="AH28" s="297"/>
      <c r="AI28" s="1497">
        <f>ROUND(SUM(AI25:AI27),1)</f>
        <v>91.7</v>
      </c>
      <c r="AJ28" s="298"/>
      <c r="AK28" s="302"/>
      <c r="AL28" s="657">
        <f>ROUND(SUM(AL25:AL27),1)</f>
        <v>7.6</v>
      </c>
      <c r="AM28" s="299"/>
      <c r="AN28" s="1423">
        <f>ROUND(IF(AI28=0,0,AL28/ABS(AI28)),3)</f>
        <v>8.3000000000000004E-2</v>
      </c>
      <c r="AO28" s="534"/>
      <c r="AP28" s="294"/>
      <c r="AQ28" s="294"/>
      <c r="AR28" s="294"/>
      <c r="AS28" s="294"/>
      <c r="AT28" s="294"/>
    </row>
    <row r="29" spans="1:46" ht="15.75">
      <c r="A29" s="28"/>
      <c r="B29" s="1028" t="s">
        <v>1041</v>
      </c>
      <c r="C29" s="28"/>
      <c r="D29" s="28"/>
      <c r="E29" s="1794"/>
      <c r="F29" s="1794"/>
      <c r="G29" s="1794"/>
      <c r="H29" s="1794"/>
      <c r="I29" s="1794"/>
      <c r="J29" s="1794"/>
      <c r="K29" s="1794"/>
      <c r="L29" s="1431"/>
      <c r="M29" s="1794"/>
      <c r="N29" s="1431"/>
      <c r="O29" s="1794"/>
      <c r="P29" s="159"/>
      <c r="Q29" s="1794"/>
      <c r="R29" s="159"/>
      <c r="S29" s="1431"/>
      <c r="T29" s="159"/>
      <c r="U29" s="1431"/>
      <c r="V29" s="159"/>
      <c r="W29" s="1431"/>
      <c r="X29" s="159"/>
      <c r="Y29" s="1431"/>
      <c r="Z29" s="159"/>
      <c r="AA29" s="1431"/>
      <c r="AB29" s="1431"/>
      <c r="AC29" s="1431"/>
      <c r="AD29" s="159"/>
      <c r="AE29" s="246"/>
      <c r="AF29" s="134"/>
      <c r="AG29" s="1041"/>
      <c r="AH29" s="54"/>
      <c r="AI29" s="134"/>
      <c r="AJ29" s="159"/>
      <c r="AK29" s="318"/>
      <c r="AL29" s="319"/>
      <c r="AM29" s="319"/>
      <c r="AN29" s="1432"/>
    </row>
    <row r="30" spans="1:46" ht="15.75">
      <c r="A30" s="28"/>
      <c r="B30" s="651" t="s">
        <v>1012</v>
      </c>
      <c r="C30" s="28"/>
      <c r="D30" s="28"/>
      <c r="E30" s="1337">
        <f>+'Exhibit I State'!E29</f>
        <v>0</v>
      </c>
      <c r="F30" s="1391"/>
      <c r="G30" s="1337">
        <f>+'Exhibit I State'!G29</f>
        <v>0</v>
      </c>
      <c r="H30" s="1391"/>
      <c r="I30" s="1337"/>
      <c r="J30" s="1429"/>
      <c r="K30" s="1337"/>
      <c r="L30" s="1427"/>
      <c r="M30" s="1337"/>
      <c r="N30" s="1427"/>
      <c r="O30" s="1337"/>
      <c r="P30" s="296"/>
      <c r="Q30" s="1337"/>
      <c r="R30" s="296"/>
      <c r="S30" s="1337"/>
      <c r="T30" s="296"/>
      <c r="U30" s="1337"/>
      <c r="V30" s="296"/>
      <c r="W30" s="1337"/>
      <c r="X30" s="296"/>
      <c r="Y30" s="1337"/>
      <c r="Z30" s="296"/>
      <c r="AA30" s="1337"/>
      <c r="AB30" s="1337"/>
      <c r="AC30" s="1337">
        <v>0</v>
      </c>
      <c r="AD30" s="1029"/>
      <c r="AE30" s="296"/>
      <c r="AF30" s="112">
        <f>ROUND(SUM(E30:AC30),1)</f>
        <v>0</v>
      </c>
      <c r="AG30" s="1030"/>
      <c r="AH30" s="297"/>
      <c r="AI30" s="3348">
        <f>+'Exhibit I State'!AG29</f>
        <v>0</v>
      </c>
      <c r="AJ30" s="298"/>
      <c r="AK30" s="302"/>
      <c r="AL30" s="305">
        <f>ROUND(SUM(AF30-AI30),1)</f>
        <v>0</v>
      </c>
      <c r="AM30" s="299"/>
      <c r="AN30" s="1394">
        <f>ROUND(IF(AI30=0,0,AL30/ABS(AI30)),3)</f>
        <v>0</v>
      </c>
      <c r="AO30" s="534"/>
      <c r="AP30" s="294"/>
      <c r="AQ30" s="294"/>
      <c r="AR30" s="294"/>
    </row>
    <row r="31" spans="1:46" ht="15.75">
      <c r="A31" s="28"/>
      <c r="B31" s="304" t="s">
        <v>1082</v>
      </c>
      <c r="C31" s="28"/>
      <c r="D31" s="28"/>
      <c r="E31" s="252">
        <f>ROUND(SUM(E30:E30),1)</f>
        <v>0</v>
      </c>
      <c r="F31" s="899"/>
      <c r="G31" s="252">
        <f>ROUND(SUM(G30:G30),1)</f>
        <v>0</v>
      </c>
      <c r="H31" s="899"/>
      <c r="I31" s="252">
        <f>ROUND(SUM(I30:I30),1)</f>
        <v>0</v>
      </c>
      <c r="J31" s="899"/>
      <c r="K31" s="252">
        <f>ROUND(SUM(K30:K30),1)</f>
        <v>0</v>
      </c>
      <c r="L31" s="296"/>
      <c r="M31" s="252">
        <f>ROUND(SUM(M30:M30),1)</f>
        <v>0</v>
      </c>
      <c r="N31" s="296"/>
      <c r="O31" s="252">
        <f>ROUND(SUM(O30:O30),1)</f>
        <v>0</v>
      </c>
      <c r="P31" s="296"/>
      <c r="Q31" s="252">
        <f>ROUND(SUM(Q30:Q30),1)</f>
        <v>0</v>
      </c>
      <c r="R31" s="296"/>
      <c r="S31" s="56">
        <f>ROUND(SUM(S30:S30),1)</f>
        <v>0</v>
      </c>
      <c r="T31" s="296"/>
      <c r="U31" s="56">
        <f>ROUND(SUM(U30:U30),1)</f>
        <v>0</v>
      </c>
      <c r="V31" s="296"/>
      <c r="W31" s="56">
        <f>ROUND(SUM(W30:W30),1)</f>
        <v>0</v>
      </c>
      <c r="X31" s="296"/>
      <c r="Y31" s="56">
        <f>ROUND(SUM(Y30:Y30),1)</f>
        <v>0</v>
      </c>
      <c r="Z31" s="296"/>
      <c r="AA31" s="56">
        <f>ROUND(SUM(AA30:AA30),1)</f>
        <v>0</v>
      </c>
      <c r="AB31" s="1490"/>
      <c r="AC31" s="56">
        <f>ROUND(SUM(AC30:AC30),1)</f>
        <v>0</v>
      </c>
      <c r="AD31" s="1029"/>
      <c r="AE31" s="296"/>
      <c r="AF31" s="3312">
        <f>ROUND(SUM(AF30:AF30),1)</f>
        <v>0</v>
      </c>
      <c r="AG31" s="1030"/>
      <c r="AH31" s="297"/>
      <c r="AI31" s="3312">
        <f>ROUND(SUM(AI30:AI30),1)</f>
        <v>0</v>
      </c>
      <c r="AJ31" s="298"/>
      <c r="AK31" s="302"/>
      <c r="AL31" s="1096">
        <f>ROUND(SUM(AF31-AI31),1)</f>
        <v>0</v>
      </c>
      <c r="AM31" s="301"/>
      <c r="AN31" s="1410">
        <f>ROUND(IF(AI31=0,0,AL31/ABS(AI31)),3)</f>
        <v>0</v>
      </c>
      <c r="AO31" s="534"/>
      <c r="AP31" s="294"/>
      <c r="AQ31" s="294"/>
      <c r="AR31" s="294"/>
    </row>
    <row r="32" spans="1:46" ht="15.75">
      <c r="A32" s="28"/>
      <c r="B32" s="304"/>
      <c r="C32" s="28"/>
      <c r="D32" s="28"/>
      <c r="E32" s="252"/>
      <c r="F32" s="899"/>
      <c r="G32" s="252"/>
      <c r="H32" s="899"/>
      <c r="I32" s="252"/>
      <c r="J32" s="899"/>
      <c r="K32" s="252"/>
      <c r="L32" s="296"/>
      <c r="M32" s="252"/>
      <c r="N32" s="296"/>
      <c r="O32" s="252"/>
      <c r="P32" s="296"/>
      <c r="Q32" s="252"/>
      <c r="R32" s="296"/>
      <c r="S32" s="252"/>
      <c r="T32" s="296"/>
      <c r="U32" s="252"/>
      <c r="V32" s="296"/>
      <c r="W32" s="252"/>
      <c r="X32" s="296"/>
      <c r="Y32" s="252"/>
      <c r="Z32" s="296"/>
      <c r="AA32" s="252"/>
      <c r="AB32" s="1490"/>
      <c r="AC32" s="252"/>
      <c r="AD32" s="1029"/>
      <c r="AE32" s="296"/>
      <c r="AF32" s="1497"/>
      <c r="AG32" s="1030"/>
      <c r="AH32" s="297"/>
      <c r="AI32" s="297"/>
      <c r="AJ32" s="298"/>
      <c r="AK32" s="302"/>
      <c r="AL32" s="303"/>
      <c r="AM32" s="299"/>
      <c r="AN32" s="1422"/>
      <c r="AO32" s="534"/>
      <c r="AP32" s="294"/>
      <c r="AQ32" s="294"/>
      <c r="AR32" s="294"/>
    </row>
    <row r="33" spans="1:44" ht="15.75">
      <c r="A33" s="28"/>
      <c r="B33" s="304" t="s">
        <v>1008</v>
      </c>
      <c r="C33" s="28"/>
      <c r="D33" s="28"/>
      <c r="E33" s="1795">
        <f>ROUND(SUM(E11+E28+E23+E31),1)</f>
        <v>91.9</v>
      </c>
      <c r="F33" s="1489"/>
      <c r="G33" s="1795">
        <f>ROUND(SUM(G11+G28+G23+G31),1)</f>
        <v>90.3</v>
      </c>
      <c r="H33" s="1489"/>
      <c r="I33" s="1795">
        <f>ROUND(SUM(I11+I28+I23+I31),1)</f>
        <v>0</v>
      </c>
      <c r="J33" s="1489"/>
      <c r="K33" s="1795">
        <f>ROUND(SUM(K11+K28+K23+K31),1)</f>
        <v>0</v>
      </c>
      <c r="L33" s="296"/>
      <c r="M33" s="1795">
        <f>ROUND(SUM(M11+M28+M23+M31),1)</f>
        <v>0</v>
      </c>
      <c r="N33" s="296"/>
      <c r="O33" s="1795">
        <f>ROUND(SUM(O11+O28+O23+O31),1)</f>
        <v>0</v>
      </c>
      <c r="P33" s="296"/>
      <c r="Q33" s="1795">
        <f>ROUND(SUM(Q11+Q28+Q23+Q31),1)</f>
        <v>0</v>
      </c>
      <c r="R33" s="296"/>
      <c r="S33" s="1031">
        <f>ROUND(SUM(S11+S28+S23+S31),1)</f>
        <v>0</v>
      </c>
      <c r="T33" s="296"/>
      <c r="U33" s="1031">
        <f>ROUND(SUM(U11+U28+U23+U31),1)</f>
        <v>0</v>
      </c>
      <c r="V33" s="296"/>
      <c r="W33" s="1031">
        <f>ROUND(SUM(W11+W28+W23+W31),1)</f>
        <v>0</v>
      </c>
      <c r="X33" s="296"/>
      <c r="Y33" s="1031">
        <f>ROUND(SUM(Y11+Y28+Y23+Y31),1)</f>
        <v>0</v>
      </c>
      <c r="Z33" s="296"/>
      <c r="AA33" s="1031">
        <f>ROUND(SUM(AA11+AA28+AA23+AA31),1)</f>
        <v>0</v>
      </c>
      <c r="AB33" s="1033"/>
      <c r="AC33" s="1031">
        <f>ROUND(SUM(AC15+AC28+AC23+AC31),1)</f>
        <v>0</v>
      </c>
      <c r="AD33" s="1029"/>
      <c r="AE33" s="296"/>
      <c r="AF33" s="1031">
        <f>ROUND(SUM(AF28+AF23+AF31),1)</f>
        <v>182.2</v>
      </c>
      <c r="AG33" s="1030"/>
      <c r="AH33" s="297"/>
      <c r="AI33" s="1031">
        <f>ROUND(SUM(AI28+AI23+AI31),1)</f>
        <v>177.4</v>
      </c>
      <c r="AJ33" s="298"/>
      <c r="AK33" s="302"/>
      <c r="AL33" s="1096">
        <f>ROUND(SUM(AF33-AI33),1)</f>
        <v>4.8</v>
      </c>
      <c r="AM33" s="301"/>
      <c r="AN33" s="1410">
        <f>ROUND(IF(AI33=0,0,AL33/ABS(AI33)),3)</f>
        <v>2.7E-2</v>
      </c>
      <c r="AO33" s="534"/>
      <c r="AP33" s="294"/>
      <c r="AQ33" s="294"/>
      <c r="AR33" s="294"/>
    </row>
    <row r="34" spans="1:44" ht="15.75">
      <c r="A34" s="28"/>
      <c r="B34" s="304"/>
      <c r="C34" s="28"/>
      <c r="D34" s="28"/>
      <c r="E34" s="1796"/>
      <c r="F34" s="1489"/>
      <c r="G34" s="1796"/>
      <c r="H34" s="1489"/>
      <c r="I34" s="1796"/>
      <c r="J34" s="1489"/>
      <c r="K34" s="1796"/>
      <c r="L34" s="296"/>
      <c r="M34" s="1796"/>
      <c r="N34" s="296"/>
      <c r="O34" s="1796"/>
      <c r="P34" s="296"/>
      <c r="Q34" s="1796"/>
      <c r="R34" s="296"/>
      <c r="S34" s="1033"/>
      <c r="T34" s="296"/>
      <c r="U34" s="1033"/>
      <c r="V34" s="296"/>
      <c r="W34" s="1033"/>
      <c r="X34" s="296"/>
      <c r="Y34" s="1033"/>
      <c r="Z34" s="296"/>
      <c r="AA34" s="1033"/>
      <c r="AB34" s="1033"/>
      <c r="AC34" s="1033"/>
      <c r="AD34" s="1350"/>
      <c r="AE34" s="296"/>
      <c r="AF34" s="1033"/>
      <c r="AG34" s="1030"/>
      <c r="AH34" s="297"/>
      <c r="AI34" s="1033"/>
      <c r="AJ34" s="298"/>
      <c r="AK34" s="302"/>
      <c r="AL34" s="1032"/>
      <c r="AM34" s="301"/>
      <c r="AN34" s="1399"/>
      <c r="AO34" s="534"/>
      <c r="AP34" s="294"/>
      <c r="AQ34" s="294"/>
      <c r="AR34" s="294"/>
    </row>
    <row r="35" spans="1:44" ht="15.75">
      <c r="A35" s="28"/>
      <c r="B35" s="255" t="s">
        <v>918</v>
      </c>
      <c r="C35" s="28"/>
      <c r="D35" s="28"/>
      <c r="E35" s="640"/>
      <c r="F35" s="1489"/>
      <c r="G35" s="640"/>
      <c r="H35" s="1489"/>
      <c r="I35" s="640"/>
      <c r="J35" s="1489"/>
      <c r="K35" s="640"/>
      <c r="L35" s="61"/>
      <c r="M35" s="640"/>
      <c r="N35" s="61"/>
      <c r="O35" s="640"/>
      <c r="P35" s="61"/>
      <c r="Q35" s="640"/>
      <c r="R35" s="61"/>
      <c r="S35" s="164"/>
      <c r="T35" s="61"/>
      <c r="U35" s="164"/>
      <c r="V35" s="61"/>
      <c r="W35" s="164"/>
      <c r="X35" s="61"/>
      <c r="Y35" s="164"/>
      <c r="Z35" s="61"/>
      <c r="AA35" s="164"/>
      <c r="AB35" s="164"/>
      <c r="AC35" s="164"/>
      <c r="AD35" s="61"/>
      <c r="AE35" s="52"/>
      <c r="AF35" s="1057"/>
      <c r="AG35" s="954"/>
      <c r="AH35" s="55"/>
      <c r="AI35" s="3349"/>
      <c r="AJ35" s="72"/>
      <c r="AK35" s="327"/>
      <c r="AL35" s="53"/>
      <c r="AM35" s="325"/>
      <c r="AN35" s="1394"/>
      <c r="AO35" s="319"/>
    </row>
    <row r="36" spans="1:44" ht="15.75">
      <c r="A36" s="28"/>
      <c r="B36" s="869" t="s">
        <v>1033</v>
      </c>
      <c r="C36" s="28"/>
      <c r="D36" s="28"/>
      <c r="E36" s="640"/>
      <c r="F36" s="1489"/>
      <c r="G36" s="640"/>
      <c r="H36" s="1489"/>
      <c r="I36" s="640"/>
      <c r="J36" s="1489"/>
      <c r="K36" s="640"/>
      <c r="L36" s="61"/>
      <c r="M36" s="640"/>
      <c r="N36" s="61"/>
      <c r="O36" s="640"/>
      <c r="P36" s="61"/>
      <c r="Q36" s="640"/>
      <c r="R36" s="61"/>
      <c r="S36" s="164"/>
      <c r="T36" s="61"/>
      <c r="U36" s="164"/>
      <c r="V36" s="61"/>
      <c r="W36" s="164"/>
      <c r="X36" s="61"/>
      <c r="Y36" s="164"/>
      <c r="Z36" s="61"/>
      <c r="AA36" s="164"/>
      <c r="AB36" s="164"/>
      <c r="AC36" s="164"/>
      <c r="AD36" s="61"/>
      <c r="AE36" s="52"/>
      <c r="AF36" s="1057"/>
      <c r="AG36" s="954"/>
      <c r="AH36" s="55"/>
      <c r="AI36" s="3349"/>
      <c r="AJ36" s="72"/>
      <c r="AK36" s="327"/>
      <c r="AL36" s="53"/>
      <c r="AM36" s="325"/>
      <c r="AN36" s="1394"/>
      <c r="AO36" s="319"/>
    </row>
    <row r="37" spans="1:44" ht="15.75">
      <c r="A37" s="28"/>
      <c r="B37" s="869" t="s">
        <v>951</v>
      </c>
      <c r="C37" s="28"/>
      <c r="D37" s="28"/>
      <c r="E37" s="640">
        <f>+'Exhibit I State'!E36+'Exhibit I Federal'!E19</f>
        <v>0</v>
      </c>
      <c r="F37" s="1489"/>
      <c r="G37" s="640">
        <f>+'Exhibit I State'!G36+'Exhibit I Federal'!G19</f>
        <v>0</v>
      </c>
      <c r="H37" s="1489"/>
      <c r="I37" s="640"/>
      <c r="J37" s="1489"/>
      <c r="K37" s="640"/>
      <c r="L37" s="61"/>
      <c r="M37" s="640"/>
      <c r="N37" s="61"/>
      <c r="O37" s="640"/>
      <c r="P37" s="61"/>
      <c r="Q37" s="640"/>
      <c r="R37" s="61"/>
      <c r="S37" s="640"/>
      <c r="T37" s="61"/>
      <c r="U37" s="640"/>
      <c r="V37" s="61"/>
      <c r="W37" s="640"/>
      <c r="X37" s="61"/>
      <c r="Y37" s="640"/>
      <c r="Z37" s="61"/>
      <c r="AA37" s="640"/>
      <c r="AB37" s="164"/>
      <c r="AC37" s="164">
        <v>0</v>
      </c>
      <c r="AD37" s="61"/>
      <c r="AE37" s="52"/>
      <c r="AF37" s="1057">
        <f>ROUND(SUM(E37:AC37),1)</f>
        <v>0</v>
      </c>
      <c r="AG37" s="954"/>
      <c r="AH37" s="55"/>
      <c r="AI37" s="3349">
        <f>+'Exhibit I State'!AG36+'Exhibit I Federal'!AG19</f>
        <v>0</v>
      </c>
      <c r="AJ37" s="72"/>
      <c r="AK37" s="327"/>
      <c r="AL37" s="53">
        <f t="shared" ref="AL37:AL60" si="0">ROUND(SUM(+AF37-AI37),1)</f>
        <v>0</v>
      </c>
      <c r="AM37" s="325"/>
      <c r="AN37" s="1394">
        <f>ROUND(IF(AI37=0,0,AL37/ABS(AI37)),3)</f>
        <v>0</v>
      </c>
      <c r="AO37" s="319"/>
    </row>
    <row r="38" spans="1:44" ht="15.75">
      <c r="A38" s="28"/>
      <c r="B38" s="869" t="s">
        <v>1034</v>
      </c>
      <c r="C38" s="28"/>
      <c r="D38" s="28"/>
      <c r="E38" s="640"/>
      <c r="F38" s="1489"/>
      <c r="G38" s="640"/>
      <c r="H38" s="1489"/>
      <c r="I38" s="640"/>
      <c r="J38" s="1489"/>
      <c r="K38" s="640"/>
      <c r="L38" s="61"/>
      <c r="M38" s="640"/>
      <c r="N38" s="61"/>
      <c r="O38" s="640"/>
      <c r="P38" s="61"/>
      <c r="Q38" s="640"/>
      <c r="R38" s="61"/>
      <c r="S38" s="640"/>
      <c r="T38" s="61"/>
      <c r="U38" s="640"/>
      <c r="V38" s="61"/>
      <c r="W38" s="640"/>
      <c r="X38" s="61"/>
      <c r="Y38" s="640"/>
      <c r="Z38" s="61"/>
      <c r="AA38" s="640"/>
      <c r="AB38" s="164"/>
      <c r="AC38" s="164"/>
      <c r="AD38" s="61"/>
      <c r="AE38" s="52"/>
      <c r="AF38" s="1057"/>
      <c r="AG38" s="954"/>
      <c r="AH38" s="55"/>
      <c r="AI38" s="3349"/>
      <c r="AJ38" s="72"/>
      <c r="AK38" s="327"/>
      <c r="AL38" s="53"/>
      <c r="AM38" s="325"/>
      <c r="AN38" s="1394"/>
      <c r="AO38" s="319"/>
    </row>
    <row r="39" spans="1:44" ht="15.75">
      <c r="A39" s="28"/>
      <c r="B39" s="869" t="s">
        <v>952</v>
      </c>
      <c r="C39" s="28"/>
      <c r="D39" s="28"/>
      <c r="E39" s="640">
        <f>+'Exhibit I State'!E38+'Exhibit I Federal'!E21</f>
        <v>7.1</v>
      </c>
      <c r="F39" s="1489"/>
      <c r="G39" s="640">
        <f>+'Exhibit I State'!G38+'Exhibit I Federal'!G21</f>
        <v>5.9</v>
      </c>
      <c r="H39" s="1489"/>
      <c r="I39" s="640"/>
      <c r="J39" s="1489"/>
      <c r="K39" s="640"/>
      <c r="L39" s="61"/>
      <c r="M39" s="640"/>
      <c r="N39" s="61"/>
      <c r="O39" s="640"/>
      <c r="P39" s="61"/>
      <c r="Q39" s="640"/>
      <c r="R39" s="61"/>
      <c r="S39" s="640"/>
      <c r="T39" s="61"/>
      <c r="U39" s="640"/>
      <c r="V39" s="61"/>
      <c r="W39" s="640"/>
      <c r="X39" s="61"/>
      <c r="Y39" s="640"/>
      <c r="Z39" s="61"/>
      <c r="AA39" s="640"/>
      <c r="AB39" s="164"/>
      <c r="AC39" s="164">
        <v>0</v>
      </c>
      <c r="AD39" s="61"/>
      <c r="AE39" s="52"/>
      <c r="AF39" s="1057">
        <f>ROUND(SUM(E39:AC39),1)</f>
        <v>13</v>
      </c>
      <c r="AG39" s="954"/>
      <c r="AH39" s="55"/>
      <c r="AI39" s="3349">
        <f>+'Exhibit I State'!AG38+'Exhibit I Federal'!AG21</f>
        <v>17.600000000000001</v>
      </c>
      <c r="AJ39" s="72"/>
      <c r="AK39" s="327"/>
      <c r="AL39" s="53">
        <f t="shared" si="0"/>
        <v>-4.5999999999999996</v>
      </c>
      <c r="AM39" s="325"/>
      <c r="AN39" s="1394">
        <f>ROUND(IF(AI39=0,0,AL39/ABS(AI39)),3)</f>
        <v>-0.26100000000000001</v>
      </c>
      <c r="AO39" s="319"/>
    </row>
    <row r="40" spans="1:44" ht="15.75">
      <c r="A40" s="28"/>
      <c r="B40" s="869" t="s">
        <v>1038</v>
      </c>
      <c r="C40" s="28"/>
      <c r="D40" s="28"/>
      <c r="E40" s="640"/>
      <c r="F40" s="1489"/>
      <c r="G40" s="640"/>
      <c r="H40" s="1489"/>
      <c r="I40" s="640"/>
      <c r="J40" s="1489"/>
      <c r="K40" s="640"/>
      <c r="L40" s="61"/>
      <c r="M40" s="640"/>
      <c r="N40" s="61"/>
      <c r="O40" s="640"/>
      <c r="P40" s="61"/>
      <c r="Q40" s="640"/>
      <c r="R40" s="61"/>
      <c r="S40" s="640"/>
      <c r="T40" s="61"/>
      <c r="U40" s="640"/>
      <c r="V40" s="61"/>
      <c r="W40" s="640"/>
      <c r="X40" s="61"/>
      <c r="Y40" s="640"/>
      <c r="Z40" s="61"/>
      <c r="AA40" s="640"/>
      <c r="AB40" s="164"/>
      <c r="AC40" s="164"/>
      <c r="AD40" s="61"/>
      <c r="AE40" s="52"/>
      <c r="AF40" s="1057"/>
      <c r="AG40" s="954"/>
      <c r="AH40" s="55"/>
      <c r="AI40" s="3349"/>
      <c r="AJ40" s="72"/>
      <c r="AK40" s="327"/>
      <c r="AL40" s="53"/>
      <c r="AM40" s="325"/>
      <c r="AN40" s="1394"/>
      <c r="AO40" s="319"/>
    </row>
    <row r="41" spans="1:44" ht="15.75">
      <c r="A41" s="28"/>
      <c r="B41" s="869" t="s">
        <v>956</v>
      </c>
      <c r="C41" s="28"/>
      <c r="D41" s="28"/>
      <c r="E41" s="640">
        <f>+'Exhibit I State'!E40+'Exhibit I Federal'!E23</f>
        <v>3.3</v>
      </c>
      <c r="F41" s="1489"/>
      <c r="G41" s="640">
        <f>+'Exhibit I State'!G40+'Exhibit I Federal'!G23</f>
        <v>1.2000000000000002</v>
      </c>
      <c r="H41" s="1489"/>
      <c r="I41" s="640"/>
      <c r="J41" s="1489"/>
      <c r="K41" s="640"/>
      <c r="L41" s="61"/>
      <c r="M41" s="640"/>
      <c r="N41" s="61"/>
      <c r="O41" s="640"/>
      <c r="P41" s="61"/>
      <c r="Q41" s="640"/>
      <c r="R41" s="61"/>
      <c r="S41" s="640"/>
      <c r="T41" s="61"/>
      <c r="U41" s="640"/>
      <c r="V41" s="61"/>
      <c r="W41" s="640"/>
      <c r="X41" s="61"/>
      <c r="Y41" s="640"/>
      <c r="Z41" s="61"/>
      <c r="AA41" s="640"/>
      <c r="AB41" s="164"/>
      <c r="AC41" s="164">
        <v>0</v>
      </c>
      <c r="AD41" s="61"/>
      <c r="AE41" s="52"/>
      <c r="AF41" s="1057">
        <f t="shared" ref="AF41:AF44" si="1">ROUND(SUM(E41:AC41),1)</f>
        <v>4.5</v>
      </c>
      <c r="AG41" s="954"/>
      <c r="AH41" s="55"/>
      <c r="AI41" s="3349">
        <f>+'Exhibit I State'!AG40+'Exhibit I Federal'!AG23</f>
        <v>3</v>
      </c>
      <c r="AJ41" s="72"/>
      <c r="AK41" s="327"/>
      <c r="AL41" s="53">
        <f t="shared" si="0"/>
        <v>1.5</v>
      </c>
      <c r="AM41" s="325"/>
      <c r="AN41" s="1394">
        <f>ROUND(IF(AI41=0,0,AL41/ABS(AI41)),3)</f>
        <v>0.5</v>
      </c>
      <c r="AO41" s="319"/>
    </row>
    <row r="42" spans="1:44" ht="15.75">
      <c r="A42" s="28"/>
      <c r="B42" s="869" t="s">
        <v>1093</v>
      </c>
      <c r="C42" s="28"/>
      <c r="D42" s="28"/>
      <c r="E42" s="640">
        <f>+'Exhibit I State'!E41+'Exhibit I Federal'!E24</f>
        <v>0</v>
      </c>
      <c r="F42" s="1489"/>
      <c r="G42" s="640">
        <f>+'Exhibit I State'!G41+'Exhibit I Federal'!G24</f>
        <v>0</v>
      </c>
      <c r="H42" s="1489"/>
      <c r="I42" s="640"/>
      <c r="J42" s="1489"/>
      <c r="K42" s="640"/>
      <c r="L42" s="61"/>
      <c r="M42" s="640"/>
      <c r="N42" s="61"/>
      <c r="O42" s="640"/>
      <c r="P42" s="61"/>
      <c r="Q42" s="640"/>
      <c r="R42" s="61"/>
      <c r="S42" s="640"/>
      <c r="T42" s="61"/>
      <c r="U42" s="640"/>
      <c r="V42" s="61"/>
      <c r="W42" s="640"/>
      <c r="X42" s="61"/>
      <c r="Y42" s="640"/>
      <c r="Z42" s="61"/>
      <c r="AA42" s="640"/>
      <c r="AB42" s="164"/>
      <c r="AC42" s="164">
        <v>0</v>
      </c>
      <c r="AD42" s="61"/>
      <c r="AE42" s="52"/>
      <c r="AF42" s="1057">
        <f t="shared" si="1"/>
        <v>0</v>
      </c>
      <c r="AG42" s="1444"/>
      <c r="AH42" s="55"/>
      <c r="AI42" s="3349">
        <f>+'Exhibit I State'!AG41+'Exhibit I Federal'!AG24</f>
        <v>0</v>
      </c>
      <c r="AJ42" s="72"/>
      <c r="AK42" s="327"/>
      <c r="AL42" s="53">
        <f>ROUND(SUM(+AF42-AI42),1)</f>
        <v>0</v>
      </c>
      <c r="AM42" s="325"/>
      <c r="AN42" s="1394">
        <f>ROUND(IF(AI42=0,0,AL42/ABS(AI42)),3)</f>
        <v>0</v>
      </c>
      <c r="AO42" s="319"/>
    </row>
    <row r="43" spans="1:44" ht="15.75">
      <c r="A43" s="28"/>
      <c r="B43" s="869" t="s">
        <v>959</v>
      </c>
      <c r="C43" s="28"/>
      <c r="D43" s="28"/>
      <c r="E43" s="640">
        <f>+'Exhibit I State'!E42+'Exhibit I Federal'!E25</f>
        <v>60</v>
      </c>
      <c r="F43" s="1489"/>
      <c r="G43" s="640">
        <f>+'Exhibit I State'!G42+'Exhibit I Federal'!G25</f>
        <v>57</v>
      </c>
      <c r="H43" s="1489"/>
      <c r="I43" s="640"/>
      <c r="J43" s="1489"/>
      <c r="K43" s="640"/>
      <c r="L43" s="61"/>
      <c r="M43" s="640"/>
      <c r="N43" s="61"/>
      <c r="O43" s="640"/>
      <c r="P43" s="61"/>
      <c r="Q43" s="640"/>
      <c r="R43" s="61"/>
      <c r="S43" s="640"/>
      <c r="T43" s="61"/>
      <c r="U43" s="640"/>
      <c r="V43" s="61"/>
      <c r="W43" s="640"/>
      <c r="X43" s="61"/>
      <c r="Y43" s="640"/>
      <c r="Z43" s="61"/>
      <c r="AA43" s="640"/>
      <c r="AB43" s="164"/>
      <c r="AC43" s="164">
        <v>0</v>
      </c>
      <c r="AD43" s="61"/>
      <c r="AE43" s="52"/>
      <c r="AF43" s="1057">
        <f>ROUND(SUM(E43:AC43),1)</f>
        <v>117</v>
      </c>
      <c r="AG43" s="954"/>
      <c r="AH43" s="55"/>
      <c r="AI43" s="3349">
        <f>+'Exhibit I State'!AG42+'Exhibit I Federal'!AG25</f>
        <v>148.30000000000001</v>
      </c>
      <c r="AJ43" s="72"/>
      <c r="AK43" s="327"/>
      <c r="AL43" s="53">
        <f t="shared" si="0"/>
        <v>-31.3</v>
      </c>
      <c r="AM43" s="325"/>
      <c r="AN43" s="1394">
        <f>ROUND(IF(AI43=0,0,AL43/ABS(AI43)),3)</f>
        <v>-0.21099999999999999</v>
      </c>
      <c r="AO43" s="319"/>
    </row>
    <row r="44" spans="1:44" ht="15.75">
      <c r="A44" s="28"/>
      <c r="B44" s="869" t="s">
        <v>960</v>
      </c>
      <c r="C44" s="28"/>
      <c r="D44" s="28"/>
      <c r="E44" s="640">
        <f>+'Exhibit I State'!E43+'Exhibit I Federal'!E26</f>
        <v>1.4</v>
      </c>
      <c r="F44" s="1489"/>
      <c r="G44" s="640">
        <f>+'Exhibit I State'!G43+'Exhibit I Federal'!G26</f>
        <v>7</v>
      </c>
      <c r="H44" s="1489"/>
      <c r="I44" s="640"/>
      <c r="J44" s="1489"/>
      <c r="K44" s="640"/>
      <c r="L44" s="61"/>
      <c r="M44" s="640"/>
      <c r="N44" s="61"/>
      <c r="O44" s="640"/>
      <c r="P44" s="61"/>
      <c r="Q44" s="640"/>
      <c r="R44" s="61"/>
      <c r="S44" s="640"/>
      <c r="T44" s="61"/>
      <c r="U44" s="640"/>
      <c r="V44" s="61"/>
      <c r="W44" s="640"/>
      <c r="X44" s="61"/>
      <c r="Y44" s="640"/>
      <c r="Z44" s="61"/>
      <c r="AA44" s="640"/>
      <c r="AB44" s="164"/>
      <c r="AC44" s="164">
        <v>0</v>
      </c>
      <c r="AD44" s="61"/>
      <c r="AE44" s="52"/>
      <c r="AF44" s="1057">
        <f t="shared" si="1"/>
        <v>8.4</v>
      </c>
      <c r="AG44" s="954"/>
      <c r="AH44" s="55"/>
      <c r="AI44" s="3350">
        <f>+'Exhibit I State'!AG43+'Exhibit I Federal'!AG26</f>
        <v>4.4000000000000004</v>
      </c>
      <c r="AJ44" s="72"/>
      <c r="AK44" s="327"/>
      <c r="AL44" s="650">
        <f>ROUND(SUM(+AF44-AI44),1)</f>
        <v>4</v>
      </c>
      <c r="AM44" s="920"/>
      <c r="AN44" s="1433">
        <f>ROUND(IF(AI44=0,1,AL44/ABS(AI44)),3)</f>
        <v>0.90900000000000003</v>
      </c>
      <c r="AO44" s="319"/>
    </row>
    <row r="45" spans="1:44" ht="15.75">
      <c r="A45" s="28"/>
      <c r="B45" s="869" t="s">
        <v>919</v>
      </c>
      <c r="C45" s="28"/>
      <c r="D45" s="28"/>
      <c r="E45" s="640">
        <f>+'Exhibit I State'!E44+'Exhibit I Federal'!E27</f>
        <v>1.8</v>
      </c>
      <c r="F45" s="1489"/>
      <c r="G45" s="640">
        <f>+'Exhibit I State'!G44+'Exhibit I Federal'!G27</f>
        <v>2.2999999999999998</v>
      </c>
      <c r="H45" s="1489"/>
      <c r="I45" s="640"/>
      <c r="J45" s="1489"/>
      <c r="K45" s="640"/>
      <c r="L45" s="61"/>
      <c r="M45" s="640"/>
      <c r="N45" s="61"/>
      <c r="O45" s="640"/>
      <c r="P45" s="61"/>
      <c r="Q45" s="640"/>
      <c r="R45" s="61"/>
      <c r="S45" s="640"/>
      <c r="T45" s="61"/>
      <c r="U45" s="640"/>
      <c r="V45" s="61"/>
      <c r="W45" s="640"/>
      <c r="X45" s="61"/>
      <c r="Y45" s="640"/>
      <c r="Z45" s="61"/>
      <c r="AA45" s="640"/>
      <c r="AB45" s="164"/>
      <c r="AC45" s="164">
        <v>0</v>
      </c>
      <c r="AD45" s="61"/>
      <c r="AE45" s="52"/>
      <c r="AF45" s="1057">
        <f>ROUND(SUM(E45:AC45),1)</f>
        <v>4.0999999999999996</v>
      </c>
      <c r="AG45" s="954"/>
      <c r="AH45" s="55"/>
      <c r="AI45" s="3349">
        <f>+'Exhibit I State'!AG44+'Exhibit I Federal'!AG27</f>
        <v>3.3</v>
      </c>
      <c r="AJ45" s="72"/>
      <c r="AK45" s="327"/>
      <c r="AL45" s="53">
        <f t="shared" si="0"/>
        <v>0.8</v>
      </c>
      <c r="AM45" s="325"/>
      <c r="AN45" s="1443">
        <f>ROUND(IF(AI45=0,1,AL45/ABS(AI45)),3)</f>
        <v>0.24199999999999999</v>
      </c>
      <c r="AO45" s="319"/>
    </row>
    <row r="46" spans="1:44" ht="15.75">
      <c r="A46" s="28"/>
      <c r="B46" s="869" t="s">
        <v>920</v>
      </c>
      <c r="C46" s="28"/>
      <c r="D46" s="28"/>
      <c r="E46" s="640">
        <f>+'Exhibit I State'!E45+'Exhibit I Federal'!E28</f>
        <v>0.1</v>
      </c>
      <c r="F46" s="1489"/>
      <c r="G46" s="640">
        <f>+'Exhibit I State'!G45+'Exhibit I Federal'!G28</f>
        <v>0.1</v>
      </c>
      <c r="H46" s="1489"/>
      <c r="I46" s="640"/>
      <c r="J46" s="1489"/>
      <c r="K46" s="640"/>
      <c r="L46" s="61"/>
      <c r="M46" s="640"/>
      <c r="N46" s="61"/>
      <c r="O46" s="640"/>
      <c r="P46" s="61"/>
      <c r="Q46" s="640"/>
      <c r="R46" s="61"/>
      <c r="S46" s="640"/>
      <c r="T46" s="61"/>
      <c r="U46" s="640"/>
      <c r="V46" s="61"/>
      <c r="W46" s="640"/>
      <c r="X46" s="61"/>
      <c r="Y46" s="640"/>
      <c r="Z46" s="61"/>
      <c r="AA46" s="640"/>
      <c r="AB46" s="164"/>
      <c r="AC46" s="164">
        <v>0</v>
      </c>
      <c r="AD46" s="61"/>
      <c r="AE46" s="52"/>
      <c r="AF46" s="1057">
        <f>ROUND(SUM(E46:AC46),1)</f>
        <v>0.2</v>
      </c>
      <c r="AG46" s="954"/>
      <c r="AH46" s="55"/>
      <c r="AI46" s="3349">
        <f>+'Exhibit I State'!AG45+'Exhibit I Federal'!AG28</f>
        <v>0.1</v>
      </c>
      <c r="AJ46" s="72"/>
      <c r="AK46" s="327"/>
      <c r="AL46" s="53">
        <f>ROUND(SUM(+AF46-AI46),1)</f>
        <v>0.1</v>
      </c>
      <c r="AM46" s="325"/>
      <c r="AN46" s="1394">
        <f>ROUND(IF(AI46=0,1,AL46/ABS(AI46)),3)</f>
        <v>1</v>
      </c>
      <c r="AO46" s="319"/>
    </row>
    <row r="47" spans="1:44" ht="15.75">
      <c r="A47" s="28"/>
      <c r="B47" s="869" t="s">
        <v>937</v>
      </c>
      <c r="C47" s="28"/>
      <c r="D47" s="28"/>
      <c r="E47" s="640">
        <f>+'Exhibit I State'!E46+'Exhibit I Federal'!E29</f>
        <v>0</v>
      </c>
      <c r="F47" s="1489"/>
      <c r="G47" s="640">
        <f>+'Exhibit I State'!G46+'Exhibit I Federal'!G29</f>
        <v>0.2</v>
      </c>
      <c r="H47" s="1489"/>
      <c r="I47" s="640"/>
      <c r="J47" s="1489"/>
      <c r="K47" s="640"/>
      <c r="L47" s="61"/>
      <c r="M47" s="640"/>
      <c r="N47" s="61"/>
      <c r="O47" s="640"/>
      <c r="P47" s="61"/>
      <c r="Q47" s="640"/>
      <c r="R47" s="61"/>
      <c r="S47" s="640"/>
      <c r="T47" s="61"/>
      <c r="U47" s="640"/>
      <c r="V47" s="61"/>
      <c r="W47" s="640"/>
      <c r="X47" s="61"/>
      <c r="Y47" s="640"/>
      <c r="Z47" s="61"/>
      <c r="AA47" s="640"/>
      <c r="AB47" s="164"/>
      <c r="AC47" s="164">
        <v>0</v>
      </c>
      <c r="AD47" s="61"/>
      <c r="AE47" s="52"/>
      <c r="AF47" s="1057">
        <f>ROUND(SUM(E47:AC47),1)</f>
        <v>0.2</v>
      </c>
      <c r="AG47" s="954"/>
      <c r="AH47" s="55"/>
      <c r="AI47" s="3349">
        <f>+'Exhibit I State'!AG46+'Exhibit I Federal'!AG29</f>
        <v>0</v>
      </c>
      <c r="AJ47" s="72"/>
      <c r="AK47" s="327"/>
      <c r="AL47" s="53">
        <f>ROUND(SUM(+AF47-AI47),1)</f>
        <v>0.2</v>
      </c>
      <c r="AM47" s="325"/>
      <c r="AN47" s="1394">
        <f>ROUND(IF(AI47=0,1,AL47/ABS(AI47)),3)</f>
        <v>1</v>
      </c>
      <c r="AO47" s="319"/>
    </row>
    <row r="48" spans="1:44" ht="15.75">
      <c r="A48" s="28"/>
      <c r="B48" s="869" t="s">
        <v>1036</v>
      </c>
      <c r="C48" s="28"/>
      <c r="D48" s="28"/>
      <c r="E48" s="640"/>
      <c r="F48" s="1489"/>
      <c r="G48" s="640"/>
      <c r="H48" s="1489"/>
      <c r="I48" s="640"/>
      <c r="J48" s="1489"/>
      <c r="K48" s="640"/>
      <c r="L48" s="61"/>
      <c r="M48" s="640"/>
      <c r="N48" s="61"/>
      <c r="O48" s="640"/>
      <c r="P48" s="61"/>
      <c r="Q48" s="640"/>
      <c r="R48" s="61"/>
      <c r="S48" s="640"/>
      <c r="T48" s="61"/>
      <c r="U48" s="640"/>
      <c r="V48" s="61"/>
      <c r="W48" s="640"/>
      <c r="X48" s="61"/>
      <c r="Y48" s="640"/>
      <c r="Z48" s="61"/>
      <c r="AA48" s="640"/>
      <c r="AB48" s="164"/>
      <c r="AC48" s="164"/>
      <c r="AD48" s="61"/>
      <c r="AE48" s="52"/>
      <c r="AF48" s="1057"/>
      <c r="AG48" s="954"/>
      <c r="AH48" s="55"/>
      <c r="AI48" s="3349"/>
      <c r="AJ48" s="72"/>
      <c r="AK48" s="327"/>
      <c r="AL48" s="53"/>
      <c r="AM48" s="325"/>
      <c r="AN48" s="8"/>
      <c r="AO48" s="319"/>
    </row>
    <row r="49" spans="1:41" ht="15.75">
      <c r="A49" s="28"/>
      <c r="B49" s="869" t="s">
        <v>963</v>
      </c>
      <c r="C49" s="28"/>
      <c r="D49" s="28"/>
      <c r="E49" s="640">
        <f>+'Exhibit I State'!E48+'Exhibit I Federal'!E31</f>
        <v>882.7</v>
      </c>
      <c r="F49" s="1489"/>
      <c r="G49" s="640">
        <f>+'Exhibit I State'!G48+'Exhibit I Federal'!G31</f>
        <v>972.59999999999991</v>
      </c>
      <c r="H49" s="1489"/>
      <c r="I49" s="640"/>
      <c r="J49" s="1489"/>
      <c r="K49" s="640"/>
      <c r="L49" s="61"/>
      <c r="M49" s="640"/>
      <c r="N49" s="61"/>
      <c r="O49" s="640"/>
      <c r="P49" s="61"/>
      <c r="Q49" s="640"/>
      <c r="R49" s="61"/>
      <c r="S49" s="640"/>
      <c r="T49" s="61"/>
      <c r="U49" s="640"/>
      <c r="V49" s="61"/>
      <c r="W49" s="640"/>
      <c r="X49" s="61"/>
      <c r="Y49" s="640"/>
      <c r="Z49" s="61"/>
      <c r="AA49" s="640"/>
      <c r="AB49" s="164"/>
      <c r="AC49" s="164">
        <v>0</v>
      </c>
      <c r="AD49" s="61"/>
      <c r="AE49" s="52"/>
      <c r="AF49" s="1057">
        <f>ROUND(SUM(E49:AC49),1)</f>
        <v>1855.3</v>
      </c>
      <c r="AG49" s="954"/>
      <c r="AH49" s="55"/>
      <c r="AI49" s="3349">
        <f>+'Exhibit I State'!AG48+'Exhibit I Federal'!AG31</f>
        <v>78.900000000000006</v>
      </c>
      <c r="AJ49" s="72"/>
      <c r="AK49" s="327"/>
      <c r="AL49" s="53">
        <f t="shared" si="0"/>
        <v>1776.4</v>
      </c>
      <c r="AM49" s="325"/>
      <c r="AN49" s="1828">
        <f>ROUND(IF(AI49=0,1,AL49/ABS(AI49)),3)</f>
        <v>22.515000000000001</v>
      </c>
      <c r="AO49" s="319"/>
    </row>
    <row r="50" spans="1:41" ht="15.75">
      <c r="A50" s="28"/>
      <c r="B50" s="869" t="s">
        <v>965</v>
      </c>
      <c r="C50" s="28"/>
      <c r="D50" s="28"/>
      <c r="E50" s="640">
        <f>+'Exhibit I State'!E49+'Exhibit I Federal'!E32</f>
        <v>0</v>
      </c>
      <c r="F50" s="640">
        <v>0</v>
      </c>
      <c r="G50" s="640">
        <f>+'Exhibit I State'!G49+'Exhibit I Federal'!G32</f>
        <v>0</v>
      </c>
      <c r="H50" s="640"/>
      <c r="I50" s="1099"/>
      <c r="J50" s="640"/>
      <c r="K50" s="1099"/>
      <c r="L50" s="164"/>
      <c r="M50" s="1099"/>
      <c r="N50" s="164"/>
      <c r="O50" s="1099"/>
      <c r="P50" s="164"/>
      <c r="Q50" s="1099"/>
      <c r="R50" s="61"/>
      <c r="S50" s="1099"/>
      <c r="T50" s="61"/>
      <c r="U50" s="1099"/>
      <c r="V50" s="61"/>
      <c r="W50" s="1099"/>
      <c r="X50" s="61"/>
      <c r="Y50" s="1099"/>
      <c r="Z50" s="61"/>
      <c r="AA50" s="640"/>
      <c r="AB50" s="164"/>
      <c r="AC50" s="164">
        <v>0</v>
      </c>
      <c r="AD50" s="61"/>
      <c r="AE50" s="52"/>
      <c r="AF50" s="1057">
        <f>ROUND(SUM(E50:AC50),1)</f>
        <v>0</v>
      </c>
      <c r="AG50" s="1444"/>
      <c r="AH50" s="55"/>
      <c r="AI50" s="3349">
        <f>+'Exhibit I State'!AG49+'Exhibit I Federal'!AG32</f>
        <v>0</v>
      </c>
      <c r="AJ50" s="72"/>
      <c r="AK50" s="327"/>
      <c r="AL50" s="53">
        <f t="shared" si="0"/>
        <v>0</v>
      </c>
      <c r="AM50" s="325"/>
      <c r="AN50" s="1394">
        <f>ROUND(IF(AI50=0,0,AL50/ABS(AI50)),3)</f>
        <v>0</v>
      </c>
      <c r="AO50" s="319"/>
    </row>
    <row r="51" spans="1:41" ht="15.75">
      <c r="A51" s="28"/>
      <c r="B51" s="869" t="s">
        <v>966</v>
      </c>
      <c r="C51" s="28"/>
      <c r="D51" s="28"/>
      <c r="E51" s="640">
        <f>+'Exhibit I State'!E50+'Exhibit I Federal'!E33</f>
        <v>0.4</v>
      </c>
      <c r="F51" s="1489"/>
      <c r="G51" s="640">
        <f>+'Exhibit I State'!G50+'Exhibit I Federal'!G33</f>
        <v>-0.10000000000000003</v>
      </c>
      <c r="H51" s="1489"/>
      <c r="I51" s="640"/>
      <c r="J51" s="1489"/>
      <c r="K51" s="640"/>
      <c r="L51" s="61"/>
      <c r="M51" s="640"/>
      <c r="N51" s="61"/>
      <c r="O51" s="640"/>
      <c r="P51" s="61"/>
      <c r="Q51" s="640"/>
      <c r="R51" s="61"/>
      <c r="S51" s="640"/>
      <c r="T51" s="61"/>
      <c r="U51" s="640"/>
      <c r="V51" s="61"/>
      <c r="W51" s="640"/>
      <c r="X51" s="61"/>
      <c r="Y51" s="640"/>
      <c r="Z51" s="61"/>
      <c r="AA51" s="640"/>
      <c r="AB51" s="164"/>
      <c r="AC51" s="164">
        <v>0</v>
      </c>
      <c r="AD51" s="61"/>
      <c r="AE51" s="52"/>
      <c r="AF51" s="1057">
        <f>ROUND(SUM(E51:AC51),1)</f>
        <v>0.3</v>
      </c>
      <c r="AG51" s="954"/>
      <c r="AH51" s="55"/>
      <c r="AI51" s="3349">
        <f>+'Exhibit I State'!AG50+'Exhibit I Federal'!AG33</f>
        <v>3</v>
      </c>
      <c r="AJ51" s="72"/>
      <c r="AK51" s="327"/>
      <c r="AL51" s="53">
        <f t="shared" si="0"/>
        <v>-2.7</v>
      </c>
      <c r="AM51" s="325"/>
      <c r="AN51" s="1515">
        <f>ROUND(IF(AI51=0,1,AL51/ABS(AI51)),3)</f>
        <v>-0.9</v>
      </c>
      <c r="AO51" s="319"/>
    </row>
    <row r="52" spans="1:41" ht="15.75">
      <c r="A52" s="28"/>
      <c r="B52" s="869" t="s">
        <v>938</v>
      </c>
      <c r="C52" s="28"/>
      <c r="D52" s="28"/>
      <c r="E52" s="640">
        <f>+'Exhibit I State'!E51+'Exhibit I Federal'!E34</f>
        <v>2.6</v>
      </c>
      <c r="F52" s="1489"/>
      <c r="G52" s="640">
        <f>+'Exhibit I State'!G51+'Exhibit I Federal'!G34</f>
        <v>10.6</v>
      </c>
      <c r="H52" s="1489"/>
      <c r="I52" s="640"/>
      <c r="J52" s="1489"/>
      <c r="K52" s="640"/>
      <c r="L52" s="61"/>
      <c r="M52" s="640"/>
      <c r="N52" s="61"/>
      <c r="O52" s="640"/>
      <c r="P52" s="61"/>
      <c r="Q52" s="640"/>
      <c r="R52" s="61"/>
      <c r="S52" s="640"/>
      <c r="T52" s="61"/>
      <c r="U52" s="640"/>
      <c r="V52" s="61"/>
      <c r="W52" s="640"/>
      <c r="X52" s="61"/>
      <c r="Y52" s="640"/>
      <c r="Z52" s="61"/>
      <c r="AA52" s="640"/>
      <c r="AB52" s="164"/>
      <c r="AC52" s="164">
        <v>0</v>
      </c>
      <c r="AD52" s="61"/>
      <c r="AE52" s="52"/>
      <c r="AF52" s="1057">
        <f>ROUND(SUM(E52:AC52),1)</f>
        <v>13.2</v>
      </c>
      <c r="AG52" s="954"/>
      <c r="AH52" s="55"/>
      <c r="AI52" s="3351">
        <f>+'Exhibit I State'!AG51+'Exhibit I Federal'!AG34</f>
        <v>4.0999999999999996</v>
      </c>
      <c r="AJ52" s="72"/>
      <c r="AK52" s="327"/>
      <c r="AL52" s="53">
        <f t="shared" si="0"/>
        <v>9.1</v>
      </c>
      <c r="AM52" s="325"/>
      <c r="AN52" s="8">
        <f>ROUND(IF(AI52=0,0,AL52/ABS(AI52)),3)</f>
        <v>2.2200000000000002</v>
      </c>
      <c r="AO52" s="319"/>
    </row>
    <row r="53" spans="1:41" ht="15.75">
      <c r="A53" s="28"/>
      <c r="B53" s="869" t="s">
        <v>1037</v>
      </c>
      <c r="C53" s="28"/>
      <c r="D53" s="28"/>
      <c r="E53" s="640"/>
      <c r="F53" s="1489"/>
      <c r="G53" s="640"/>
      <c r="H53" s="1489"/>
      <c r="I53" s="640"/>
      <c r="J53" s="1489"/>
      <c r="K53" s="640"/>
      <c r="L53" s="61"/>
      <c r="M53" s="640"/>
      <c r="N53" s="61"/>
      <c r="O53" s="640"/>
      <c r="P53" s="61"/>
      <c r="Q53" s="640"/>
      <c r="R53" s="61"/>
      <c r="S53" s="640"/>
      <c r="T53" s="61"/>
      <c r="U53" s="640"/>
      <c r="V53" s="61"/>
      <c r="W53" s="640"/>
      <c r="X53" s="61"/>
      <c r="Y53" s="640"/>
      <c r="Z53" s="61"/>
      <c r="AA53" s="640"/>
      <c r="AB53" s="164"/>
      <c r="AC53" s="640" t="s">
        <v>14</v>
      </c>
      <c r="AD53" s="61"/>
      <c r="AE53" s="52"/>
      <c r="AF53" s="1057"/>
      <c r="AG53" s="954"/>
      <c r="AH53" s="55"/>
      <c r="AI53" s="3349"/>
      <c r="AJ53" s="72"/>
      <c r="AK53" s="327"/>
      <c r="AL53" s="53"/>
      <c r="AM53" s="325"/>
      <c r="AN53" s="8"/>
      <c r="AO53" s="319"/>
    </row>
    <row r="54" spans="1:41" ht="15.75">
      <c r="A54" s="28"/>
      <c r="B54" s="869" t="s">
        <v>967</v>
      </c>
      <c r="C54" s="28"/>
      <c r="D54" s="28"/>
      <c r="E54" s="640">
        <f>+'Exhibit I State'!E53+'Exhibit I Federal'!E36</f>
        <v>0</v>
      </c>
      <c r="F54" s="1489"/>
      <c r="G54" s="640">
        <f>+'Exhibit I State'!G53+'Exhibit I Federal'!G36</f>
        <v>0</v>
      </c>
      <c r="H54" s="1489"/>
      <c r="I54" s="640"/>
      <c r="J54" s="1489"/>
      <c r="K54" s="640"/>
      <c r="L54" s="61"/>
      <c r="M54" s="640"/>
      <c r="N54" s="61"/>
      <c r="O54" s="640"/>
      <c r="P54" s="61"/>
      <c r="Q54" s="640"/>
      <c r="R54" s="61"/>
      <c r="S54" s="640"/>
      <c r="T54" s="61"/>
      <c r="U54" s="640"/>
      <c r="V54" s="61"/>
      <c r="W54" s="640"/>
      <c r="X54" s="61"/>
      <c r="Y54" s="640"/>
      <c r="Z54" s="61"/>
      <c r="AA54" s="640"/>
      <c r="AB54" s="164"/>
      <c r="AC54" s="350">
        <v>0</v>
      </c>
      <c r="AD54" s="112"/>
      <c r="AE54" s="658"/>
      <c r="AF54" s="1057">
        <f t="shared" ref="AF54:AF58" si="2">ROUND(SUM(E54:AC54),1)</f>
        <v>0</v>
      </c>
      <c r="AG54" s="1083"/>
      <c r="AH54" s="63"/>
      <c r="AI54" s="3349">
        <f>+'Exhibit I State'!AG53+'Exhibit I Federal'!AG36</f>
        <v>0</v>
      </c>
      <c r="AJ54" s="72"/>
      <c r="AK54" s="327"/>
      <c r="AL54" s="650">
        <f>ROUND(SUM(+AF54-AI54),1)</f>
        <v>0</v>
      </c>
      <c r="AM54" s="920"/>
      <c r="AN54" s="1394">
        <f>ROUND(IF(AI54=0,0,AL54/ABS(AI54)),3)</f>
        <v>0</v>
      </c>
      <c r="AO54" s="319"/>
    </row>
    <row r="55" spans="1:41" ht="15.75">
      <c r="A55" s="28"/>
      <c r="B55" s="869" t="s">
        <v>969</v>
      </c>
      <c r="C55" s="28"/>
      <c r="D55" s="28"/>
      <c r="E55" s="640">
        <f>+'Exhibit I State'!E54+'Exhibit I Federal'!E37</f>
        <v>0</v>
      </c>
      <c r="F55" s="1489"/>
      <c r="G55" s="640">
        <f>+'Exhibit I State'!G54+'Exhibit I Federal'!G37</f>
        <v>1.3</v>
      </c>
      <c r="H55" s="1489"/>
      <c r="I55" s="640"/>
      <c r="J55" s="1489"/>
      <c r="K55" s="640"/>
      <c r="L55" s="61"/>
      <c r="M55" s="640"/>
      <c r="N55" s="61"/>
      <c r="O55" s="640"/>
      <c r="P55" s="61"/>
      <c r="Q55" s="640"/>
      <c r="R55" s="61"/>
      <c r="S55" s="640"/>
      <c r="T55" s="61"/>
      <c r="U55" s="640"/>
      <c r="V55" s="61"/>
      <c r="W55" s="640"/>
      <c r="X55" s="61"/>
      <c r="Y55" s="640"/>
      <c r="Z55" s="61"/>
      <c r="AA55" s="640"/>
      <c r="AB55" s="164"/>
      <c r="AC55" s="350">
        <v>0</v>
      </c>
      <c r="AD55" s="112"/>
      <c r="AE55" s="658"/>
      <c r="AF55" s="1057">
        <f t="shared" si="2"/>
        <v>1.3</v>
      </c>
      <c r="AG55" s="1083"/>
      <c r="AH55" s="63"/>
      <c r="AI55" s="3349">
        <f>+'Exhibit I State'!AG54+'Exhibit I Federal'!AG37</f>
        <v>3.1</v>
      </c>
      <c r="AJ55" s="72"/>
      <c r="AK55" s="327"/>
      <c r="AL55" s="650">
        <f>ROUND(SUM(+AF55-AI55),1)</f>
        <v>-1.8</v>
      </c>
      <c r="AM55" s="920"/>
      <c r="AN55" s="1433">
        <f>ROUND(IF(AI55=0,1,AL55/ABS(AI55)),3)</f>
        <v>-0.58099999999999996</v>
      </c>
      <c r="AO55" s="319"/>
    </row>
    <row r="56" spans="1:41" ht="15.75">
      <c r="A56" s="28"/>
      <c r="B56" s="869" t="s">
        <v>970</v>
      </c>
      <c r="C56" s="28"/>
      <c r="D56" s="28"/>
      <c r="E56" s="640">
        <f>+'Exhibit I State'!E55+'Exhibit I Federal'!E38</f>
        <v>5.7</v>
      </c>
      <c r="F56" s="1489"/>
      <c r="G56" s="640">
        <f>+'Exhibit I State'!G55+'Exhibit I Federal'!G38</f>
        <v>4.2</v>
      </c>
      <c r="H56" s="1489"/>
      <c r="I56" s="640"/>
      <c r="J56" s="1489"/>
      <c r="K56" s="640"/>
      <c r="L56" s="61"/>
      <c r="M56" s="640"/>
      <c r="N56" s="61"/>
      <c r="O56" s="640"/>
      <c r="P56" s="61"/>
      <c r="Q56" s="640"/>
      <c r="R56" s="61"/>
      <c r="S56" s="640"/>
      <c r="T56" s="61"/>
      <c r="U56" s="640"/>
      <c r="V56" s="61"/>
      <c r="W56" s="640"/>
      <c r="X56" s="61"/>
      <c r="Y56" s="640"/>
      <c r="Z56" s="61"/>
      <c r="AA56" s="640"/>
      <c r="AB56" s="164"/>
      <c r="AC56" s="350">
        <v>0</v>
      </c>
      <c r="AD56" s="112"/>
      <c r="AE56" s="658"/>
      <c r="AF56" s="1057">
        <f t="shared" si="2"/>
        <v>9.9</v>
      </c>
      <c r="AG56" s="2133"/>
      <c r="AH56" s="63"/>
      <c r="AI56" s="3349">
        <f>+'Exhibit I State'!AG55+'Exhibit I Federal'!AG38</f>
        <v>0</v>
      </c>
      <c r="AJ56" s="72"/>
      <c r="AK56" s="327"/>
      <c r="AL56" s="650">
        <f>ROUND(SUM(+AF56-AI56),1)</f>
        <v>9.9</v>
      </c>
      <c r="AM56" s="920"/>
      <c r="AN56" s="1394">
        <f>ROUND(IF(AI56=0,1,AL56/ABS(AI56)),3)</f>
        <v>1</v>
      </c>
      <c r="AO56" s="319"/>
    </row>
    <row r="57" spans="1:41" ht="15.75">
      <c r="A57" s="28"/>
      <c r="B57" s="869" t="s">
        <v>972</v>
      </c>
      <c r="C57" s="28"/>
      <c r="D57" s="28"/>
      <c r="E57" s="640">
        <f>+'Exhibit I State'!E56</f>
        <v>0</v>
      </c>
      <c r="F57" s="1489"/>
      <c r="G57" s="640">
        <f>+'Exhibit I State'!G56</f>
        <v>0</v>
      </c>
      <c r="H57" s="1489"/>
      <c r="I57" s="640"/>
      <c r="J57" s="1489"/>
      <c r="K57" s="640"/>
      <c r="L57" s="61"/>
      <c r="M57" s="640"/>
      <c r="N57" s="61"/>
      <c r="O57" s="640"/>
      <c r="P57" s="61"/>
      <c r="Q57" s="640"/>
      <c r="R57" s="61"/>
      <c r="S57" s="640"/>
      <c r="T57" s="61"/>
      <c r="U57" s="640"/>
      <c r="V57" s="61"/>
      <c r="W57" s="640"/>
      <c r="X57" s="61"/>
      <c r="Y57" s="640"/>
      <c r="Z57" s="61"/>
      <c r="AA57" s="640"/>
      <c r="AB57" s="164"/>
      <c r="AC57" s="350">
        <v>0</v>
      </c>
      <c r="AD57" s="112"/>
      <c r="AE57" s="658"/>
      <c r="AF57" s="1057">
        <f t="shared" si="2"/>
        <v>0</v>
      </c>
      <c r="AG57" s="2134"/>
      <c r="AH57" s="63"/>
      <c r="AI57" s="3349">
        <f>+'Exhibit I State'!AG56</f>
        <v>0</v>
      </c>
      <c r="AJ57" s="72"/>
      <c r="AK57" s="327"/>
      <c r="AL57" s="650">
        <f>ROUND(SUM(+AF57-AI57),1)</f>
        <v>0</v>
      </c>
      <c r="AM57" s="920"/>
      <c r="AN57" s="1394">
        <f>ROUND(IF(AI57=0,0,AL57/ABS(AI57)),3)</f>
        <v>0</v>
      </c>
      <c r="AO57" s="319"/>
    </row>
    <row r="58" spans="1:41" ht="15.75">
      <c r="A58" s="28"/>
      <c r="B58" s="869" t="s">
        <v>973</v>
      </c>
      <c r="C58" s="28"/>
      <c r="D58" s="28"/>
      <c r="E58" s="640">
        <f>+'Exhibit I State'!E57+'Exhibit I Federal'!E39</f>
        <v>0.5</v>
      </c>
      <c r="F58" s="1489"/>
      <c r="G58" s="640">
        <f>+'Exhibit I State'!G57+'Exhibit I Federal'!G39</f>
        <v>3</v>
      </c>
      <c r="H58" s="1489"/>
      <c r="I58" s="640"/>
      <c r="J58" s="1489"/>
      <c r="K58" s="640"/>
      <c r="L58" s="61"/>
      <c r="M58" s="640"/>
      <c r="N58" s="61"/>
      <c r="O58" s="640"/>
      <c r="P58" s="61"/>
      <c r="Q58" s="640"/>
      <c r="R58" s="61"/>
      <c r="S58" s="640"/>
      <c r="T58" s="61"/>
      <c r="U58" s="640"/>
      <c r="V58" s="61"/>
      <c r="W58" s="640"/>
      <c r="X58" s="61"/>
      <c r="Y58" s="640"/>
      <c r="Z58" s="61"/>
      <c r="AA58" s="640"/>
      <c r="AB58" s="164"/>
      <c r="AC58" s="350">
        <v>0</v>
      </c>
      <c r="AD58" s="112"/>
      <c r="AE58" s="658"/>
      <c r="AF58" s="1057">
        <f t="shared" si="2"/>
        <v>3.5</v>
      </c>
      <c r="AG58" s="1083"/>
      <c r="AH58" s="63"/>
      <c r="AI58" s="3349">
        <f>+'Exhibit I State'!AG57+'Exhibit I Federal'!AG39</f>
        <v>1.6</v>
      </c>
      <c r="AJ58" s="72"/>
      <c r="AK58" s="327"/>
      <c r="AL58" s="53">
        <f t="shared" si="0"/>
        <v>1.9</v>
      </c>
      <c r="AM58" s="325"/>
      <c r="AN58" s="1828">
        <f>ROUND(IF(AI58=0,1,AL58/ABS(AI58)),3)</f>
        <v>1.1879999999999999</v>
      </c>
      <c r="AO58" s="319"/>
    </row>
    <row r="59" spans="1:41" ht="15.75">
      <c r="A59" s="28"/>
      <c r="B59" s="869" t="s">
        <v>975</v>
      </c>
      <c r="C59" s="28"/>
      <c r="D59" s="28"/>
      <c r="E59" s="640">
        <f>+'Exhibit I State'!E58+'Exhibit I Federal'!E40</f>
        <v>7.3</v>
      </c>
      <c r="F59" s="1489"/>
      <c r="G59" s="640">
        <f>+'Exhibit I State'!G58+'Exhibit I Federal'!G40</f>
        <v>1.8999999999999995</v>
      </c>
      <c r="H59" s="1489"/>
      <c r="I59" s="640"/>
      <c r="J59" s="1489"/>
      <c r="K59" s="640"/>
      <c r="L59" s="61"/>
      <c r="M59" s="640"/>
      <c r="N59" s="61"/>
      <c r="O59" s="640"/>
      <c r="P59" s="61"/>
      <c r="Q59" s="640"/>
      <c r="R59" s="61"/>
      <c r="S59" s="640"/>
      <c r="T59" s="61"/>
      <c r="U59" s="640"/>
      <c r="V59" s="61"/>
      <c r="W59" s="640"/>
      <c r="X59" s="61"/>
      <c r="Y59" s="640"/>
      <c r="Z59" s="61"/>
      <c r="AA59" s="640"/>
      <c r="AB59" s="164"/>
      <c r="AC59" s="350">
        <v>0</v>
      </c>
      <c r="AD59" s="112"/>
      <c r="AE59" s="658"/>
      <c r="AF59" s="1057">
        <f>ROUND(SUM(E59:AC59),1)</f>
        <v>9.1999999999999993</v>
      </c>
      <c r="AG59" s="1083"/>
      <c r="AH59" s="63"/>
      <c r="AI59" s="3351">
        <f>+'Exhibit I State'!AG58+'Exhibit I Federal'!AG40</f>
        <v>4.3</v>
      </c>
      <c r="AJ59" s="72"/>
      <c r="AK59" s="327"/>
      <c r="AL59" s="53">
        <f t="shared" si="0"/>
        <v>4.9000000000000004</v>
      </c>
      <c r="AM59" s="325"/>
      <c r="AN59" s="1340">
        <f>ROUND(IF(AI59=0,0,AL59/ABS(AI59)),3)</f>
        <v>1.1399999999999999</v>
      </c>
      <c r="AO59" s="319"/>
    </row>
    <row r="60" spans="1:41" ht="15.75">
      <c r="A60" s="28"/>
      <c r="B60" s="869" t="s">
        <v>948</v>
      </c>
      <c r="C60" s="28"/>
      <c r="D60" s="28"/>
      <c r="E60" s="640">
        <f>+'Exhibit I State'!E59+'Exhibit I Federal'!E41</f>
        <v>0</v>
      </c>
      <c r="F60" s="1489"/>
      <c r="G60" s="640">
        <f>+'Exhibit I State'!G59+'Exhibit I Federal'!G41</f>
        <v>0.2</v>
      </c>
      <c r="H60" s="1489"/>
      <c r="I60" s="640"/>
      <c r="J60" s="1489"/>
      <c r="K60" s="640"/>
      <c r="L60" s="61"/>
      <c r="M60" s="640"/>
      <c r="N60" s="61"/>
      <c r="O60" s="640"/>
      <c r="P60" s="61"/>
      <c r="Q60" s="640"/>
      <c r="R60" s="61"/>
      <c r="S60" s="640"/>
      <c r="T60" s="61"/>
      <c r="U60" s="640"/>
      <c r="V60" s="61"/>
      <c r="W60" s="640"/>
      <c r="X60" s="61"/>
      <c r="Y60" s="640"/>
      <c r="Z60" s="61"/>
      <c r="AA60" s="640"/>
      <c r="AB60" s="164"/>
      <c r="AC60" s="350">
        <v>0</v>
      </c>
      <c r="AD60" s="112"/>
      <c r="AE60" s="658"/>
      <c r="AF60" s="1057">
        <f>ROUND(SUM(E60:AC60),1)</f>
        <v>0.2</v>
      </c>
      <c r="AG60" s="1083"/>
      <c r="AH60" s="63"/>
      <c r="AI60" s="3349">
        <f>+'Exhibit I State'!AG59+'Exhibit I Federal'!AG41</f>
        <v>0.1</v>
      </c>
      <c r="AJ60" s="72"/>
      <c r="AK60" s="327"/>
      <c r="AL60" s="53">
        <f t="shared" si="0"/>
        <v>0.1</v>
      </c>
      <c r="AM60" s="325"/>
      <c r="AN60" s="1443">
        <f>ROUND(IF(AI60=0,1,AL60/ABS(AI60)),3)</f>
        <v>1</v>
      </c>
      <c r="AO60" s="319"/>
    </row>
    <row r="61" spans="1:41" s="324" customFormat="1" ht="15.75">
      <c r="A61" s="26"/>
      <c r="B61" s="304" t="s">
        <v>1076</v>
      </c>
      <c r="C61" s="26"/>
      <c r="D61" s="26"/>
      <c r="E61" s="252">
        <f>ROUND(SUM(E37:E60),1)</f>
        <v>972.9</v>
      </c>
      <c r="F61" s="899"/>
      <c r="G61" s="252">
        <f>ROUND(SUM(G37:G60),1)</f>
        <v>1067.4000000000001</v>
      </c>
      <c r="H61" s="1042"/>
      <c r="I61" s="252">
        <f>ROUND(SUM(I37:I60),1)</f>
        <v>0</v>
      </c>
      <c r="J61" s="899"/>
      <c r="K61" s="252">
        <f>ROUND(SUM(K37:K60),1)</f>
        <v>0</v>
      </c>
      <c r="L61" s="899"/>
      <c r="M61" s="252">
        <f>ROUND(SUM(M37:M60),1)</f>
        <v>0</v>
      </c>
      <c r="N61" s="899"/>
      <c r="O61" s="252">
        <f>ROUND(SUM(O37:O60),1)</f>
        <v>0</v>
      </c>
      <c r="P61" s="899"/>
      <c r="Q61" s="252">
        <f>ROUND(SUM(Q37:Q60),1)</f>
        <v>0</v>
      </c>
      <c r="R61" s="899"/>
      <c r="S61" s="1497">
        <f>ROUND(SUM(S37:S60),1)</f>
        <v>0</v>
      </c>
      <c r="T61" s="899"/>
      <c r="U61" s="1497">
        <f>ROUND(SUM(U37:U60),1)</f>
        <v>0</v>
      </c>
      <c r="V61" s="899"/>
      <c r="W61" s="1497">
        <f>ROUND(SUM(W37:W60),1)</f>
        <v>0</v>
      </c>
      <c r="X61" s="899"/>
      <c r="Y61" s="1497">
        <f>ROUND(SUM(Y37:Y60),1)</f>
        <v>0</v>
      </c>
      <c r="Z61" s="899"/>
      <c r="AA61" s="252">
        <f>ROUND(SUM(AA37:AA60),1)</f>
        <v>0</v>
      </c>
      <c r="AB61" s="1490"/>
      <c r="AC61" s="1497">
        <f>ROUND(SUM(AC37:AC60),1)</f>
        <v>0</v>
      </c>
      <c r="AD61" s="106"/>
      <c r="AE61" s="659"/>
      <c r="AF61" s="1497">
        <f>ROUND(SUM(AF37:AF60),1)</f>
        <v>2040.3</v>
      </c>
      <c r="AG61" s="1063"/>
      <c r="AH61" s="109"/>
      <c r="AI61" s="1497">
        <f>ROUND(SUM(AI37:AI60),1)</f>
        <v>271.8</v>
      </c>
      <c r="AJ61" s="79"/>
      <c r="AK61" s="327"/>
      <c r="AL61" s="252">
        <f>ROUND(SUM(AL37:AL60),1)</f>
        <v>1768.5</v>
      </c>
      <c r="AM61" s="1043"/>
      <c r="AN61" s="1044">
        <f>ROUND(SUM(AL61/AI61),3)</f>
        <v>6.5069999999999997</v>
      </c>
    </row>
    <row r="62" spans="1:41" ht="15.75">
      <c r="A62" s="28"/>
      <c r="B62" s="304"/>
      <c r="C62" s="28"/>
      <c r="D62" s="28"/>
      <c r="E62" s="1489"/>
      <c r="F62" s="1489"/>
      <c r="G62" s="1489"/>
      <c r="H62" s="666"/>
      <c r="I62" s="1489"/>
      <c r="J62" s="1489"/>
      <c r="K62" s="1489"/>
      <c r="L62" s="61"/>
      <c r="M62" s="1489"/>
      <c r="N62" s="61"/>
      <c r="O62" s="1489"/>
      <c r="P62" s="61"/>
      <c r="Q62" s="1489"/>
      <c r="R62" s="61"/>
      <c r="S62" s="872"/>
      <c r="T62" s="61"/>
      <c r="U62" s="872"/>
      <c r="V62" s="61"/>
      <c r="W62" s="872"/>
      <c r="X62" s="61"/>
      <c r="Y62" s="872"/>
      <c r="Z62" s="61"/>
      <c r="AA62" s="1489"/>
      <c r="AB62" s="1489"/>
      <c r="AC62" s="872"/>
      <c r="AD62" s="112"/>
      <c r="AE62" s="658"/>
      <c r="AF62" s="1057"/>
      <c r="AG62" s="1062"/>
      <c r="AH62" s="62"/>
      <c r="AI62" s="112"/>
      <c r="AJ62" s="72"/>
      <c r="AK62" s="327"/>
      <c r="AL62" s="53"/>
      <c r="AM62" s="328"/>
      <c r="AN62" s="326"/>
    </row>
    <row r="63" spans="1:41" ht="15.75">
      <c r="A63" s="28"/>
      <c r="B63" s="28" t="s">
        <v>146</v>
      </c>
      <c r="C63" s="28"/>
      <c r="D63" s="28"/>
      <c r="E63" s="666">
        <f>+'Exhibit I State'!E62+'Exhibit I Federal'!E44</f>
        <v>134.4</v>
      </c>
      <c r="F63" s="1489"/>
      <c r="G63" s="666">
        <f>+'Exhibit I State'!G62+'Exhibit I Federal'!G44</f>
        <v>166.20000000000002</v>
      </c>
      <c r="H63" s="1489"/>
      <c r="I63" s="666"/>
      <c r="J63" s="1489"/>
      <c r="K63" s="666"/>
      <c r="L63" s="61"/>
      <c r="M63" s="666"/>
      <c r="N63" s="61"/>
      <c r="O63" s="666"/>
      <c r="P63" s="61"/>
      <c r="Q63" s="666"/>
      <c r="R63" s="61"/>
      <c r="S63" s="666"/>
      <c r="T63" s="61"/>
      <c r="U63" s="666"/>
      <c r="V63" s="61"/>
      <c r="W63" s="666"/>
      <c r="X63" s="61"/>
      <c r="Y63" s="666"/>
      <c r="Z63" s="61"/>
      <c r="AA63" s="3463"/>
      <c r="AB63" s="271"/>
      <c r="AC63" s="1057">
        <v>0</v>
      </c>
      <c r="AD63" s="112"/>
      <c r="AE63" s="658"/>
      <c r="AF63" s="112">
        <f>ROUND(SUM(E63:AC63),1)</f>
        <v>300.60000000000002</v>
      </c>
      <c r="AG63" s="1058"/>
      <c r="AH63" s="62"/>
      <c r="AI63" s="112">
        <f>+'Exhibit I State'!AG62+'Exhibit I Federal'!AG44</f>
        <v>28.9</v>
      </c>
      <c r="AJ63" s="72"/>
      <c r="AK63" s="329"/>
      <c r="AL63" s="330">
        <f>ROUND(SUM(+AF63-AI63),1)</f>
        <v>271.7</v>
      </c>
      <c r="AM63" s="328"/>
      <c r="AN63" s="3898">
        <f>ROUND(SUM(AL63/AI63),3)</f>
        <v>9.4009999999999998</v>
      </c>
    </row>
    <row r="64" spans="1:41" ht="15.75">
      <c r="A64" s="28"/>
      <c r="B64" s="28"/>
      <c r="C64" s="28"/>
      <c r="D64" s="28"/>
      <c r="E64" s="667"/>
      <c r="F64" s="1489"/>
      <c r="G64" s="667"/>
      <c r="H64" s="1489"/>
      <c r="I64" s="667"/>
      <c r="J64" s="1489"/>
      <c r="K64" s="667"/>
      <c r="L64" s="61"/>
      <c r="M64" s="667"/>
      <c r="N64" s="61"/>
      <c r="O64" s="667"/>
      <c r="P64" s="61"/>
      <c r="Q64" s="667"/>
      <c r="R64" s="61"/>
      <c r="S64" s="120"/>
      <c r="T64" s="61"/>
      <c r="U64" s="120"/>
      <c r="V64" s="61"/>
      <c r="W64" s="120"/>
      <c r="X64" s="61"/>
      <c r="Y64" s="120"/>
      <c r="Z64" s="61"/>
      <c r="AA64" s="83"/>
      <c r="AB64" s="51"/>
      <c r="AC64" s="120"/>
      <c r="AD64" s="112"/>
      <c r="AE64" s="658"/>
      <c r="AF64" s="120"/>
      <c r="AG64" s="1058"/>
      <c r="AH64" s="62"/>
      <c r="AI64" s="120"/>
      <c r="AJ64" s="51"/>
      <c r="AK64" s="329"/>
      <c r="AL64" s="53"/>
      <c r="AM64" s="319"/>
      <c r="AN64" s="326"/>
    </row>
    <row r="65" spans="1:44" ht="15.75">
      <c r="A65" s="28"/>
      <c r="B65" s="26" t="s">
        <v>193</v>
      </c>
      <c r="C65" s="28"/>
      <c r="D65" s="28"/>
      <c r="E65" s="1793">
        <f>ROUND(SUM(+E61+E63+E33),1)</f>
        <v>1199.2</v>
      </c>
      <c r="F65" s="899"/>
      <c r="G65" s="1793">
        <f>ROUND(SUM(+G61+G63+G33),1)</f>
        <v>1323.9</v>
      </c>
      <c r="H65" s="899"/>
      <c r="I65" s="1793">
        <f>ROUND(SUM(+I61+I63+I33),1)</f>
        <v>0</v>
      </c>
      <c r="J65" s="899"/>
      <c r="K65" s="1793">
        <f>ROUND(SUM(+K61+K63+K33),1)</f>
        <v>0</v>
      </c>
      <c r="L65" s="57"/>
      <c r="M65" s="1793">
        <f>ROUND(SUM(+M61+M63+M33),1)</f>
        <v>0</v>
      </c>
      <c r="N65" s="57"/>
      <c r="O65" s="1793">
        <f>ROUND(SUM(+O61+O63+O33),1)</f>
        <v>0</v>
      </c>
      <c r="P65" s="57"/>
      <c r="Q65" s="1793">
        <f>ROUND(SUM(+Q61+Q63+Q33),1)</f>
        <v>0</v>
      </c>
      <c r="R65" s="57"/>
      <c r="S65" s="306">
        <f>ROUND(SUM(+S61+S63+S33),1)</f>
        <v>0</v>
      </c>
      <c r="T65" s="57"/>
      <c r="U65" s="306">
        <f>ROUND(SUM(+U61+U63+U33),1)</f>
        <v>0</v>
      </c>
      <c r="V65" s="57"/>
      <c r="W65" s="306">
        <f>ROUND(SUM(+W61+W63+W33),1)</f>
        <v>0</v>
      </c>
      <c r="X65" s="57"/>
      <c r="Y65" s="306">
        <f>ROUND(SUM(+Y61+Y63+Y33),1)</f>
        <v>0</v>
      </c>
      <c r="Z65" s="57"/>
      <c r="AA65" s="306">
        <f>ROUND(SUM(+AA61+AA63+AA33),1)</f>
        <v>0</v>
      </c>
      <c r="AB65" s="1032"/>
      <c r="AC65" s="306">
        <f>ROUND(SUM(+AC61+AC63+AC33),1)</f>
        <v>0</v>
      </c>
      <c r="AD65" s="57"/>
      <c r="AE65" s="59"/>
      <c r="AF65" s="306">
        <f>ROUND(SUM(+AF61+AF63+AF33),1)</f>
        <v>2523.1</v>
      </c>
      <c r="AG65" s="210"/>
      <c r="AH65" s="71"/>
      <c r="AI65" s="306">
        <f>ROUND(SUM(+AI61+AI63+AI33),1)</f>
        <v>478.1</v>
      </c>
      <c r="AJ65" s="79"/>
      <c r="AK65" s="329"/>
      <c r="AL65" s="306">
        <f>ROUND(SUM(+AL61+AL63+AL33),1)</f>
        <v>2045</v>
      </c>
      <c r="AM65" s="160"/>
      <c r="AN65" s="877">
        <f>ROUND(SUM(AL65/AI65),3)</f>
        <v>4.2770000000000001</v>
      </c>
      <c r="AO65" s="324"/>
      <c r="AP65" s="331"/>
      <c r="AQ65" s="324"/>
      <c r="AR65" s="324"/>
    </row>
    <row r="66" spans="1:44" ht="15.75">
      <c r="A66" s="28"/>
      <c r="B66" s="28"/>
      <c r="C66" s="28"/>
      <c r="D66" s="28"/>
      <c r="E66" s="667"/>
      <c r="F66" s="1489"/>
      <c r="G66" s="667"/>
      <c r="H66" s="1489"/>
      <c r="I66" s="667"/>
      <c r="J66" s="1489"/>
      <c r="K66" s="667"/>
      <c r="L66" s="61"/>
      <c r="M66" s="667"/>
      <c r="N66" s="61"/>
      <c r="O66" s="667"/>
      <c r="P66" s="61"/>
      <c r="Q66" s="667"/>
      <c r="R66" s="61"/>
      <c r="S66" s="120"/>
      <c r="T66" s="61"/>
      <c r="U66" s="120"/>
      <c r="V66" s="61"/>
      <c r="W66" s="120"/>
      <c r="X66" s="61"/>
      <c r="Y66" s="120"/>
      <c r="Z66" s="61"/>
      <c r="AA66" s="83"/>
      <c r="AB66" s="51"/>
      <c r="AC66" s="83"/>
      <c r="AD66" s="61"/>
      <c r="AE66" s="52"/>
      <c r="AF66" s="120"/>
      <c r="AG66" s="74"/>
      <c r="AH66" s="51"/>
      <c r="AI66" s="120"/>
      <c r="AJ66" s="51"/>
      <c r="AK66" s="329"/>
      <c r="AL66" s="53"/>
      <c r="AM66" s="319"/>
      <c r="AN66" s="326"/>
    </row>
    <row r="67" spans="1:44" ht="15.75">
      <c r="A67" s="28"/>
      <c r="B67" s="26" t="s">
        <v>22</v>
      </c>
      <c r="C67" s="28"/>
      <c r="D67" s="28"/>
      <c r="E67" s="1489"/>
      <c r="F67" s="1489"/>
      <c r="G67" s="1489"/>
      <c r="H67" s="1489"/>
      <c r="I67" s="1489"/>
      <c r="J67" s="1489"/>
      <c r="K67" s="1489"/>
      <c r="L67" s="61"/>
      <c r="M67" s="1489"/>
      <c r="N67" s="61"/>
      <c r="O67" s="1489"/>
      <c r="P67" s="61"/>
      <c r="Q67" s="1489"/>
      <c r="R67" s="61"/>
      <c r="S67" s="112"/>
      <c r="T67" s="61"/>
      <c r="U67" s="112"/>
      <c r="V67" s="61"/>
      <c r="W67" s="112"/>
      <c r="X67" s="61"/>
      <c r="Y67" s="112"/>
      <c r="Z67" s="61"/>
      <c r="AA67" s="61"/>
      <c r="AB67" s="61"/>
      <c r="AC67" s="61"/>
      <c r="AD67" s="61"/>
      <c r="AE67" s="52"/>
      <c r="AF67" s="112"/>
      <c r="AG67" s="74"/>
      <c r="AH67" s="51"/>
      <c r="AI67" s="112"/>
      <c r="AJ67" s="61"/>
      <c r="AK67" s="329"/>
      <c r="AL67" s="53"/>
      <c r="AM67" s="319"/>
      <c r="AN67" s="326"/>
    </row>
    <row r="68" spans="1:44" ht="15.75">
      <c r="A68" s="28"/>
      <c r="B68" s="28" t="s">
        <v>148</v>
      </c>
      <c r="C68" s="28"/>
      <c r="D68" s="28"/>
      <c r="E68" s="1489"/>
      <c r="F68" s="1489"/>
      <c r="G68" s="1489"/>
      <c r="H68" s="1489"/>
      <c r="I68" s="1489"/>
      <c r="J68" s="1489"/>
      <c r="K68" s="1489"/>
      <c r="L68" s="61"/>
      <c r="M68" s="1489"/>
      <c r="N68" s="61"/>
      <c r="O68" s="1489"/>
      <c r="P68" s="61"/>
      <c r="Q68" s="1489"/>
      <c r="R68" s="61"/>
      <c r="S68" s="112"/>
      <c r="T68" s="61"/>
      <c r="U68" s="112"/>
      <c r="V68" s="61"/>
      <c r="W68" s="112"/>
      <c r="X68" s="61"/>
      <c r="Y68" s="112"/>
      <c r="Z68" s="61"/>
      <c r="AA68" s="1489" t="s">
        <v>14</v>
      </c>
      <c r="AB68" s="61"/>
      <c r="AC68" s="61"/>
      <c r="AD68" s="61"/>
      <c r="AE68" s="52"/>
      <c r="AF68" s="113"/>
      <c r="AG68" s="74"/>
      <c r="AH68" s="51"/>
      <c r="AI68" s="112"/>
      <c r="AJ68" s="61"/>
      <c r="AK68" s="329"/>
      <c r="AL68" s="53"/>
      <c r="AM68" s="319"/>
      <c r="AN68" s="326"/>
    </row>
    <row r="69" spans="1:44" ht="15.75">
      <c r="A69" s="28"/>
      <c r="B69" s="28" t="s">
        <v>24</v>
      </c>
      <c r="C69" s="28"/>
      <c r="D69" s="28"/>
      <c r="E69" s="666">
        <f>+'Exhibit I State'!E68+'Exhibit I Federal'!E50</f>
        <v>18.600000000000001</v>
      </c>
      <c r="F69" s="1489"/>
      <c r="G69" s="666">
        <f>+'Exhibit I State'!G68+'Exhibit I Federal'!G50</f>
        <v>7.5999999999999979</v>
      </c>
      <c r="H69" s="666"/>
      <c r="I69" s="666"/>
      <c r="J69" s="1489"/>
      <c r="K69" s="666"/>
      <c r="L69" s="61"/>
      <c r="M69" s="666"/>
      <c r="N69" s="61"/>
      <c r="O69" s="666"/>
      <c r="P69" s="61"/>
      <c r="Q69" s="666"/>
      <c r="R69" s="61"/>
      <c r="S69" s="666"/>
      <c r="T69" s="61"/>
      <c r="U69" s="666"/>
      <c r="V69" s="61"/>
      <c r="W69" s="666"/>
      <c r="X69" s="61"/>
      <c r="Y69" s="666"/>
      <c r="Z69" s="61"/>
      <c r="AA69" s="666"/>
      <c r="AB69" s="271"/>
      <c r="AC69" s="271">
        <v>0</v>
      </c>
      <c r="AD69" s="61"/>
      <c r="AE69" s="52"/>
      <c r="AF69" s="112">
        <f>ROUND(SUM(E69:AC69),1)</f>
        <v>26.2</v>
      </c>
      <c r="AG69" s="74"/>
      <c r="AH69" s="51"/>
      <c r="AI69" s="112">
        <f>+'Exhibit I State'!AG68+'Exhibit I Federal'!AG50</f>
        <v>38.5</v>
      </c>
      <c r="AJ69" s="72"/>
      <c r="AK69" s="327"/>
      <c r="AL69" s="53">
        <f>ROUND(SUM(+AF69-AI69),1)</f>
        <v>-12.3</v>
      </c>
      <c r="AM69" s="328"/>
      <c r="AN69" s="1828">
        <f>ROUND(IF(AI69=0,1,AL69/ABS(AI69)),3)</f>
        <v>-0.31900000000000001</v>
      </c>
    </row>
    <row r="70" spans="1:44" ht="15.75">
      <c r="A70" s="28"/>
      <c r="B70" s="28" t="s">
        <v>25</v>
      </c>
      <c r="C70" s="28"/>
      <c r="D70" s="28"/>
      <c r="E70" s="666">
        <f>+'Exhibit I State'!E69+'Exhibit I Federal'!E51</f>
        <v>4.3</v>
      </c>
      <c r="F70" s="1489"/>
      <c r="G70" s="666">
        <f>+'Exhibit I State'!G69+'Exhibit I Federal'!G51</f>
        <v>8.8999999999999986</v>
      </c>
      <c r="H70" s="1489"/>
      <c r="I70" s="666"/>
      <c r="J70" s="1489"/>
      <c r="K70" s="666"/>
      <c r="L70" s="61"/>
      <c r="M70" s="666"/>
      <c r="N70" s="61"/>
      <c r="O70" s="666"/>
      <c r="P70" s="61"/>
      <c r="Q70" s="666"/>
      <c r="R70" s="61"/>
      <c r="S70" s="666"/>
      <c r="T70" s="61"/>
      <c r="U70" s="666"/>
      <c r="V70" s="61"/>
      <c r="W70" s="666"/>
      <c r="X70" s="61"/>
      <c r="Y70" s="666"/>
      <c r="Z70" s="61"/>
      <c r="AA70" s="666"/>
      <c r="AB70" s="271"/>
      <c r="AC70" s="271">
        <v>0</v>
      </c>
      <c r="AD70" s="61"/>
      <c r="AE70" s="52"/>
      <c r="AF70" s="112">
        <f>ROUND(SUM(E70:AC70),1)</f>
        <v>13.2</v>
      </c>
      <c r="AG70" s="74"/>
      <c r="AH70" s="51"/>
      <c r="AI70" s="112">
        <f>+'Exhibit I State'!AG69+'Exhibit I Federal'!AG51</f>
        <v>36.6</v>
      </c>
      <c r="AJ70" s="72"/>
      <c r="AK70" s="327"/>
      <c r="AL70" s="53">
        <f t="shared" ref="AL70:AL77" si="3">ROUND(SUM(+AF70-AI70),1)</f>
        <v>-23.4</v>
      </c>
      <c r="AM70" s="328"/>
      <c r="AN70" s="1394">
        <f>ROUND(IF(AI70=0,0,AL70/ABS(AI70)),3)</f>
        <v>-0.63900000000000001</v>
      </c>
    </row>
    <row r="71" spans="1:44" ht="15.75">
      <c r="A71" s="28"/>
      <c r="B71" s="28" t="s">
        <v>26</v>
      </c>
      <c r="C71" s="28"/>
      <c r="D71" s="28"/>
      <c r="E71" s="666">
        <f>+'Exhibit I State'!E70+'Exhibit I Federal'!E52</f>
        <v>12.3</v>
      </c>
      <c r="F71" s="1489"/>
      <c r="G71" s="666">
        <f>+'Exhibit I State'!G70+'Exhibit I Federal'!G52</f>
        <v>116.7</v>
      </c>
      <c r="H71" s="1489"/>
      <c r="I71" s="666"/>
      <c r="J71" s="1489"/>
      <c r="K71" s="666"/>
      <c r="L71" s="61"/>
      <c r="M71" s="666"/>
      <c r="N71" s="61"/>
      <c r="O71" s="666"/>
      <c r="P71" s="61"/>
      <c r="Q71" s="666"/>
      <c r="R71" s="61"/>
      <c r="S71" s="666"/>
      <c r="T71" s="61"/>
      <c r="U71" s="666"/>
      <c r="V71" s="61"/>
      <c r="W71" s="666"/>
      <c r="X71" s="61"/>
      <c r="Y71" s="666"/>
      <c r="Z71" s="61"/>
      <c r="AA71" s="666"/>
      <c r="AB71" s="666" t="s">
        <v>1151</v>
      </c>
      <c r="AC71" s="666">
        <v>0</v>
      </c>
      <c r="AD71" s="61"/>
      <c r="AE71" s="52"/>
      <c r="AF71" s="112">
        <f>ROUND(SUM(E71:AC71),1)</f>
        <v>129</v>
      </c>
      <c r="AG71" s="74"/>
      <c r="AH71" s="51"/>
      <c r="AI71" s="112">
        <f>+'Exhibit I State'!AG70+'Exhibit I Federal'!AG52</f>
        <v>54.4</v>
      </c>
      <c r="AJ71" s="72"/>
      <c r="AK71" s="327"/>
      <c r="AL71" s="53">
        <f t="shared" si="3"/>
        <v>74.599999999999994</v>
      </c>
      <c r="AM71" s="328"/>
      <c r="AN71" s="1394">
        <f>ROUND(IF(AI71=0,0,AL71/ABS(AI71)),3)</f>
        <v>1.371</v>
      </c>
      <c r="AO71" s="319"/>
    </row>
    <row r="72" spans="1:44" ht="15.75">
      <c r="A72" s="28"/>
      <c r="B72" s="28" t="s">
        <v>27</v>
      </c>
      <c r="C72" s="28"/>
      <c r="D72" s="28"/>
      <c r="E72" s="666"/>
      <c r="F72" s="1489"/>
      <c r="G72" s="666"/>
      <c r="H72" s="1489"/>
      <c r="I72" s="666"/>
      <c r="J72" s="1489"/>
      <c r="K72" s="666"/>
      <c r="L72" s="61"/>
      <c r="M72" s="666"/>
      <c r="N72" s="61"/>
      <c r="O72" s="666"/>
      <c r="P72" s="61"/>
      <c r="Q72" s="666"/>
      <c r="R72" s="61"/>
      <c r="S72" s="666"/>
      <c r="T72" s="61"/>
      <c r="U72" s="666"/>
      <c r="V72" s="61"/>
      <c r="W72" s="666"/>
      <c r="X72" s="61"/>
      <c r="Y72" s="666"/>
      <c r="Z72" s="61"/>
      <c r="AA72" s="666"/>
      <c r="AB72" s="271"/>
      <c r="AC72" s="271"/>
      <c r="AD72" s="61"/>
      <c r="AE72" s="52"/>
      <c r="AF72" s="872" t="s">
        <v>14</v>
      </c>
      <c r="AG72" s="74"/>
      <c r="AH72" s="51"/>
      <c r="AI72" s="121"/>
      <c r="AJ72" s="61"/>
      <c r="AK72" s="329"/>
      <c r="AL72" s="53" t="s">
        <v>14</v>
      </c>
      <c r="AM72" s="328"/>
      <c r="AN72" s="332" t="s">
        <v>14</v>
      </c>
      <c r="AO72" s="319"/>
    </row>
    <row r="73" spans="1:44" ht="15.75">
      <c r="A73" s="28"/>
      <c r="B73" s="28" t="s">
        <v>28</v>
      </c>
      <c r="C73" s="26"/>
      <c r="D73" s="28"/>
      <c r="E73" s="666">
        <f>+'Exhibit I State'!E72+'Exhibit I Federal'!E54</f>
        <v>0</v>
      </c>
      <c r="F73" s="1489"/>
      <c r="G73" s="666">
        <f>+'Exhibit I State'!G72+'Exhibit I Federal'!G54</f>
        <v>0</v>
      </c>
      <c r="H73" s="1489"/>
      <c r="I73" s="666"/>
      <c r="J73" s="1489"/>
      <c r="K73" s="666"/>
      <c r="L73" s="61"/>
      <c r="M73" s="666"/>
      <c r="N73" s="61"/>
      <c r="O73" s="666"/>
      <c r="P73" s="61"/>
      <c r="Q73" s="666"/>
      <c r="R73" s="61"/>
      <c r="S73" s="666"/>
      <c r="T73" s="61"/>
      <c r="U73" s="666"/>
      <c r="V73" s="61"/>
      <c r="W73" s="666"/>
      <c r="X73" s="61"/>
      <c r="Y73" s="666"/>
      <c r="Z73" s="61"/>
      <c r="AA73" s="666"/>
      <c r="AB73" s="271"/>
      <c r="AC73" s="271">
        <v>0</v>
      </c>
      <c r="AD73" s="61"/>
      <c r="AE73" s="52"/>
      <c r="AF73" s="112">
        <f t="shared" ref="AF73:AF77" si="4">ROUND(SUM(E73:AC73),1)</f>
        <v>0</v>
      </c>
      <c r="AG73" s="74"/>
      <c r="AH73" s="51"/>
      <c r="AI73" s="121">
        <f>+'Exhibit I State'!AG72+'Exhibit I Federal'!AG54</f>
        <v>0</v>
      </c>
      <c r="AJ73" s="61"/>
      <c r="AK73" s="329"/>
      <c r="AL73" s="53">
        <f t="shared" si="3"/>
        <v>0</v>
      </c>
      <c r="AM73" s="328"/>
      <c r="AN73" s="8">
        <f>ROUND(IF(AI73=0,0,AL73/ABS(AI73)),3)</f>
        <v>0</v>
      </c>
      <c r="AO73" s="319"/>
    </row>
    <row r="74" spans="1:44" ht="15.75">
      <c r="A74" s="28"/>
      <c r="B74" s="28" t="s">
        <v>29</v>
      </c>
      <c r="C74" s="28"/>
      <c r="D74" s="28"/>
      <c r="E74" s="666">
        <f>+'Exhibit I State'!E73+'Exhibit I Federal'!E55</f>
        <v>43.9</v>
      </c>
      <c r="F74" s="1489"/>
      <c r="G74" s="666">
        <f>+'Exhibit I State'!G73+'Exhibit I Federal'!G55</f>
        <v>16.399999999999999</v>
      </c>
      <c r="H74" s="1489"/>
      <c r="I74" s="666"/>
      <c r="J74" s="1489"/>
      <c r="K74" s="666"/>
      <c r="L74" s="61"/>
      <c r="M74" s="666"/>
      <c r="N74" s="61"/>
      <c r="O74" s="666"/>
      <c r="P74" s="61"/>
      <c r="Q74" s="666"/>
      <c r="R74" s="61"/>
      <c r="S74" s="666"/>
      <c r="T74" s="61"/>
      <c r="U74" s="666"/>
      <c r="V74" s="61"/>
      <c r="W74" s="666"/>
      <c r="X74" s="61"/>
      <c r="Y74" s="666"/>
      <c r="Z74" s="61"/>
      <c r="AA74" s="666"/>
      <c r="AB74" s="271"/>
      <c r="AC74" s="271">
        <v>0</v>
      </c>
      <c r="AD74" s="61"/>
      <c r="AE74" s="52"/>
      <c r="AF74" s="872">
        <f t="shared" si="4"/>
        <v>60.3</v>
      </c>
      <c r="AG74" s="74"/>
      <c r="AH74" s="51"/>
      <c r="AI74" s="121">
        <f>+'Exhibit I State'!AG73+'Exhibit I Federal'!AG55</f>
        <v>74.8</v>
      </c>
      <c r="AJ74" s="72"/>
      <c r="AK74" s="327"/>
      <c r="AL74" s="53">
        <f t="shared" si="3"/>
        <v>-14.5</v>
      </c>
      <c r="AM74" s="328"/>
      <c r="AN74" s="8">
        <f>ROUND(IF(AI74=0,0,AL74/ABS(AI74)),3)</f>
        <v>-0.19400000000000001</v>
      </c>
    </row>
    <row r="75" spans="1:44" ht="15.75">
      <c r="A75" s="28"/>
      <c r="B75" s="28" t="s">
        <v>30</v>
      </c>
      <c r="C75" s="28"/>
      <c r="D75" s="28"/>
      <c r="E75" s="666">
        <f>+'Exhibit I State'!E74+'Exhibit I Federal'!E56</f>
        <v>11.7</v>
      </c>
      <c r="F75" s="1489"/>
      <c r="G75" s="666">
        <f>+'Exhibit I State'!G74+'Exhibit I Federal'!G56</f>
        <v>1</v>
      </c>
      <c r="H75" s="1489"/>
      <c r="I75" s="666"/>
      <c r="J75" s="1489"/>
      <c r="K75" s="666"/>
      <c r="L75" s="61"/>
      <c r="M75" s="666"/>
      <c r="N75" s="61"/>
      <c r="O75" s="666"/>
      <c r="P75" s="61"/>
      <c r="Q75" s="666"/>
      <c r="R75" s="61"/>
      <c r="S75" s="666"/>
      <c r="T75" s="61"/>
      <c r="U75" s="666"/>
      <c r="V75" s="61"/>
      <c r="W75" s="666"/>
      <c r="X75" s="61"/>
      <c r="Y75" s="666"/>
      <c r="Z75" s="61"/>
      <c r="AA75" s="666"/>
      <c r="AB75" s="271"/>
      <c r="AC75" s="271">
        <v>0</v>
      </c>
      <c r="AD75" s="61"/>
      <c r="AE75" s="52"/>
      <c r="AF75" s="112">
        <f>ROUND(SUM(E75:AC75),1)</f>
        <v>12.7</v>
      </c>
      <c r="AG75" s="74"/>
      <c r="AH75" s="51"/>
      <c r="AI75" s="121">
        <f>+'Exhibit I State'!AG74+'Exhibit I Federal'!AG56</f>
        <v>2.2000000000000002</v>
      </c>
      <c r="AJ75" s="72"/>
      <c r="AK75" s="327"/>
      <c r="AL75" s="53">
        <f t="shared" si="3"/>
        <v>10.5</v>
      </c>
      <c r="AM75" s="328"/>
      <c r="AN75" s="1433">
        <f>ROUND(IF(AI75=0,1,AL75/ABS(AI75)),3)</f>
        <v>4.7729999999999997</v>
      </c>
      <c r="AO75" s="319"/>
    </row>
    <row r="76" spans="1:44" ht="15.75">
      <c r="A76" s="28"/>
      <c r="B76" s="28" t="s">
        <v>31</v>
      </c>
      <c r="C76" s="28"/>
      <c r="D76" s="28"/>
      <c r="E76" s="666">
        <f>+'Exhibit I State'!E75+'Exhibit I Federal'!E57</f>
        <v>48.7</v>
      </c>
      <c r="F76" s="1489"/>
      <c r="G76" s="666">
        <f>+'Exhibit I State'!G75+'Exhibit I Federal'!G57</f>
        <v>40.799999999999997</v>
      </c>
      <c r="H76" s="1489"/>
      <c r="I76" s="666"/>
      <c r="J76" s="1489"/>
      <c r="K76" s="666"/>
      <c r="L76" s="61"/>
      <c r="M76" s="666"/>
      <c r="N76" s="61"/>
      <c r="O76" s="666"/>
      <c r="P76" s="61"/>
      <c r="Q76" s="666"/>
      <c r="R76" s="61"/>
      <c r="S76" s="666"/>
      <c r="T76" s="61"/>
      <c r="U76" s="666"/>
      <c r="V76" s="61"/>
      <c r="W76" s="666"/>
      <c r="X76" s="61"/>
      <c r="Y76" s="666"/>
      <c r="Z76" s="61"/>
      <c r="AA76" s="666"/>
      <c r="AB76" s="271"/>
      <c r="AC76" s="271">
        <v>0</v>
      </c>
      <c r="AD76" s="61"/>
      <c r="AE76" s="52"/>
      <c r="AF76" s="112">
        <f t="shared" si="4"/>
        <v>89.5</v>
      </c>
      <c r="AG76" s="74"/>
      <c r="AH76" s="51"/>
      <c r="AI76" s="121">
        <f>+'Exhibit I State'!AG75+'Exhibit I Federal'!AG57</f>
        <v>84</v>
      </c>
      <c r="AJ76" s="61"/>
      <c r="AK76" s="329"/>
      <c r="AL76" s="53">
        <f t="shared" si="3"/>
        <v>5.5</v>
      </c>
      <c r="AM76" s="328"/>
      <c r="AN76" s="1515">
        <f>ROUND(IF(AI76=0,1,AL76/ABS(AI76)),3)</f>
        <v>6.5000000000000002E-2</v>
      </c>
      <c r="AO76" s="319"/>
    </row>
    <row r="77" spans="1:44" ht="15.75">
      <c r="A77" s="28"/>
      <c r="B77" s="28" t="s">
        <v>32</v>
      </c>
      <c r="C77" s="26"/>
      <c r="D77" s="28"/>
      <c r="E77" s="666">
        <f>+'Exhibit I State'!E76+'Exhibit I Federal'!E58</f>
        <v>17.100000000000001</v>
      </c>
      <c r="F77" s="1489"/>
      <c r="G77" s="666">
        <f>+'Exhibit I State'!G76+'Exhibit I Federal'!G58</f>
        <v>19.199999999999996</v>
      </c>
      <c r="H77" s="1489"/>
      <c r="I77" s="666"/>
      <c r="J77" s="1489"/>
      <c r="K77" s="666"/>
      <c r="L77" s="61"/>
      <c r="M77" s="666"/>
      <c r="N77" s="61"/>
      <c r="O77" s="666"/>
      <c r="P77" s="61"/>
      <c r="Q77" s="666"/>
      <c r="R77" s="61"/>
      <c r="S77" s="666"/>
      <c r="T77" s="61"/>
      <c r="U77" s="666"/>
      <c r="V77" s="61"/>
      <c r="W77" s="666"/>
      <c r="X77" s="61"/>
      <c r="Y77" s="666"/>
      <c r="Z77" s="61"/>
      <c r="AA77" s="666"/>
      <c r="AB77" s="271"/>
      <c r="AC77" s="271">
        <v>0</v>
      </c>
      <c r="AD77" s="61"/>
      <c r="AE77" s="52"/>
      <c r="AF77" s="112">
        <f t="shared" si="4"/>
        <v>36.299999999999997</v>
      </c>
      <c r="AG77" s="74"/>
      <c r="AH77" s="51"/>
      <c r="AI77" s="121">
        <f>+'Exhibit I State'!AG76+'Exhibit I Federal'!AG58</f>
        <v>75.5</v>
      </c>
      <c r="AJ77" s="61"/>
      <c r="AK77" s="329"/>
      <c r="AL77" s="53">
        <f t="shared" si="3"/>
        <v>-39.200000000000003</v>
      </c>
      <c r="AM77" s="328"/>
      <c r="AN77" s="1515">
        <f>ROUND(IF(AI77=0,0,AL77/ABS(AI77)),3)</f>
        <v>-0.51900000000000002</v>
      </c>
      <c r="AO77" s="319"/>
    </row>
    <row r="78" spans="1:44" ht="15.75">
      <c r="A78" s="28"/>
      <c r="B78" s="28" t="s">
        <v>33</v>
      </c>
      <c r="C78" s="28"/>
      <c r="D78" s="28"/>
      <c r="E78" s="666">
        <f>+'Exhibit I State'!E77+'Exhibit I Federal'!E59</f>
        <v>32.9</v>
      </c>
      <c r="F78" s="1489"/>
      <c r="G78" s="666">
        <f>+'Exhibit I State'!G77+'Exhibit I Federal'!G59</f>
        <v>70.700000000000017</v>
      </c>
      <c r="H78" s="1489"/>
      <c r="I78" s="666"/>
      <c r="J78" s="1489"/>
      <c r="K78" s="666"/>
      <c r="L78" s="61"/>
      <c r="M78" s="666"/>
      <c r="N78" s="61"/>
      <c r="O78" s="666"/>
      <c r="P78" s="61"/>
      <c r="Q78" s="666"/>
      <c r="R78" s="61"/>
      <c r="S78" s="666"/>
      <c r="T78" s="61"/>
      <c r="U78" s="666"/>
      <c r="V78" s="61"/>
      <c r="W78" s="666"/>
      <c r="X78" s="61"/>
      <c r="Y78" s="666"/>
      <c r="Z78" s="61"/>
      <c r="AA78" s="666"/>
      <c r="AB78" s="271"/>
      <c r="AC78" s="271">
        <v>0</v>
      </c>
      <c r="AD78" s="61"/>
      <c r="AE78" s="52"/>
      <c r="AF78" s="112">
        <f>ROUND(SUM(E78:AC78),1)</f>
        <v>103.6</v>
      </c>
      <c r="AG78" s="74"/>
      <c r="AH78" s="51"/>
      <c r="AI78" s="1021">
        <f>+'Exhibit I State'!AG77+'Exhibit I Federal'!AG59</f>
        <v>219.4</v>
      </c>
      <c r="AJ78" s="51"/>
      <c r="AK78" s="329"/>
      <c r="AL78" s="53">
        <f>ROUND(SUM(+AF78-AI78),1)</f>
        <v>-115.8</v>
      </c>
      <c r="AM78" s="319"/>
      <c r="AN78" s="1395">
        <f>ROUND(IF(AI78=0,0,AL78/ABS(AI78)),3)</f>
        <v>-0.52800000000000002</v>
      </c>
      <c r="AO78" s="319"/>
    </row>
    <row r="79" spans="1:44" ht="15.75">
      <c r="A79" s="28"/>
      <c r="B79" s="26" t="s">
        <v>194</v>
      </c>
      <c r="C79" s="28"/>
      <c r="D79" s="28"/>
      <c r="E79" s="288">
        <f>ROUND(SUM(E69:E78),1)</f>
        <v>189.5</v>
      </c>
      <c r="F79" s="899"/>
      <c r="G79" s="288">
        <f>ROUND(SUM(G69:G78),1)</f>
        <v>281.3</v>
      </c>
      <c r="H79" s="899"/>
      <c r="I79" s="288">
        <f>ROUND(SUM(I69:I78),1)</f>
        <v>0</v>
      </c>
      <c r="J79" s="1490"/>
      <c r="K79" s="288">
        <f>ROUND(SUM(K69:K78),1)</f>
        <v>0</v>
      </c>
      <c r="L79" s="71"/>
      <c r="M79" s="288">
        <f>ROUND(SUM(M69:M78),1)</f>
        <v>0</v>
      </c>
      <c r="N79" s="71"/>
      <c r="O79" s="288">
        <f>ROUND(SUM(O69:O78),1)</f>
        <v>0</v>
      </c>
      <c r="P79" s="57"/>
      <c r="Q79" s="288">
        <f>ROUND(SUM(Q69:Q78),1)</f>
        <v>0</v>
      </c>
      <c r="R79" s="57"/>
      <c r="S79" s="1073">
        <f>ROUND(SUM(S69:S78),1)</f>
        <v>0</v>
      </c>
      <c r="T79" s="57"/>
      <c r="U79" s="1073">
        <f>ROUND(SUM(U69:U78),1)</f>
        <v>0</v>
      </c>
      <c r="V79" s="57"/>
      <c r="W79" s="1073">
        <f>ROUND(SUM(W69:W78),1)</f>
        <v>0</v>
      </c>
      <c r="X79" s="57"/>
      <c r="Y79" s="1073">
        <f>ROUND(SUM(Y69:Y78),1)</f>
        <v>0</v>
      </c>
      <c r="Z79" s="57"/>
      <c r="AA79" s="288">
        <f>ROUND(SUM(AA69:AA78),1)</f>
        <v>0</v>
      </c>
      <c r="AB79" s="1490"/>
      <c r="AC79" s="288">
        <f>ROUND(SUM(AC69:AC78),1)</f>
        <v>0</v>
      </c>
      <c r="AD79" s="57"/>
      <c r="AE79" s="59"/>
      <c r="AF79" s="1073">
        <f>ROUND(SUM(AF69:AF78),1)</f>
        <v>470.8</v>
      </c>
      <c r="AG79" s="210"/>
      <c r="AH79" s="71"/>
      <c r="AI79" s="1073">
        <f>ROUND(SUM(AI69:AI78),1)</f>
        <v>585.4</v>
      </c>
      <c r="AJ79" s="71"/>
      <c r="AK79" s="329"/>
      <c r="AL79" s="288">
        <f>ROUND(SUM(AL69:AL78),1)</f>
        <v>-114.6</v>
      </c>
      <c r="AM79" s="334"/>
      <c r="AN79" s="877">
        <f>ROUND(SUM(AL79/AI79),3)</f>
        <v>-0.19600000000000001</v>
      </c>
      <c r="AO79" s="324"/>
      <c r="AP79" s="331"/>
      <c r="AQ79" s="324"/>
      <c r="AR79" s="324"/>
    </row>
    <row r="80" spans="1:44" ht="15.75">
      <c r="A80" s="28"/>
      <c r="B80" s="28" t="s">
        <v>195</v>
      </c>
      <c r="C80" s="28"/>
      <c r="D80" s="28"/>
      <c r="E80" s="1489"/>
      <c r="F80" s="1489"/>
      <c r="G80" s="1489"/>
      <c r="H80" s="1489"/>
      <c r="I80" s="1489"/>
      <c r="J80" s="1489"/>
      <c r="K80" s="1489"/>
      <c r="L80" s="61"/>
      <c r="M80" s="1489"/>
      <c r="N80" s="61"/>
      <c r="O80" s="1489"/>
      <c r="P80" s="61"/>
      <c r="Q80" s="1489"/>
      <c r="R80" s="61"/>
      <c r="S80" s="112"/>
      <c r="T80" s="61"/>
      <c r="U80" s="112"/>
      <c r="V80" s="61"/>
      <c r="W80" s="112"/>
      <c r="X80" s="61"/>
      <c r="Y80" s="112"/>
      <c r="Z80" s="61"/>
      <c r="AA80" s="61"/>
      <c r="AB80" s="61"/>
      <c r="AC80" s="61"/>
      <c r="AD80" s="61"/>
      <c r="AE80" s="52"/>
      <c r="AF80" s="112"/>
      <c r="AG80" s="74"/>
      <c r="AH80" s="51"/>
      <c r="AI80" s="112"/>
      <c r="AJ80" s="61"/>
      <c r="AK80" s="329"/>
      <c r="AL80" s="53"/>
      <c r="AM80" s="319"/>
      <c r="AN80" s="326"/>
    </row>
    <row r="81" spans="1:44" ht="15.75">
      <c r="A81" s="28"/>
      <c r="B81" s="28" t="s">
        <v>196</v>
      </c>
      <c r="C81" s="28"/>
      <c r="D81" s="28"/>
      <c r="E81" s="666">
        <f>+'Exhibit I State'!E80+'Exhibit I Federal'!E62</f>
        <v>0</v>
      </c>
      <c r="F81" s="1489"/>
      <c r="G81" s="666">
        <f>+'Exhibit I State'!G80+'Exhibit I Federal'!G62</f>
        <v>0</v>
      </c>
      <c r="H81" s="1489"/>
      <c r="I81" s="666"/>
      <c r="J81" s="1489"/>
      <c r="K81" s="666"/>
      <c r="L81" s="61"/>
      <c r="M81" s="666"/>
      <c r="N81" s="61"/>
      <c r="O81" s="666"/>
      <c r="P81" s="61"/>
      <c r="Q81" s="666"/>
      <c r="R81" s="61"/>
      <c r="S81" s="666"/>
      <c r="T81" s="61"/>
      <c r="U81" s="666"/>
      <c r="V81" s="61"/>
      <c r="W81" s="666"/>
      <c r="X81" s="61"/>
      <c r="Y81" s="666"/>
      <c r="Z81" s="61"/>
      <c r="AA81" s="666"/>
      <c r="AB81" s="271"/>
      <c r="AC81" s="271">
        <v>0</v>
      </c>
      <c r="AD81" s="61"/>
      <c r="AE81" s="52"/>
      <c r="AF81" s="113">
        <f>ROUND(SUM(E81:AC81),1)</f>
        <v>0</v>
      </c>
      <c r="AG81" s="74"/>
      <c r="AH81" s="51"/>
      <c r="AI81" s="350">
        <f>+'Exhibit I State'!AG80+'Exhibit I Federal'!AG62</f>
        <v>0</v>
      </c>
      <c r="AJ81" s="64"/>
      <c r="AK81" s="335"/>
      <c r="AL81" s="333">
        <f>ROUND(SUM(+AF81-AI81),1)</f>
        <v>0</v>
      </c>
      <c r="AM81" s="319"/>
      <c r="AN81" s="8">
        <f>ROUND(IF(AI81=0,0,AL81/ABS(AI81)),3)</f>
        <v>0</v>
      </c>
    </row>
    <row r="82" spans="1:44" ht="15.75">
      <c r="A82" s="28"/>
      <c r="B82" s="28" t="s">
        <v>197</v>
      </c>
      <c r="C82" s="28"/>
      <c r="D82" s="28"/>
      <c r="E82" s="666">
        <f>+'Exhibit I State'!E81+'Exhibit I Federal'!E63</f>
        <v>0</v>
      </c>
      <c r="F82" s="1489"/>
      <c r="G82" s="666">
        <f>+'Exhibit I State'!G81+'Exhibit I Federal'!G63</f>
        <v>0</v>
      </c>
      <c r="H82" s="1489"/>
      <c r="I82" s="666"/>
      <c r="J82" s="1489"/>
      <c r="K82" s="666"/>
      <c r="L82" s="61"/>
      <c r="M82" s="666"/>
      <c r="N82" s="61"/>
      <c r="O82" s="666"/>
      <c r="P82" s="61"/>
      <c r="Q82" s="666"/>
      <c r="R82" s="61"/>
      <c r="S82" s="666"/>
      <c r="T82" s="61"/>
      <c r="U82" s="666"/>
      <c r="V82" s="61"/>
      <c r="W82" s="666"/>
      <c r="X82" s="61"/>
      <c r="Y82" s="666"/>
      <c r="Z82" s="61"/>
      <c r="AA82" s="666"/>
      <c r="AB82" s="271"/>
      <c r="AC82" s="271">
        <v>0</v>
      </c>
      <c r="AD82" s="61"/>
      <c r="AE82" s="52"/>
      <c r="AF82" s="3728">
        <f>ROUND(SUM(E82:AC82),1)</f>
        <v>0</v>
      </c>
      <c r="AG82" s="74"/>
      <c r="AH82" s="51"/>
      <c r="AI82" s="350">
        <f>+'Exhibit I State'!AG81+'Exhibit I Federal'!AG63</f>
        <v>0</v>
      </c>
      <c r="AJ82" s="64"/>
      <c r="AK82" s="335"/>
      <c r="AL82" s="333">
        <f>ROUND(SUM(+AF82-AI82),1)</f>
        <v>0</v>
      </c>
      <c r="AM82" s="319"/>
      <c r="AN82" s="8">
        <f>ROUND(IF(AI82=0,0,AL82/ABS(AI82)),3)</f>
        <v>0</v>
      </c>
    </row>
    <row r="83" spans="1:44" ht="15.75">
      <c r="A83" s="28"/>
      <c r="B83" s="28" t="s">
        <v>198</v>
      </c>
      <c r="C83" s="28"/>
      <c r="D83" s="28"/>
      <c r="E83" s="666">
        <f>+'Exhibit I State'!E82+'Exhibit I Federal'!E64</f>
        <v>0</v>
      </c>
      <c r="F83" s="1489"/>
      <c r="G83" s="666">
        <f>+'Exhibit I State'!G82+'Exhibit I Federal'!G64</f>
        <v>0</v>
      </c>
      <c r="H83" s="1489"/>
      <c r="I83" s="666"/>
      <c r="J83" s="1489"/>
      <c r="K83" s="666"/>
      <c r="L83" s="61"/>
      <c r="M83" s="666"/>
      <c r="N83" s="61"/>
      <c r="O83" s="666"/>
      <c r="P83" s="61"/>
      <c r="Q83" s="666"/>
      <c r="R83" s="61"/>
      <c r="S83" s="666"/>
      <c r="T83" s="61"/>
      <c r="U83" s="666"/>
      <c r="V83" s="61"/>
      <c r="W83" s="666"/>
      <c r="X83" s="61"/>
      <c r="Y83" s="666"/>
      <c r="Z83" s="336"/>
      <c r="AA83" s="666"/>
      <c r="AB83" s="271"/>
      <c r="AC83" s="271">
        <v>0</v>
      </c>
      <c r="AD83" s="336"/>
      <c r="AE83" s="337"/>
      <c r="AF83" s="113">
        <f>ROUND(SUM(E83:AC83),1)</f>
        <v>0</v>
      </c>
      <c r="AG83" s="74"/>
      <c r="AH83" s="51"/>
      <c r="AI83" s="350">
        <f>+'Exhibit I State'!AG82+'Exhibit I Federal'!AG64</f>
        <v>0</v>
      </c>
      <c r="AJ83" s="64"/>
      <c r="AK83" s="335"/>
      <c r="AL83" s="333">
        <f>ROUND(SUM(+AF83-AI83),1)</f>
        <v>0</v>
      </c>
      <c r="AM83" s="319"/>
      <c r="AN83" s="8">
        <f>ROUND(IF(AI83=0,0,AL83/ABS(AI83)),3)</f>
        <v>0</v>
      </c>
    </row>
    <row r="84" spans="1:44" ht="15.75">
      <c r="A84" s="28"/>
      <c r="B84" s="49" t="s">
        <v>169</v>
      </c>
      <c r="C84" s="28"/>
      <c r="D84" s="28"/>
      <c r="E84" s="666">
        <f>+'Exhibit I State'!E83+'Exhibit I Federal'!E65</f>
        <v>489.29999999999995</v>
      </c>
      <c r="F84" s="1489"/>
      <c r="G84" s="666">
        <f>+'Exhibit I State'!G83+'Exhibit I Federal'!G65</f>
        <v>537.10000000000014</v>
      </c>
      <c r="H84" s="640"/>
      <c r="I84" s="666"/>
      <c r="J84" s="640"/>
      <c r="K84" s="666"/>
      <c r="L84" s="61"/>
      <c r="M84" s="666"/>
      <c r="N84" s="61"/>
      <c r="O84" s="666"/>
      <c r="P84" s="61"/>
      <c r="Q84" s="666"/>
      <c r="R84" s="61"/>
      <c r="S84" s="666"/>
      <c r="T84" s="61"/>
      <c r="U84" s="666"/>
      <c r="V84" s="61"/>
      <c r="W84" s="666"/>
      <c r="X84" s="61"/>
      <c r="Y84" s="666"/>
      <c r="Z84" s="61"/>
      <c r="AA84" s="666"/>
      <c r="AB84" s="271"/>
      <c r="AC84" s="271">
        <v>0</v>
      </c>
      <c r="AD84" s="61"/>
      <c r="AE84" s="52"/>
      <c r="AF84" s="113">
        <f>ROUND(SUM(E84:AC84),1)</f>
        <v>1026.4000000000001</v>
      </c>
      <c r="AG84" s="74"/>
      <c r="AH84" s="51"/>
      <c r="AI84" s="3352">
        <f>+'Exhibit I State'!AG83+'Exhibit I Federal'!AG65</f>
        <v>912.30000000000007</v>
      </c>
      <c r="AJ84" s="73"/>
      <c r="AK84" s="327"/>
      <c r="AL84" s="330">
        <f>ROUND(SUM(+AF84-AI84),1)</f>
        <v>114.1</v>
      </c>
      <c r="AM84" s="319"/>
      <c r="AN84" s="1395">
        <f>ROUND(IF(AI84=0,1,AL84/ABS(AI84)),3)</f>
        <v>0.125</v>
      </c>
    </row>
    <row r="85" spans="1:44" ht="15.75">
      <c r="A85" s="28"/>
      <c r="B85" s="28"/>
      <c r="C85" s="28"/>
      <c r="D85" s="28"/>
      <c r="E85" s="667"/>
      <c r="F85" s="1489"/>
      <c r="G85" s="667"/>
      <c r="H85" s="1489"/>
      <c r="I85" s="667"/>
      <c r="J85" s="1489"/>
      <c r="K85" s="667"/>
      <c r="L85" s="61"/>
      <c r="M85" s="667"/>
      <c r="N85" s="61"/>
      <c r="O85" s="667"/>
      <c r="P85" s="61"/>
      <c r="Q85" s="667"/>
      <c r="R85" s="61"/>
      <c r="S85" s="120"/>
      <c r="T85" s="61"/>
      <c r="U85" s="120"/>
      <c r="V85" s="61"/>
      <c r="W85" s="120"/>
      <c r="X85" s="61"/>
      <c r="Y85" s="120"/>
      <c r="Z85" s="61"/>
      <c r="AA85" s="83"/>
      <c r="AB85" s="51"/>
      <c r="AC85" s="83"/>
      <c r="AD85" s="61"/>
      <c r="AE85" s="52"/>
      <c r="AF85" s="120"/>
      <c r="AG85" s="74"/>
      <c r="AH85" s="51"/>
      <c r="AI85" s="351"/>
      <c r="AJ85" s="53"/>
      <c r="AK85" s="338"/>
      <c r="AL85" s="53"/>
      <c r="AM85" s="319"/>
      <c r="AN85" s="326"/>
    </row>
    <row r="86" spans="1:44" ht="15.75">
      <c r="A86" s="28"/>
      <c r="B86" s="26" t="s">
        <v>199</v>
      </c>
      <c r="C86" s="28"/>
      <c r="D86" s="28"/>
      <c r="E86" s="899">
        <f>ROUND(SUM(+E84+E79),1)</f>
        <v>678.8</v>
      </c>
      <c r="F86" s="899"/>
      <c r="G86" s="1993">
        <f>ROUND(SUM(G79:G84),1)</f>
        <v>818.4</v>
      </c>
      <c r="H86" s="899"/>
      <c r="I86" s="899">
        <f>ROUND(SUM(+I84+I79+I81+I82+I83),1)</f>
        <v>0</v>
      </c>
      <c r="J86" s="899"/>
      <c r="K86" s="899">
        <f>ROUND(SUM(+K84+K79),1)</f>
        <v>0</v>
      </c>
      <c r="L86" s="57"/>
      <c r="M86" s="899">
        <f>ROUND(SUM(+M84+M79),1)</f>
        <v>0</v>
      </c>
      <c r="N86" s="57"/>
      <c r="O86" s="899">
        <f>ROUND(SUM(+O84+O79),1)</f>
        <v>0</v>
      </c>
      <c r="P86" s="57"/>
      <c r="Q86" s="899">
        <f>ROUND(SUM(+Q84+Q79),1)</f>
        <v>0</v>
      </c>
      <c r="R86" s="57"/>
      <c r="S86" s="106">
        <f>ROUND(SUM(+S84+S79),1)</f>
        <v>0</v>
      </c>
      <c r="T86" s="57"/>
      <c r="U86" s="106">
        <f>ROUND(SUM(+U84+U79),1)</f>
        <v>0</v>
      </c>
      <c r="V86" s="57"/>
      <c r="W86" s="106">
        <f>ROUND(SUM(+W84+W79),1)</f>
        <v>0</v>
      </c>
      <c r="X86" s="57"/>
      <c r="Y86" s="106">
        <f>ROUND(SUM(+Y84+Y79),1)</f>
        <v>0</v>
      </c>
      <c r="Z86" s="57"/>
      <c r="AA86" s="899">
        <f>ROUND(SUM(+AA84+AA79),1)</f>
        <v>0</v>
      </c>
      <c r="AB86" s="899"/>
      <c r="AC86" s="899">
        <f>ROUND(SUM(+AC84+AC79),1)</f>
        <v>0</v>
      </c>
      <c r="AD86" s="57"/>
      <c r="AE86" s="59"/>
      <c r="AF86" s="3831">
        <f>ROUND(SUM(+AF84+AF79+AF81+AF82+AF83),1)</f>
        <v>1497.2</v>
      </c>
      <c r="AG86" s="210"/>
      <c r="AH86" s="71"/>
      <c r="AI86" s="106">
        <f>ROUND(SUM(+AI84+AI79+AI81+AI82+AI83),1)</f>
        <v>1497.7</v>
      </c>
      <c r="AJ86" s="71"/>
      <c r="AK86" s="329"/>
      <c r="AL86" s="69">
        <f>ROUND(SUM(AL79+AL84+AL81+AL82+AL83),1)</f>
        <v>-0.5</v>
      </c>
      <c r="AM86" s="334"/>
      <c r="AN86" s="293">
        <f>ROUND(SUM(AL86/AI86),3)</f>
        <v>0</v>
      </c>
      <c r="AO86" s="324"/>
      <c r="AP86" s="331"/>
      <c r="AQ86" s="324"/>
      <c r="AR86" s="324"/>
    </row>
    <row r="87" spans="1:44" ht="15.75">
      <c r="A87" s="28"/>
      <c r="B87" s="28"/>
      <c r="C87" s="28"/>
      <c r="D87" s="28"/>
      <c r="E87" s="667"/>
      <c r="F87" s="1489"/>
      <c r="G87" s="667"/>
      <c r="H87" s="1489"/>
      <c r="I87" s="667"/>
      <c r="J87" s="1489"/>
      <c r="K87" s="667"/>
      <c r="L87" s="61"/>
      <c r="M87" s="667"/>
      <c r="N87" s="61"/>
      <c r="O87" s="667"/>
      <c r="P87" s="61"/>
      <c r="Q87" s="667"/>
      <c r="R87" s="61"/>
      <c r="S87" s="120"/>
      <c r="T87" s="61"/>
      <c r="U87" s="120"/>
      <c r="V87" s="61"/>
      <c r="W87" s="120"/>
      <c r="X87" s="61"/>
      <c r="Y87" s="120"/>
      <c r="Z87" s="61"/>
      <c r="AA87" s="83"/>
      <c r="AB87" s="51"/>
      <c r="AC87" s="83"/>
      <c r="AD87" s="61"/>
      <c r="AE87" s="52"/>
      <c r="AF87" s="120"/>
      <c r="AG87" s="74"/>
      <c r="AH87" s="51"/>
      <c r="AI87" s="120"/>
      <c r="AJ87" s="51"/>
      <c r="AK87" s="329"/>
      <c r="AL87" s="53"/>
      <c r="AM87" s="319"/>
      <c r="AN87" s="326"/>
    </row>
    <row r="88" spans="1:44" ht="15.75">
      <c r="A88" s="28"/>
      <c r="B88" s="26" t="s">
        <v>200</v>
      </c>
      <c r="C88" s="28"/>
      <c r="D88" s="28"/>
      <c r="E88" s="1489"/>
      <c r="F88" s="1489"/>
      <c r="G88" s="1489"/>
      <c r="H88" s="1489"/>
      <c r="I88" s="1489"/>
      <c r="J88" s="1489"/>
      <c r="K88" s="1489"/>
      <c r="L88" s="61"/>
      <c r="M88" s="1489"/>
      <c r="N88" s="61"/>
      <c r="O88" s="1489"/>
      <c r="P88" s="61"/>
      <c r="Q88" s="1489"/>
      <c r="R88" s="61"/>
      <c r="S88" s="112"/>
      <c r="T88" s="61"/>
      <c r="U88" s="112"/>
      <c r="V88" s="61"/>
      <c r="W88" s="112"/>
      <c r="X88" s="61"/>
      <c r="Y88" s="112"/>
      <c r="Z88" s="61"/>
      <c r="AA88" s="61"/>
      <c r="AB88" s="61"/>
      <c r="AC88" s="61"/>
      <c r="AD88" s="61"/>
      <c r="AE88" s="52"/>
      <c r="AF88" s="351"/>
      <c r="AG88" s="74"/>
      <c r="AH88" s="51"/>
      <c r="AI88" s="351"/>
      <c r="AJ88" s="53"/>
      <c r="AK88" s="338"/>
      <c r="AL88" s="53"/>
      <c r="AM88" s="319"/>
      <c r="AN88" s="326"/>
    </row>
    <row r="89" spans="1:44" ht="15.75">
      <c r="A89" s="28"/>
      <c r="B89" s="26" t="s">
        <v>201</v>
      </c>
      <c r="C89" s="28"/>
      <c r="D89" s="28"/>
      <c r="E89" s="899">
        <f>ROUND(SUM(E65-E86),1)</f>
        <v>520.4</v>
      </c>
      <c r="F89" s="899"/>
      <c r="G89" s="899">
        <f>ROUND(SUM(G65-G86),1)</f>
        <v>505.5</v>
      </c>
      <c r="H89" s="899"/>
      <c r="I89" s="899">
        <f>ROUND(SUM(I65-I86),1)</f>
        <v>0</v>
      </c>
      <c r="J89" s="899"/>
      <c r="K89" s="899">
        <f>ROUND(SUM(K65-K86),1)</f>
        <v>0</v>
      </c>
      <c r="L89" s="57"/>
      <c r="M89" s="899">
        <f>ROUND(SUM(M65-M86),1)</f>
        <v>0</v>
      </c>
      <c r="N89" s="57"/>
      <c r="O89" s="899">
        <f>ROUND(SUM(O65-O86),1)</f>
        <v>0</v>
      </c>
      <c r="P89" s="57"/>
      <c r="Q89" s="899">
        <f>ROUND(SUM(Q65-Q86),1)</f>
        <v>0</v>
      </c>
      <c r="R89" s="57"/>
      <c r="S89" s="106">
        <f>ROUND(SUM(S65-S86),1)</f>
        <v>0</v>
      </c>
      <c r="T89" s="57"/>
      <c r="U89" s="106">
        <f>ROUND(SUM(U65-U86),1)</f>
        <v>0</v>
      </c>
      <c r="V89" s="57"/>
      <c r="W89" s="106">
        <f>ROUND(SUM(W65-W86),1)</f>
        <v>0</v>
      </c>
      <c r="X89" s="57"/>
      <c r="Y89" s="106">
        <f>ROUND(SUM(Y65-Y86),1)</f>
        <v>0</v>
      </c>
      <c r="Z89" s="57"/>
      <c r="AA89" s="899">
        <f>ROUND(SUM(AA65-AA86),1)</f>
        <v>0</v>
      </c>
      <c r="AB89" s="899"/>
      <c r="AC89" s="899">
        <f>ROUND(SUM(AC65-AC86),1)</f>
        <v>0</v>
      </c>
      <c r="AD89" s="57"/>
      <c r="AE89" s="59"/>
      <c r="AF89" s="106">
        <f>ROUND(SUM(AF65-AF86),1)</f>
        <v>1025.9000000000001</v>
      </c>
      <c r="AG89" s="210"/>
      <c r="AH89" s="71"/>
      <c r="AI89" s="106">
        <f>ROUND(SUM(AI65-AI86),1)</f>
        <v>-1019.6</v>
      </c>
      <c r="AJ89" s="71"/>
      <c r="AK89" s="329"/>
      <c r="AL89" s="69">
        <f>ROUND(SUM(AL65-AL86),1)</f>
        <v>2045.5</v>
      </c>
      <c r="AM89" s="334"/>
      <c r="AN89" s="341">
        <f>ROUND(IF(AI89=0,0,AL89/ABS(AI89)),3)</f>
        <v>2.0059999999999998</v>
      </c>
      <c r="AO89" s="324"/>
      <c r="AP89" s="324"/>
      <c r="AQ89" s="324"/>
      <c r="AR89" s="324"/>
    </row>
    <row r="90" spans="1:44" ht="15.75">
      <c r="A90" s="28"/>
      <c r="B90" s="28"/>
      <c r="C90" s="28"/>
      <c r="D90" s="28"/>
      <c r="E90" s="667"/>
      <c r="F90" s="1489"/>
      <c r="G90" s="667"/>
      <c r="H90" s="1489"/>
      <c r="I90" s="667"/>
      <c r="J90" s="1489"/>
      <c r="K90" s="667"/>
      <c r="L90" s="61"/>
      <c r="M90" s="667"/>
      <c r="N90" s="61"/>
      <c r="O90" s="667"/>
      <c r="P90" s="61"/>
      <c r="Q90" s="667"/>
      <c r="R90" s="61"/>
      <c r="S90" s="120"/>
      <c r="T90" s="61"/>
      <c r="U90" s="120"/>
      <c r="V90" s="61"/>
      <c r="W90" s="120"/>
      <c r="X90" s="61"/>
      <c r="Y90" s="120"/>
      <c r="Z90" s="61"/>
      <c r="AA90" s="83"/>
      <c r="AB90" s="51"/>
      <c r="AC90" s="83"/>
      <c r="AD90" s="61"/>
      <c r="AE90" s="52"/>
      <c r="AF90" s="120"/>
      <c r="AG90" s="74"/>
      <c r="AH90" s="51"/>
      <c r="AI90" s="120"/>
      <c r="AJ90" s="51"/>
      <c r="AK90" s="329"/>
      <c r="AL90" s="53"/>
      <c r="AM90" s="319"/>
      <c r="AN90" s="326"/>
    </row>
    <row r="91" spans="1:44" ht="15.75">
      <c r="A91" s="28"/>
      <c r="B91" s="26" t="s">
        <v>202</v>
      </c>
      <c r="C91" s="28"/>
      <c r="D91" s="28"/>
      <c r="E91" s="1489"/>
      <c r="F91" s="1489"/>
      <c r="G91" s="1489"/>
      <c r="H91" s="1489"/>
      <c r="I91" s="1489"/>
      <c r="J91" s="1489"/>
      <c r="K91" s="1489"/>
      <c r="L91" s="61"/>
      <c r="M91" s="1489"/>
      <c r="N91" s="61"/>
      <c r="O91" s="1489"/>
      <c r="P91" s="61"/>
      <c r="Q91" s="1489"/>
      <c r="R91" s="61"/>
      <c r="S91" s="112"/>
      <c r="T91" s="61"/>
      <c r="U91" s="112"/>
      <c r="V91" s="61"/>
      <c r="W91" s="112"/>
      <c r="X91" s="61"/>
      <c r="Y91" s="112"/>
      <c r="Z91" s="61"/>
      <c r="AA91" s="61"/>
      <c r="AB91" s="61"/>
      <c r="AC91" s="112"/>
      <c r="AD91" s="61"/>
      <c r="AE91" s="52"/>
      <c r="AF91" s="112"/>
      <c r="AG91" s="74"/>
      <c r="AH91" s="51"/>
      <c r="AI91" s="121"/>
      <c r="AJ91" s="64"/>
      <c r="AK91" s="335"/>
      <c r="AL91" s="53"/>
      <c r="AM91" s="319"/>
      <c r="AN91" s="326"/>
    </row>
    <row r="92" spans="1:44" s="1067" customFormat="1" ht="15.75">
      <c r="A92" s="101"/>
      <c r="B92" s="971" t="s">
        <v>1339</v>
      </c>
      <c r="C92" s="101"/>
      <c r="D92" s="101"/>
      <c r="E92" s="666">
        <f>+'Exhibit I State'!E91</f>
        <v>0</v>
      </c>
      <c r="F92" s="1489"/>
      <c r="G92" s="666">
        <f>+'Exhibit I State'!G91</f>
        <v>0</v>
      </c>
      <c r="H92" s="640"/>
      <c r="I92" s="666"/>
      <c r="J92" s="1489"/>
      <c r="K92" s="666"/>
      <c r="L92" s="112"/>
      <c r="M92" s="666"/>
      <c r="N92" s="350"/>
      <c r="O92" s="666"/>
      <c r="P92" s="112"/>
      <c r="Q92" s="666"/>
      <c r="R92" s="112"/>
      <c r="S92" s="666"/>
      <c r="T92" s="112"/>
      <c r="U92" s="666"/>
      <c r="V92" s="112"/>
      <c r="W92" s="666"/>
      <c r="X92" s="112"/>
      <c r="Y92" s="666"/>
      <c r="Z92" s="112"/>
      <c r="AA92" s="666"/>
      <c r="AB92" s="1057"/>
      <c r="AC92" s="1057">
        <v>0</v>
      </c>
      <c r="AD92" s="112"/>
      <c r="AE92" s="658"/>
      <c r="AF92" s="113">
        <f>ROUND(SUM(E92:AC92),1)</f>
        <v>0</v>
      </c>
      <c r="AG92" s="1058"/>
      <c r="AH92" s="62"/>
      <c r="AI92" s="121">
        <f>+'Exhibit I State'!AG91+'Exhibit I Federal'!AG73</f>
        <v>0</v>
      </c>
      <c r="AJ92" s="121"/>
      <c r="AK92" s="1085"/>
      <c r="AL92" s="1745">
        <f>ROUND(SUM(+AF92-AI92),1)</f>
        <v>0</v>
      </c>
      <c r="AM92" s="1060"/>
      <c r="AN92" s="1603">
        <f>ROUND(IF(AI92=0,0,AL92/ABS(AI92)),3)</f>
        <v>0</v>
      </c>
      <c r="AP92" s="3102"/>
    </row>
    <row r="93" spans="1:44" s="1067" customFormat="1" ht="15.75">
      <c r="A93" s="101"/>
      <c r="B93" s="1679" t="s">
        <v>170</v>
      </c>
      <c r="C93" s="101"/>
      <c r="D93" s="101"/>
      <c r="E93" s="666">
        <f>+'Exhibit I State'!E92+'Exhibit I Federal'!E73</f>
        <v>-611.1</v>
      </c>
      <c r="F93" s="1489"/>
      <c r="G93" s="666">
        <f>+'Exhibit I State'!G92+'Exhibit I Federal'!G73</f>
        <v>-172.10000000000002</v>
      </c>
      <c r="H93" s="666"/>
      <c r="I93" s="666"/>
      <c r="J93" s="1489"/>
      <c r="K93" s="666"/>
      <c r="L93" s="112"/>
      <c r="M93" s="666"/>
      <c r="N93" s="112"/>
      <c r="O93" s="666"/>
      <c r="P93" s="112"/>
      <c r="Q93" s="666"/>
      <c r="R93" s="112"/>
      <c r="S93" s="666"/>
      <c r="T93" s="112"/>
      <c r="U93" s="666"/>
      <c r="V93" s="112"/>
      <c r="W93" s="666"/>
      <c r="X93" s="112"/>
      <c r="Y93" s="666"/>
      <c r="Z93" s="112"/>
      <c r="AA93" s="666"/>
      <c r="AB93" s="3323"/>
      <c r="AC93" s="1741">
        <v>0</v>
      </c>
      <c r="AD93" s="112"/>
      <c r="AE93" s="658"/>
      <c r="AF93" s="113">
        <f>ROUND(SUM(E93:AC93),1)</f>
        <v>-783.2</v>
      </c>
      <c r="AG93" s="1058"/>
      <c r="AH93" s="62"/>
      <c r="AI93" s="112">
        <v>833.2</v>
      </c>
      <c r="AJ93" s="113"/>
      <c r="AK93" s="1059"/>
      <c r="AL93" s="1745">
        <f>ROUND(SUM(+AF93-AI93),1)</f>
        <v>-1616.4</v>
      </c>
      <c r="AM93" s="1079"/>
      <c r="AN93" s="1746">
        <f>ROUND(IF(AI93=0,0,AL93/ABS(AI93)),3)</f>
        <v>-1.94</v>
      </c>
      <c r="AO93" s="1079"/>
      <c r="AP93" s="1080"/>
    </row>
    <row r="94" spans="1:44" ht="15.75">
      <c r="A94" s="28"/>
      <c r="B94" s="49" t="s">
        <v>203</v>
      </c>
      <c r="C94" s="28"/>
      <c r="D94" s="28"/>
      <c r="E94" s="666">
        <f>+'Exhibit I State'!E93+'Exhibit I Federal'!E74</f>
        <v>-9.1</v>
      </c>
      <c r="F94" s="1489"/>
      <c r="G94" s="666">
        <f>+'Exhibit I State'!G93+'Exhibit I Federal'!G74</f>
        <v>-9.5000000000000018</v>
      </c>
      <c r="H94" s="1489"/>
      <c r="I94" s="666"/>
      <c r="J94" s="1489"/>
      <c r="K94" s="666"/>
      <c r="L94" s="112"/>
      <c r="M94" s="666"/>
      <c r="N94" s="112"/>
      <c r="O94" s="666"/>
      <c r="P94" s="112"/>
      <c r="Q94" s="666"/>
      <c r="R94" s="112"/>
      <c r="S94" s="666"/>
      <c r="T94" s="112"/>
      <c r="U94" s="666"/>
      <c r="V94" s="112"/>
      <c r="W94" s="666"/>
      <c r="X94" s="112"/>
      <c r="Y94" s="666"/>
      <c r="Z94" s="112"/>
      <c r="AA94" s="666"/>
      <c r="AB94" s="3323"/>
      <c r="AC94" s="3313">
        <v>0</v>
      </c>
      <c r="AD94" s="61"/>
      <c r="AE94" s="52"/>
      <c r="AF94" s="113">
        <f>ROUND(SUM(E94:AC94),1)</f>
        <v>-18.600000000000001</v>
      </c>
      <c r="AG94" s="74"/>
      <c r="AH94" s="51"/>
      <c r="AI94" s="3709">
        <v>-16.5</v>
      </c>
      <c r="AJ94" s="51"/>
      <c r="AK94" s="329"/>
      <c r="AL94" s="874">
        <f>ROUND(-SUM(+AF94-AI94),1)</f>
        <v>2.1</v>
      </c>
      <c r="AM94" s="319"/>
      <c r="AN94" s="880">
        <f>ROUND(IF(AI94=0,0,AL94/ABS(AI94)),3)</f>
        <v>0.127</v>
      </c>
      <c r="AO94" s="53"/>
      <c r="AP94" s="161"/>
      <c r="AQ94" s="161"/>
    </row>
    <row r="95" spans="1:44" ht="15.75">
      <c r="A95" s="28"/>
      <c r="B95" s="28"/>
      <c r="C95" s="28"/>
      <c r="D95" s="28"/>
      <c r="E95" s="83"/>
      <c r="F95" s="61"/>
      <c r="G95" s="83"/>
      <c r="H95" s="61"/>
      <c r="I95" s="83"/>
      <c r="J95" s="61"/>
      <c r="K95" s="83"/>
      <c r="L95" s="61"/>
      <c r="M95" s="83"/>
      <c r="N95" s="61"/>
      <c r="O95" s="83"/>
      <c r="P95" s="61"/>
      <c r="Q95" s="83"/>
      <c r="R95" s="61"/>
      <c r="S95" s="120"/>
      <c r="T95" s="61"/>
      <c r="U95" s="120"/>
      <c r="V95" s="61"/>
      <c r="W95" s="120"/>
      <c r="X95" s="61"/>
      <c r="Y95" s="120"/>
      <c r="Z95" s="61"/>
      <c r="AA95" s="83"/>
      <c r="AB95" s="51"/>
      <c r="AC95" s="62"/>
      <c r="AD95" s="61"/>
      <c r="AE95" s="52"/>
      <c r="AF95" s="120"/>
      <c r="AG95" s="74"/>
      <c r="AH95" s="51"/>
      <c r="AI95" s="351"/>
      <c r="AJ95" s="53"/>
      <c r="AK95" s="338"/>
      <c r="AL95" s="53"/>
      <c r="AM95" s="319"/>
      <c r="AN95" s="326"/>
      <c r="AO95" s="161"/>
    </row>
    <row r="96" spans="1:44" ht="15.75">
      <c r="A96" s="28"/>
      <c r="B96" s="26" t="s">
        <v>1083</v>
      </c>
      <c r="C96" s="28"/>
      <c r="D96" s="28"/>
      <c r="E96" s="57">
        <f>ROUND(SUM(E92:E95),1)</f>
        <v>-620.20000000000005</v>
      </c>
      <c r="F96" s="57"/>
      <c r="G96" s="899">
        <f>ROUND(SUM(G92:G95),1)</f>
        <v>-181.6</v>
      </c>
      <c r="H96" s="57"/>
      <c r="I96" s="899">
        <f>ROUND(SUM(I92:I95),1)</f>
        <v>0</v>
      </c>
      <c r="J96" s="57"/>
      <c r="K96" s="899">
        <f>ROUND(SUM(K92:K95),1)</f>
        <v>0</v>
      </c>
      <c r="L96" s="57"/>
      <c r="M96" s="899">
        <f>ROUND(SUM(M92:M95),1)</f>
        <v>0</v>
      </c>
      <c r="N96" s="57"/>
      <c r="O96" s="899">
        <f>ROUND(SUM(O92:O95),1)</f>
        <v>0</v>
      </c>
      <c r="P96" s="57"/>
      <c r="Q96" s="899">
        <f>ROUND(SUM(Q92:Q95),1)</f>
        <v>0</v>
      </c>
      <c r="R96" s="57"/>
      <c r="S96" s="106">
        <f>ROUND(SUM(S92:S95),1)</f>
        <v>0</v>
      </c>
      <c r="T96" s="57"/>
      <c r="U96" s="106">
        <f>ROUND(SUM(U92:U95),1)</f>
        <v>0</v>
      </c>
      <c r="V96" s="57"/>
      <c r="W96" s="106">
        <f>ROUND(SUM(W92:W95),1)</f>
        <v>0</v>
      </c>
      <c r="X96" s="57"/>
      <c r="Y96" s="106">
        <f>ROUND(SUM(Y92:Y95),1)</f>
        <v>0</v>
      </c>
      <c r="Z96" s="57"/>
      <c r="AA96" s="899">
        <f>ROUND(SUM(AA92:AA95),1)</f>
        <v>0</v>
      </c>
      <c r="AB96" s="899"/>
      <c r="AC96" s="899">
        <f>ROUND(SUM(AC92:AC95),1)</f>
        <v>0</v>
      </c>
      <c r="AD96" s="57"/>
      <c r="AE96" s="59"/>
      <c r="AF96" s="106">
        <f>ROUND(SUM(AF92:AF95),1)</f>
        <v>-801.8</v>
      </c>
      <c r="AG96" s="210"/>
      <c r="AH96" s="71"/>
      <c r="AI96" s="106">
        <f>ROUND(SUM(AI92:AI95),1)</f>
        <v>816.7</v>
      </c>
      <c r="AJ96" s="71"/>
      <c r="AK96" s="329"/>
      <c r="AL96" s="69">
        <f>ROUND(SUM(AF96-AI96),1)</f>
        <v>-1618.5</v>
      </c>
      <c r="AM96" s="334"/>
      <c r="AN96" s="341">
        <f>ROUND(SUM(AL96/ABS(AI96)),3)</f>
        <v>-1.982</v>
      </c>
      <c r="AO96" s="324"/>
      <c r="AP96" s="324"/>
      <c r="AQ96" s="324"/>
      <c r="AR96" s="324"/>
    </row>
    <row r="97" spans="1:55" ht="15.75">
      <c r="A97" s="28"/>
      <c r="B97" s="28"/>
      <c r="C97" s="28"/>
      <c r="D97" s="28"/>
      <c r="E97" s="83"/>
      <c r="F97" s="61"/>
      <c r="G97" s="83"/>
      <c r="H97" s="61"/>
      <c r="I97" s="83"/>
      <c r="J97" s="61"/>
      <c r="K97" s="83"/>
      <c r="L97" s="61"/>
      <c r="M97" s="83"/>
      <c r="N97" s="61"/>
      <c r="O97" s="83"/>
      <c r="P97" s="61"/>
      <c r="Q97" s="83"/>
      <c r="R97" s="61"/>
      <c r="S97" s="83"/>
      <c r="T97" s="61"/>
      <c r="U97" s="83"/>
      <c r="V97" s="61"/>
      <c r="W97" s="83"/>
      <c r="X97" s="61"/>
      <c r="Y97" s="83"/>
      <c r="Z97" s="61"/>
      <c r="AA97" s="83"/>
      <c r="AB97" s="51"/>
      <c r="AC97" s="83"/>
      <c r="AD97" s="61"/>
      <c r="AE97" s="52"/>
      <c r="AF97" s="83"/>
      <c r="AG97" s="74"/>
      <c r="AH97" s="51"/>
      <c r="AI97" s="120"/>
      <c r="AJ97" s="51"/>
      <c r="AK97" s="329"/>
      <c r="AL97" s="53"/>
      <c r="AM97" s="319"/>
      <c r="AN97" s="326"/>
    </row>
    <row r="98" spans="1:55" ht="15.75">
      <c r="A98" s="28"/>
      <c r="B98" s="28"/>
      <c r="C98" s="28"/>
      <c r="D98" s="28"/>
      <c r="E98" s="61"/>
      <c r="F98" s="61"/>
      <c r="G98" s="61"/>
      <c r="H98" s="61"/>
      <c r="I98" s="61" t="s">
        <v>14</v>
      </c>
      <c r="J98" s="61"/>
      <c r="K98" s="61" t="s">
        <v>14</v>
      </c>
      <c r="L98" s="61"/>
      <c r="M98" s="61" t="s">
        <v>14</v>
      </c>
      <c r="N98" s="61"/>
      <c r="O98" s="61" t="s">
        <v>14</v>
      </c>
      <c r="P98" s="61"/>
      <c r="Q98" s="61" t="s">
        <v>14</v>
      </c>
      <c r="R98" s="61"/>
      <c r="S98" s="61" t="s">
        <v>14</v>
      </c>
      <c r="T98" s="61"/>
      <c r="U98" s="61" t="s">
        <v>14</v>
      </c>
      <c r="V98" s="61"/>
      <c r="W98" s="61" t="s">
        <v>14</v>
      </c>
      <c r="X98" s="61"/>
      <c r="Y98" s="61" t="s">
        <v>14</v>
      </c>
      <c r="Z98" s="61"/>
      <c r="AA98" s="61" t="s">
        <v>14</v>
      </c>
      <c r="AB98" s="61"/>
      <c r="AC98" s="1489" t="s">
        <v>14</v>
      </c>
      <c r="AD98" s="61"/>
      <c r="AE98" s="52"/>
      <c r="AF98" s="61" t="s">
        <v>14</v>
      </c>
      <c r="AG98" s="74"/>
      <c r="AH98" s="51"/>
      <c r="AI98" s="112" t="s">
        <v>14</v>
      </c>
      <c r="AJ98" s="61"/>
      <c r="AK98" s="329"/>
      <c r="AL98" s="53" t="s">
        <v>14</v>
      </c>
      <c r="AM98" s="319"/>
      <c r="AN98" s="326"/>
    </row>
    <row r="99" spans="1:55" ht="15.75">
      <c r="A99" s="28"/>
      <c r="B99" s="26" t="s">
        <v>205</v>
      </c>
      <c r="C99" s="28"/>
      <c r="D99" s="28"/>
      <c r="E99" s="61"/>
      <c r="F99" s="61"/>
      <c r="G99" s="61"/>
      <c r="H99" s="61"/>
      <c r="I99" s="61" t="s">
        <v>14</v>
      </c>
      <c r="J99" s="61"/>
      <c r="K99" s="61" t="s">
        <v>14</v>
      </c>
      <c r="L99" s="61"/>
      <c r="M99" s="61" t="s">
        <v>14</v>
      </c>
      <c r="N99" s="61"/>
      <c r="O99" s="61" t="s">
        <v>14</v>
      </c>
      <c r="P99" s="61"/>
      <c r="Q99" s="61" t="s">
        <v>14</v>
      </c>
      <c r="R99" s="61"/>
      <c r="S99" s="61" t="s">
        <v>14</v>
      </c>
      <c r="T99" s="61"/>
      <c r="U99" s="61" t="s">
        <v>14</v>
      </c>
      <c r="V99" s="61"/>
      <c r="W99" s="61" t="s">
        <v>14</v>
      </c>
      <c r="X99" s="61"/>
      <c r="Y99" s="61" t="s">
        <v>14</v>
      </c>
      <c r="Z99" s="61"/>
      <c r="AA99" s="61" t="s">
        <v>14</v>
      </c>
      <c r="AB99" s="61"/>
      <c r="AC99" s="61" t="s">
        <v>14</v>
      </c>
      <c r="AD99" s="61"/>
      <c r="AE99" s="52"/>
      <c r="AF99" s="61"/>
      <c r="AG99" s="74"/>
      <c r="AH99" s="51"/>
      <c r="AI99" s="112" t="s">
        <v>14</v>
      </c>
      <c r="AJ99" s="61"/>
      <c r="AK99" s="329"/>
      <c r="AL99" s="53"/>
      <c r="AM99" s="319"/>
      <c r="AN99" s="326"/>
    </row>
    <row r="100" spans="1:55" ht="15.75">
      <c r="A100" s="28"/>
      <c r="B100" s="26" t="s">
        <v>206</v>
      </c>
      <c r="C100" s="28"/>
      <c r="D100" s="28"/>
      <c r="E100" s="57" t="s">
        <v>14</v>
      </c>
      <c r="F100" s="57"/>
      <c r="G100" s="899" t="s">
        <v>14</v>
      </c>
      <c r="H100" s="57"/>
      <c r="I100" s="57"/>
      <c r="J100" s="57"/>
      <c r="K100" s="899"/>
      <c r="L100" s="57"/>
      <c r="M100" s="899"/>
      <c r="N100" s="57"/>
      <c r="O100" s="899"/>
      <c r="P100" s="57"/>
      <c r="Q100" s="899"/>
      <c r="R100" s="57"/>
      <c r="S100" s="899"/>
      <c r="T100" s="57"/>
      <c r="U100" s="899"/>
      <c r="V100" s="57"/>
      <c r="W100" s="899"/>
      <c r="X100" s="57"/>
      <c r="Y100" s="899"/>
      <c r="Z100" s="57"/>
      <c r="AA100" s="899"/>
      <c r="AB100" s="899"/>
      <c r="AC100" s="899"/>
      <c r="AD100" s="57"/>
      <c r="AE100" s="59"/>
      <c r="AF100" s="57" t="s">
        <v>14</v>
      </c>
      <c r="AG100" s="210"/>
      <c r="AH100" s="71"/>
      <c r="AI100" s="3353"/>
      <c r="AJ100" s="339"/>
      <c r="AK100" s="338"/>
      <c r="AL100" s="339"/>
      <c r="AM100" s="334"/>
      <c r="AN100" s="323"/>
      <c r="AO100" s="324"/>
      <c r="AP100" s="324"/>
      <c r="AQ100" s="324"/>
      <c r="AR100" s="324"/>
      <c r="AS100" s="324"/>
      <c r="AT100" s="324"/>
      <c r="AU100" s="324"/>
      <c r="AV100" s="324"/>
      <c r="AW100" s="324"/>
      <c r="AX100" s="324"/>
      <c r="AY100" s="324"/>
    </row>
    <row r="101" spans="1:55" ht="15.75">
      <c r="A101" s="28"/>
      <c r="B101" s="26" t="s">
        <v>1074</v>
      </c>
      <c r="C101" s="28"/>
      <c r="D101" s="28"/>
      <c r="E101" s="340">
        <f>ROUND(SUM(E89+E96),1)</f>
        <v>-99.8</v>
      </c>
      <c r="F101" s="57"/>
      <c r="G101" s="340">
        <f>ROUND(SUM(G89+G96),1)</f>
        <v>323.89999999999998</v>
      </c>
      <c r="H101" s="57"/>
      <c r="I101" s="340">
        <f>ROUND(SUM(I89+I96),1)</f>
        <v>0</v>
      </c>
      <c r="J101" s="57"/>
      <c r="K101" s="340">
        <f>ROUND(SUM(K89+K96),1)</f>
        <v>0</v>
      </c>
      <c r="L101" s="57"/>
      <c r="M101" s="340">
        <f>ROUND(SUM(M89+M96),1)</f>
        <v>0</v>
      </c>
      <c r="N101" s="57"/>
      <c r="O101" s="340">
        <f>ROUND(SUM(O89+O96),1)</f>
        <v>0</v>
      </c>
      <c r="P101" s="57"/>
      <c r="Q101" s="340">
        <f>ROUND(SUM(Q89+Q96),1)</f>
        <v>0</v>
      </c>
      <c r="R101" s="57"/>
      <c r="S101" s="340">
        <f>ROUND(SUM(S89+S96),1)</f>
        <v>0</v>
      </c>
      <c r="T101" s="57"/>
      <c r="U101" s="340">
        <f>ROUND(SUM(U89+U96),1)</f>
        <v>0</v>
      </c>
      <c r="V101" s="57"/>
      <c r="W101" s="340">
        <f>ROUND(SUM(W89+W96),1)</f>
        <v>0</v>
      </c>
      <c r="X101" s="57"/>
      <c r="Y101" s="340">
        <f>ROUND(SUM(Y89+Y96),1)</f>
        <v>0</v>
      </c>
      <c r="Z101" s="57"/>
      <c r="AA101" s="340">
        <f>ROUND(SUM(AA89+AA96),1)</f>
        <v>0</v>
      </c>
      <c r="AB101" s="1902"/>
      <c r="AC101" s="340">
        <f>ROUND(SUM(AC89+AC96),1)</f>
        <v>0</v>
      </c>
      <c r="AD101" s="57"/>
      <c r="AE101" s="59"/>
      <c r="AF101" s="340">
        <f>ROUND(AF89+AF96,1)</f>
        <v>224.1</v>
      </c>
      <c r="AG101" s="210"/>
      <c r="AH101" s="71"/>
      <c r="AI101" s="3710">
        <f>ROUND(SUM(AI89+AI96),1)</f>
        <v>-202.9</v>
      </c>
      <c r="AJ101" s="339"/>
      <c r="AK101" s="338"/>
      <c r="AL101" s="340">
        <f>ROUND(SUM(+AF101-AI101),1)</f>
        <v>427</v>
      </c>
      <c r="AM101" s="334"/>
      <c r="AN101" s="1571">
        <f>ROUND(IF(AI101=0,0,AL101/ABS(AI101)),3)</f>
        <v>2.1040000000000001</v>
      </c>
      <c r="AO101" s="324"/>
      <c r="AP101" s="342"/>
      <c r="AQ101" s="324"/>
      <c r="AR101" s="324"/>
      <c r="AS101" s="324"/>
      <c r="AT101" s="324"/>
      <c r="AU101" s="324"/>
      <c r="AV101" s="324"/>
      <c r="AW101" s="324"/>
      <c r="AX101" s="324"/>
      <c r="AY101" s="324"/>
    </row>
    <row r="102" spans="1:55">
      <c r="A102" s="28"/>
      <c r="B102" s="28" t="s">
        <v>14</v>
      </c>
      <c r="C102" s="28"/>
      <c r="D102" s="28"/>
      <c r="E102" s="33"/>
      <c r="F102" s="33"/>
      <c r="G102" s="33"/>
      <c r="H102" s="33"/>
      <c r="I102" s="33"/>
      <c r="J102" s="33"/>
      <c r="K102" s="33"/>
      <c r="L102" s="33"/>
      <c r="M102" s="33"/>
      <c r="N102" s="33"/>
      <c r="O102" s="33"/>
      <c r="P102" s="33"/>
      <c r="Q102" s="33"/>
      <c r="R102" s="33"/>
      <c r="S102" s="281" t="s">
        <v>14</v>
      </c>
      <c r="T102" s="33"/>
      <c r="U102" s="281" t="s">
        <v>14</v>
      </c>
      <c r="V102" s="33"/>
      <c r="W102" s="281" t="s">
        <v>14</v>
      </c>
      <c r="X102" s="33"/>
      <c r="Y102" s="281" t="s">
        <v>14</v>
      </c>
      <c r="Z102" s="33"/>
      <c r="AA102" s="33"/>
      <c r="AB102" s="33"/>
      <c r="AC102" s="33"/>
      <c r="AD102" s="93"/>
      <c r="AE102" s="343"/>
      <c r="AF102" s="33"/>
      <c r="AG102" s="93"/>
      <c r="AH102" s="343"/>
      <c r="AI102" s="973" t="s">
        <v>180</v>
      </c>
      <c r="AJ102" s="268"/>
      <c r="AK102" s="34"/>
      <c r="AL102" s="319"/>
      <c r="AM102" s="319"/>
      <c r="AN102" s="326"/>
      <c r="AO102" s="319"/>
      <c r="AP102" s="319"/>
    </row>
    <row r="103" spans="1:55" s="27" customFormat="1" ht="15" customHeight="1" thickBot="1">
      <c r="A103" s="28"/>
      <c r="B103" s="26" t="s">
        <v>1084</v>
      </c>
      <c r="C103" s="28"/>
      <c r="E103" s="261">
        <f>ROUND(SUM(+E101+E15),1)</f>
        <v>-1643.7</v>
      </c>
      <c r="F103" s="88"/>
      <c r="G103" s="261">
        <f>ROUND(SUM(+G101+G15),1)</f>
        <v>-1319.8</v>
      </c>
      <c r="H103" s="88"/>
      <c r="I103" s="261">
        <f>ROUND(SUM(+I101+I15),1)</f>
        <v>0</v>
      </c>
      <c r="J103" s="88"/>
      <c r="K103" s="261">
        <f>ROUND(SUM(+K101+K15),1)</f>
        <v>0</v>
      </c>
      <c r="L103" s="88"/>
      <c r="M103" s="261">
        <f>ROUND(SUM(+M101+M15),1)</f>
        <v>0</v>
      </c>
      <c r="N103" s="88"/>
      <c r="O103" s="261">
        <f>ROUND(SUM(+O101+O15),1)</f>
        <v>0</v>
      </c>
      <c r="P103" s="88"/>
      <c r="Q103" s="261">
        <f>ROUND(SUM(+Q101+Q15),1)</f>
        <v>0</v>
      </c>
      <c r="R103" s="88"/>
      <c r="S103" s="261">
        <f>ROUND(SUM(+S101+S15),1)</f>
        <v>0</v>
      </c>
      <c r="T103" s="88"/>
      <c r="U103" s="261">
        <f>ROUND(SUM(+U101+U15),1)</f>
        <v>0</v>
      </c>
      <c r="V103" s="88"/>
      <c r="W103" s="261">
        <f>ROUND(SUM(+W101+W15),1)</f>
        <v>0</v>
      </c>
      <c r="X103" s="88"/>
      <c r="Y103" s="261">
        <f>ROUND(SUM(+Y101+Y15),1)</f>
        <v>0</v>
      </c>
      <c r="Z103" s="88"/>
      <c r="AA103" s="261">
        <f>ROUND(SUM(+AA101+AA15),1)</f>
        <v>0</v>
      </c>
      <c r="AB103" s="213"/>
      <c r="AC103" s="261">
        <f>ROUND(SUM(+AC101+AC15),1)</f>
        <v>0</v>
      </c>
      <c r="AD103" s="88"/>
      <c r="AE103" s="89"/>
      <c r="AF103" s="261">
        <f>ROUND(SUM(+AF101+AF15),1)</f>
        <v>-1319.8</v>
      </c>
      <c r="AG103" s="88"/>
      <c r="AH103" s="89"/>
      <c r="AI103" s="256">
        <f>ROUND(SUM(+AI101+AI15),1)</f>
        <v>-1346.9</v>
      </c>
      <c r="AJ103" s="266"/>
      <c r="AK103" s="213"/>
      <c r="AL103" s="261">
        <f>ROUND(SUM(+AL101+AL15),1)</f>
        <v>27.1</v>
      </c>
      <c r="AM103" s="176"/>
      <c r="AN103" s="280">
        <f>ROUND(SUM(-(+AF103-AI103)/AI103),3)</f>
        <v>0.02</v>
      </c>
      <c r="AO103" s="334"/>
      <c r="AP103" s="334"/>
      <c r="AQ103" s="324"/>
      <c r="AR103" s="324"/>
      <c r="AS103" s="262"/>
      <c r="AT103" s="262"/>
      <c r="AU103" s="262"/>
      <c r="AV103" s="262"/>
      <c r="AW103" s="262"/>
      <c r="AX103" s="262"/>
      <c r="AY103" s="262"/>
      <c r="AZ103" s="262"/>
      <c r="BA103" s="262"/>
      <c r="BB103" s="262"/>
      <c r="BC103" s="262"/>
    </row>
    <row r="104" spans="1:55" ht="15.75" thickTop="1">
      <c r="B104" s="214"/>
    </row>
    <row r="105" spans="1:55">
      <c r="B105" s="1176" t="s">
        <v>1175</v>
      </c>
      <c r="C105" s="345"/>
      <c r="D105" s="345"/>
      <c r="E105" s="346"/>
      <c r="F105" s="346"/>
      <c r="G105" s="346"/>
      <c r="AI105" s="3354"/>
      <c r="AL105" s="161"/>
    </row>
    <row r="106" spans="1:55">
      <c r="B106" s="344"/>
      <c r="C106" s="345"/>
      <c r="D106" s="345"/>
      <c r="E106" s="346"/>
      <c r="F106" s="346"/>
      <c r="G106" s="346"/>
      <c r="AL106" s="161"/>
    </row>
    <row r="107" spans="1:55">
      <c r="B107" s="347"/>
      <c r="AL107" s="161"/>
    </row>
    <row r="108" spans="1:55">
      <c r="B108" s="347"/>
    </row>
    <row r="109" spans="1:55">
      <c r="B109" s="344"/>
    </row>
    <row r="110" spans="1:55">
      <c r="B110" s="347"/>
    </row>
    <row r="111" spans="1:55">
      <c r="B111" s="347"/>
    </row>
    <row r="112" spans="1:55">
      <c r="B112" s="344"/>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55" workbookViewId="0"/>
  </sheetViews>
  <sheetFormatPr defaultColWidth="8.6640625" defaultRowHeight="15"/>
  <cols>
    <col min="1" max="1" width="2.5546875" style="2495" customWidth="1"/>
    <col min="2" max="2" width="14.109375" style="2495" customWidth="1"/>
    <col min="3" max="3" width="26.109375" style="2495" customWidth="1"/>
    <col min="4" max="4" width="2" style="2495" customWidth="1"/>
    <col min="5" max="5" width="11.109375" style="2495" bestFit="1" customWidth="1"/>
    <col min="6" max="6" width="1.6640625" style="2495" customWidth="1"/>
    <col min="7" max="7" width="11.6640625" style="2495" customWidth="1"/>
    <col min="8" max="8" width="1.6640625" style="2495" customWidth="1"/>
    <col min="9" max="9" width="11.109375" style="2495" bestFit="1" customWidth="1"/>
    <col min="10" max="10" width="1.6640625" style="2495" customWidth="1"/>
    <col min="11" max="11" width="12" style="2495" customWidth="1"/>
    <col min="12" max="12" width="1.109375" style="2495" customWidth="1"/>
    <col min="13" max="13" width="10.109375" style="2495" bestFit="1" customWidth="1"/>
    <col min="14" max="14" width="1.6640625" style="2495" customWidth="1"/>
    <col min="15" max="15" width="11.109375" style="2495" customWidth="1"/>
    <col min="16" max="16" width="1.6640625" style="2495" customWidth="1"/>
    <col min="17" max="17" width="12.6640625" style="2495" customWidth="1"/>
    <col min="18" max="18" width="1.6640625" style="2495" customWidth="1"/>
    <col min="19" max="19" width="10.5546875" style="2495" customWidth="1"/>
    <col min="20" max="20" width="1.6640625" style="2495" customWidth="1"/>
    <col min="21" max="21" width="10.6640625" style="2495" customWidth="1"/>
    <col min="22" max="22" width="1.6640625" style="2495" customWidth="1"/>
    <col min="23" max="23" width="10.6640625" style="2495" customWidth="1"/>
    <col min="24" max="24" width="1.6640625" style="2495" customWidth="1"/>
    <col min="25" max="25" width="10.6640625" style="2495" customWidth="1"/>
    <col min="26" max="26" width="1.6640625" style="2495" customWidth="1"/>
    <col min="27" max="27" width="9" style="2495" bestFit="1" customWidth="1"/>
    <col min="28" max="29" width="1.6640625" style="2495" customWidth="1"/>
    <col min="30" max="30" width="11.109375" style="2495" bestFit="1" customWidth="1"/>
    <col min="31" max="32" width="1.109375" style="2495" customWidth="1"/>
    <col min="33" max="33" width="11.109375" style="2495" customWidth="1"/>
    <col min="34" max="35" width="1" style="2495" customWidth="1"/>
    <col min="36" max="36" width="13.44140625" style="2495" bestFit="1" customWidth="1"/>
    <col min="37" max="37" width="1.109375" style="2495" customWidth="1"/>
    <col min="38" max="38" width="12.6640625" style="2495" customWidth="1"/>
    <col min="39" max="40" width="8.6640625" style="2495"/>
    <col min="41" max="41" width="19.6640625" style="2495" bestFit="1" customWidth="1"/>
    <col min="42" max="16384" width="8.6640625" style="2495"/>
  </cols>
  <sheetData>
    <row r="1" spans="1:39">
      <c r="B1" s="2265" t="s">
        <v>870</v>
      </c>
    </row>
    <row r="2" spans="1:39">
      <c r="B2" s="3532"/>
    </row>
    <row r="3" spans="1:39" ht="19.5" customHeight="1">
      <c r="A3" s="3533"/>
      <c r="B3" s="1437" t="s">
        <v>0</v>
      </c>
      <c r="C3" s="2496"/>
      <c r="D3" s="2496"/>
      <c r="E3" s="2496"/>
      <c r="F3" s="2497"/>
      <c r="G3" s="2497"/>
      <c r="H3" s="2497"/>
      <c r="I3" s="2497"/>
      <c r="J3" s="2497"/>
      <c r="K3" s="2497"/>
      <c r="L3" s="2497"/>
      <c r="M3" s="2497"/>
      <c r="N3" s="2497"/>
      <c r="O3" s="2497"/>
      <c r="P3" s="2497"/>
      <c r="Q3" s="2497"/>
      <c r="R3" s="2497"/>
      <c r="S3" s="2497"/>
      <c r="T3" s="2497"/>
      <c r="U3" s="2497"/>
      <c r="V3" s="2497"/>
      <c r="W3" s="2497"/>
      <c r="X3" s="2497"/>
      <c r="Y3" s="2497"/>
      <c r="Z3" s="2497"/>
      <c r="AA3" s="2497"/>
      <c r="AB3" s="2497"/>
      <c r="AC3" s="2497"/>
      <c r="AD3" s="2497"/>
      <c r="AE3" s="2497"/>
      <c r="AF3" s="2497"/>
      <c r="AG3" s="2497"/>
      <c r="AH3" s="2497"/>
      <c r="AI3" s="2497"/>
      <c r="AL3" s="3001" t="s">
        <v>191</v>
      </c>
    </row>
    <row r="4" spans="1:39" ht="19.5" customHeight="1">
      <c r="A4" s="3533"/>
      <c r="B4" s="1437" t="s">
        <v>207</v>
      </c>
      <c r="C4" s="2496"/>
      <c r="D4" s="2496"/>
      <c r="E4" s="2496"/>
      <c r="F4" s="2497"/>
      <c r="G4" s="2497"/>
      <c r="H4" s="2497"/>
      <c r="I4" s="2497"/>
      <c r="J4" s="2497"/>
      <c r="K4" s="2497"/>
      <c r="L4" s="2497"/>
      <c r="M4" s="2497"/>
      <c r="N4" s="2497"/>
      <c r="O4" s="2497"/>
      <c r="P4" s="2497"/>
      <c r="Q4" s="2497"/>
      <c r="R4" s="2497"/>
      <c r="S4" s="2497"/>
      <c r="T4" s="2497"/>
      <c r="U4" s="2497"/>
      <c r="V4" s="2497"/>
      <c r="W4" s="2497"/>
      <c r="X4" s="2497"/>
      <c r="Y4" s="2497"/>
      <c r="Z4" s="2497"/>
      <c r="AA4" s="2497"/>
      <c r="AB4" s="2497"/>
      <c r="AC4" s="2497"/>
      <c r="AE4" s="3076"/>
      <c r="AF4" s="3076"/>
    </row>
    <row r="5" spans="1:39" ht="19.5" customHeight="1">
      <c r="A5" s="3533"/>
      <c r="B5" s="1438" t="s">
        <v>145</v>
      </c>
      <c r="C5" s="2496"/>
      <c r="D5" s="2496"/>
      <c r="E5" s="2496"/>
      <c r="F5" s="2497"/>
      <c r="G5" s="2497"/>
      <c r="H5" s="2497"/>
      <c r="I5" s="2497"/>
      <c r="J5" s="2497"/>
      <c r="K5" s="2497"/>
      <c r="L5" s="2497"/>
      <c r="M5" s="2497"/>
      <c r="N5" s="2497"/>
      <c r="O5" s="2497"/>
      <c r="P5" s="2497"/>
      <c r="Q5" s="2497"/>
      <c r="R5" s="2497"/>
      <c r="S5" s="2497"/>
      <c r="T5" s="2497"/>
      <c r="U5" s="2497"/>
      <c r="V5" s="2497"/>
      <c r="W5" s="2497"/>
      <c r="X5" s="2497"/>
      <c r="Y5" s="2497"/>
      <c r="Z5" s="2497"/>
      <c r="AA5" s="2497"/>
      <c r="AB5" s="2497"/>
      <c r="AC5" s="2497"/>
      <c r="AD5" s="2497"/>
      <c r="AE5" s="2497"/>
      <c r="AF5" s="2497"/>
      <c r="AG5" s="2497"/>
      <c r="AH5" s="2497"/>
      <c r="AI5" s="2497"/>
      <c r="AL5" s="3534"/>
    </row>
    <row r="6" spans="1:39" ht="19.5" customHeight="1">
      <c r="A6" s="3533"/>
      <c r="B6" s="1438" t="str">
        <f>'Cashflow Governmental'!A6</f>
        <v xml:space="preserve">FISCAL YEAR 2022-2023   </v>
      </c>
      <c r="C6" s="2496"/>
      <c r="D6" s="2496"/>
      <c r="E6" s="2496"/>
      <c r="F6" s="2497"/>
      <c r="G6" s="2497"/>
      <c r="H6" s="2498"/>
      <c r="I6" s="2497"/>
      <c r="J6" s="2497"/>
      <c r="K6" s="2497"/>
      <c r="L6" s="2497"/>
      <c r="M6" s="2497"/>
      <c r="N6" s="2497"/>
      <c r="O6" s="2497"/>
      <c r="P6" s="2497"/>
      <c r="Q6" s="2497"/>
      <c r="R6" s="2497"/>
      <c r="S6" s="2497"/>
      <c r="T6" s="2497"/>
      <c r="U6" s="2497"/>
      <c r="V6" s="2497"/>
      <c r="W6" s="2497"/>
      <c r="X6" s="2497"/>
      <c r="Y6" s="2497"/>
      <c r="Z6" s="2497"/>
      <c r="AA6" s="2497"/>
      <c r="AB6" s="2497"/>
      <c r="AC6" s="2497"/>
      <c r="AD6" s="2497"/>
      <c r="AE6" s="2499"/>
      <c r="AF6" s="2499"/>
      <c r="AG6" s="2499"/>
      <c r="AH6" s="2499"/>
      <c r="AI6" s="2499"/>
    </row>
    <row r="7" spans="1:39" ht="19.5" customHeight="1">
      <c r="A7" s="3533"/>
      <c r="B7" s="1437" t="s">
        <v>1251</v>
      </c>
      <c r="C7" s="2496"/>
      <c r="D7" s="2496"/>
      <c r="E7" s="2496"/>
      <c r="F7" s="2497"/>
      <c r="G7" s="2497"/>
      <c r="H7" s="2498"/>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9"/>
      <c r="AF7" s="2499"/>
      <c r="AG7" s="2499"/>
      <c r="AH7" s="2499"/>
      <c r="AI7" s="2499"/>
    </row>
    <row r="8" spans="1:39" ht="19.5" customHeight="1">
      <c r="A8" s="3533"/>
      <c r="C8" s="2496"/>
      <c r="D8" s="2496"/>
      <c r="E8" s="2496"/>
      <c r="F8" s="2497"/>
      <c r="G8" s="2497"/>
      <c r="H8" s="2497"/>
      <c r="I8" s="2497"/>
      <c r="J8" s="2497"/>
      <c r="K8" s="2497"/>
      <c r="L8" s="2497"/>
      <c r="M8" s="2497"/>
      <c r="N8" s="2497"/>
      <c r="O8" s="2497"/>
      <c r="P8" s="2497"/>
      <c r="Q8" s="2497"/>
      <c r="R8" s="2497"/>
      <c r="S8" s="2497"/>
      <c r="T8" s="2497"/>
      <c r="U8" s="2497"/>
      <c r="V8" s="2497"/>
      <c r="W8" s="2497"/>
      <c r="X8" s="2497"/>
      <c r="Y8" s="2497"/>
      <c r="Z8" s="2497"/>
      <c r="AA8" s="2497"/>
      <c r="AB8" s="2497"/>
      <c r="AC8" s="2500"/>
    </row>
    <row r="9" spans="1:39" ht="15.75" customHeight="1">
      <c r="A9" s="3533"/>
      <c r="B9" s="1437"/>
      <c r="C9" s="2496"/>
      <c r="D9" s="2496"/>
      <c r="E9" s="2496"/>
      <c r="F9" s="2497"/>
      <c r="G9" s="2497"/>
      <c r="H9" s="2497"/>
      <c r="I9" s="2497"/>
      <c r="J9" s="2497"/>
      <c r="K9" s="2497"/>
      <c r="L9" s="2497"/>
      <c r="M9" s="2497"/>
      <c r="N9" s="2497"/>
      <c r="O9" s="2497"/>
      <c r="P9" s="2497"/>
      <c r="Q9" s="2497"/>
      <c r="R9" s="2497"/>
      <c r="S9" s="2497"/>
      <c r="T9" s="2497"/>
      <c r="U9" s="2497"/>
      <c r="V9" s="2497"/>
      <c r="W9" s="2497"/>
      <c r="X9" s="2497"/>
      <c r="Y9" s="2497"/>
      <c r="Z9" s="2497"/>
      <c r="AA9" s="2497"/>
      <c r="AB9" s="2497"/>
      <c r="AC9" s="2500"/>
    </row>
    <row r="10" spans="1:39" ht="15.75" customHeight="1">
      <c r="A10" s="3533"/>
      <c r="B10" s="3535"/>
      <c r="C10" s="2496"/>
      <c r="D10" s="2496"/>
      <c r="E10" s="2496"/>
      <c r="F10" s="2497"/>
      <c r="G10" s="2497"/>
      <c r="H10" s="2497"/>
      <c r="I10" s="2497"/>
      <c r="J10" s="2497"/>
      <c r="K10" s="2497"/>
      <c r="L10" s="2497"/>
      <c r="M10" s="2497"/>
      <c r="N10" s="2497"/>
      <c r="O10" s="2497"/>
      <c r="P10" s="2497"/>
      <c r="Q10" s="2497"/>
      <c r="R10" s="2497"/>
      <c r="S10" s="2497"/>
      <c r="T10" s="2497"/>
      <c r="U10" s="2497"/>
      <c r="V10" s="2497"/>
      <c r="W10" s="2497"/>
      <c r="X10" s="2497"/>
      <c r="Y10" s="2497"/>
      <c r="Z10" s="2497"/>
      <c r="AA10" s="2497"/>
      <c r="AB10" s="2497"/>
      <c r="AC10" s="2500"/>
      <c r="AD10" s="3959" t="s">
        <v>1518</v>
      </c>
      <c r="AE10" s="3959"/>
      <c r="AF10" s="3959"/>
      <c r="AG10" s="3959"/>
      <c r="AH10" s="3959"/>
      <c r="AI10" s="3959"/>
      <c r="AJ10" s="3959"/>
      <c r="AK10" s="3959"/>
      <c r="AL10" s="3959"/>
    </row>
    <row r="11" spans="1:39" ht="15.75" customHeight="1">
      <c r="A11" s="3536"/>
      <c r="B11" s="3536"/>
      <c r="C11" s="3536"/>
      <c r="D11" s="3536"/>
      <c r="E11" s="2501" t="str">
        <f>'Cashflow Governmental'!C13</f>
        <v>2022</v>
      </c>
      <c r="F11" s="2502"/>
      <c r="G11" s="2502"/>
      <c r="H11" s="2502"/>
      <c r="I11" s="2502"/>
      <c r="J11" s="2502"/>
      <c r="K11" s="2502"/>
      <c r="L11" s="2502"/>
      <c r="M11" s="2502"/>
      <c r="N11" s="2502"/>
      <c r="O11" s="2502"/>
      <c r="P11" s="2502"/>
      <c r="Q11" s="2502"/>
      <c r="R11" s="2502"/>
      <c r="S11" s="2502"/>
      <c r="T11" s="2502"/>
      <c r="U11" s="2502"/>
      <c r="V11" s="2502"/>
      <c r="W11" s="2501">
        <f>'Cashflow Governmental'!U13</f>
        <v>2023</v>
      </c>
      <c r="X11" s="2502"/>
      <c r="Y11" s="2502"/>
      <c r="Z11" s="2502"/>
      <c r="AA11" s="2502"/>
      <c r="AB11" s="2502"/>
      <c r="AC11" s="2502"/>
      <c r="AD11" s="2503"/>
      <c r="AE11" s="2503"/>
      <c r="AF11" s="2503"/>
      <c r="AG11" s="2503"/>
      <c r="AH11" s="2503"/>
      <c r="AI11" s="2503"/>
      <c r="AJ11" s="2504" t="s">
        <v>7</v>
      </c>
      <c r="AK11" s="2504"/>
      <c r="AL11" s="3537" t="s">
        <v>8</v>
      </c>
      <c r="AM11" s="3538"/>
    </row>
    <row r="12" spans="1:39" ht="15.75" customHeight="1">
      <c r="A12" s="2381"/>
      <c r="B12" s="2381"/>
      <c r="C12" s="2381"/>
      <c r="D12" s="2381"/>
      <c r="E12" s="2505" t="s">
        <v>122</v>
      </c>
      <c r="F12" s="2468"/>
      <c r="G12" s="2505" t="s">
        <v>123</v>
      </c>
      <c r="H12" s="2468"/>
      <c r="I12" s="2505" t="s">
        <v>124</v>
      </c>
      <c r="J12" s="2468"/>
      <c r="K12" s="2505" t="s">
        <v>125</v>
      </c>
      <c r="L12" s="2468"/>
      <c r="M12" s="2505" t="s">
        <v>126</v>
      </c>
      <c r="N12" s="2468"/>
      <c r="O12" s="2505" t="s">
        <v>141</v>
      </c>
      <c r="P12" s="2468"/>
      <c r="Q12" s="2505" t="s">
        <v>142</v>
      </c>
      <c r="R12" s="2468"/>
      <c r="S12" s="2505" t="s">
        <v>129</v>
      </c>
      <c r="T12" s="2468"/>
      <c r="U12" s="2505" t="s">
        <v>130</v>
      </c>
      <c r="V12" s="2468"/>
      <c r="W12" s="2505" t="s">
        <v>131</v>
      </c>
      <c r="X12" s="2468"/>
      <c r="Y12" s="2505" t="s">
        <v>132</v>
      </c>
      <c r="Z12" s="2468"/>
      <c r="AA12" s="2505" t="s">
        <v>182</v>
      </c>
      <c r="AB12" s="2468"/>
      <c r="AC12" s="2468"/>
      <c r="AD12" s="2505">
        <f>'Cashflow Governmental'!AB14</f>
        <v>2022</v>
      </c>
      <c r="AE12" s="2468"/>
      <c r="AF12" s="2468"/>
      <c r="AG12" s="2505">
        <f>'Cashflow Governmental'!AE14</f>
        <v>2021</v>
      </c>
      <c r="AH12" s="2506"/>
      <c r="AI12" s="2506"/>
      <c r="AJ12" s="2507" t="s">
        <v>11</v>
      </c>
      <c r="AK12" s="3539"/>
      <c r="AL12" s="2507" t="s">
        <v>12</v>
      </c>
      <c r="AM12" s="3538"/>
    </row>
    <row r="13" spans="1:39" ht="5.25" customHeight="1">
      <c r="A13" s="2381"/>
      <c r="B13" s="2468"/>
      <c r="C13" s="2468"/>
      <c r="D13" s="2381"/>
      <c r="E13" s="1934"/>
      <c r="F13" s="1934"/>
      <c r="G13" s="1934"/>
      <c r="H13" s="1934"/>
      <c r="I13" s="1934"/>
      <c r="J13" s="1934"/>
      <c r="K13" s="1934"/>
      <c r="L13" s="1934"/>
      <c r="M13" s="1934"/>
      <c r="N13" s="1934"/>
      <c r="O13" s="1934"/>
      <c r="P13" s="1934"/>
      <c r="Q13" s="1934"/>
      <c r="R13" s="1934"/>
      <c r="S13" s="1934"/>
      <c r="T13" s="1934"/>
      <c r="U13" s="1934"/>
      <c r="V13" s="1934"/>
      <c r="W13" s="1934"/>
      <c r="X13" s="1934"/>
      <c r="Y13" s="1934"/>
      <c r="Z13" s="1934"/>
      <c r="AA13" s="1934"/>
      <c r="AB13" s="1934"/>
      <c r="AC13" s="1939"/>
      <c r="AD13" s="1934"/>
      <c r="AE13" s="1934"/>
      <c r="AF13" s="2125"/>
      <c r="AG13" s="1934"/>
      <c r="AH13" s="1934"/>
      <c r="AI13" s="2508"/>
      <c r="AJ13" s="2509"/>
      <c r="AK13" s="2509"/>
      <c r="AL13" s="2509"/>
    </row>
    <row r="14" spans="1:39" ht="15.75">
      <c r="A14" s="2381"/>
      <c r="B14" s="1803" t="s">
        <v>1148</v>
      </c>
      <c r="C14" s="2468"/>
      <c r="D14" s="2381"/>
      <c r="E14" s="2369">
        <v>-756.8</v>
      </c>
      <c r="F14" s="1934"/>
      <c r="G14" s="1972">
        <f>E102</f>
        <v>-835.7</v>
      </c>
      <c r="H14" s="2510"/>
      <c r="I14" s="1972"/>
      <c r="J14" s="2510"/>
      <c r="K14" s="1972"/>
      <c r="L14" s="2510"/>
      <c r="M14" s="1972"/>
      <c r="N14" s="1934"/>
      <c r="O14" s="1972"/>
      <c r="P14" s="1934"/>
      <c r="Q14" s="1972"/>
      <c r="R14" s="1972"/>
      <c r="S14" s="1972"/>
      <c r="T14" s="1972"/>
      <c r="U14" s="1972"/>
      <c r="V14" s="1972"/>
      <c r="W14" s="1972"/>
      <c r="X14" s="1972"/>
      <c r="Y14" s="1972"/>
      <c r="Z14" s="1972"/>
      <c r="AA14" s="1972"/>
      <c r="AB14" s="1934"/>
      <c r="AC14" s="1939"/>
      <c r="AD14" s="1972">
        <f>E14</f>
        <v>-756.8</v>
      </c>
      <c r="AE14" s="1934"/>
      <c r="AF14" s="2125"/>
      <c r="AG14" s="3345">
        <v>-563.70000000000005</v>
      </c>
      <c r="AH14" s="1934"/>
      <c r="AI14" s="2508"/>
      <c r="AJ14" s="1972">
        <f>ROUND(AD14-AG14,1)</f>
        <v>-193.1</v>
      </c>
      <c r="AK14" s="2511"/>
      <c r="AL14" s="2512">
        <f>ROUND(IF(AG14=0,0,AJ14/ABS(AG14)),3)</f>
        <v>-0.34300000000000003</v>
      </c>
    </row>
    <row r="15" spans="1:39" ht="15.75">
      <c r="A15" s="2381"/>
      <c r="B15" s="2468"/>
      <c r="C15" s="2468"/>
      <c r="D15" s="2381"/>
      <c r="E15" s="1934"/>
      <c r="F15" s="1934"/>
      <c r="G15" s="1934"/>
      <c r="H15" s="1934"/>
      <c r="I15" s="1934"/>
      <c r="J15" s="1934"/>
      <c r="K15" s="1934"/>
      <c r="L15" s="1934"/>
      <c r="M15" s="1934"/>
      <c r="N15" s="1934"/>
      <c r="O15" s="1934"/>
      <c r="P15" s="1934"/>
      <c r="Q15" s="1934"/>
      <c r="R15" s="1934"/>
      <c r="S15" s="1934"/>
      <c r="T15" s="1934"/>
      <c r="U15" s="1934"/>
      <c r="V15" s="1934"/>
      <c r="W15" s="1934"/>
      <c r="X15" s="1934"/>
      <c r="Y15" s="1934"/>
      <c r="Z15" s="1934"/>
      <c r="AA15" s="1934"/>
      <c r="AB15" s="1934"/>
      <c r="AC15" s="1939"/>
      <c r="AD15" s="1934"/>
      <c r="AE15" s="1934"/>
      <c r="AF15" s="2125"/>
      <c r="AG15" s="1934"/>
      <c r="AH15" s="1934"/>
      <c r="AI15" s="2508"/>
      <c r="AJ15" s="2509"/>
      <c r="AK15" s="2509"/>
      <c r="AL15" s="2509"/>
    </row>
    <row r="16" spans="1:39" ht="15.75">
      <c r="A16" s="2381"/>
      <c r="B16" s="2468" t="s">
        <v>192</v>
      </c>
      <c r="C16" s="2381"/>
      <c r="D16" s="2381"/>
      <c r="E16" s="1934"/>
      <c r="F16" s="1934"/>
      <c r="G16" s="1934"/>
      <c r="H16" s="1934"/>
      <c r="I16" s="1934"/>
      <c r="J16" s="1934"/>
      <c r="K16" s="1934"/>
      <c r="L16" s="1934"/>
      <c r="M16" s="1934"/>
      <c r="N16" s="1934"/>
      <c r="O16" s="1934"/>
      <c r="P16" s="1934"/>
      <c r="Q16" s="1934"/>
      <c r="R16" s="1934"/>
      <c r="S16" s="1934"/>
      <c r="T16" s="1934"/>
      <c r="U16" s="1934"/>
      <c r="V16" s="1934"/>
      <c r="W16" s="1934"/>
      <c r="X16" s="1934"/>
      <c r="Y16" s="1934"/>
      <c r="Z16" s="1934"/>
      <c r="AA16" s="1934"/>
      <c r="AB16" s="1934"/>
      <c r="AC16" s="1939"/>
      <c r="AD16" s="1934"/>
      <c r="AE16" s="3077"/>
      <c r="AF16" s="1961"/>
      <c r="AG16" s="1934"/>
      <c r="AH16" s="1934"/>
      <c r="AI16" s="2508"/>
      <c r="AJ16" s="2513"/>
      <c r="AK16" s="2513"/>
      <c r="AL16" s="2513"/>
    </row>
    <row r="17" spans="1:39" ht="15.75">
      <c r="A17" s="2381"/>
      <c r="B17" s="2378" t="s">
        <v>980</v>
      </c>
      <c r="C17" s="2381"/>
      <c r="D17" s="2381"/>
      <c r="E17" s="1934"/>
      <c r="F17" s="1934"/>
      <c r="G17" s="1934"/>
      <c r="H17" s="1934"/>
      <c r="I17" s="1934"/>
      <c r="J17" s="1934"/>
      <c r="K17" s="1934"/>
      <c r="L17" s="1934"/>
      <c r="M17" s="1934"/>
      <c r="N17" s="1934"/>
      <c r="O17" s="1934"/>
      <c r="P17" s="1934"/>
      <c r="Q17" s="1934"/>
      <c r="R17" s="1934"/>
      <c r="S17" s="1934"/>
      <c r="T17" s="1934"/>
      <c r="U17" s="1934"/>
      <c r="V17" s="1934"/>
      <c r="W17" s="1934"/>
      <c r="X17" s="1934"/>
      <c r="Y17" s="1934"/>
      <c r="Z17" s="1934"/>
      <c r="AA17" s="1934"/>
      <c r="AB17" s="1934"/>
      <c r="AC17" s="1939"/>
      <c r="AD17" s="1934"/>
      <c r="AE17" s="3078"/>
      <c r="AF17" s="1961"/>
      <c r="AG17" s="1934"/>
      <c r="AH17" s="1934"/>
      <c r="AI17" s="2508"/>
      <c r="AJ17" s="2513"/>
      <c r="AK17" s="2513"/>
      <c r="AL17" s="2513"/>
    </row>
    <row r="18" spans="1:39" ht="15.75">
      <c r="A18" s="2381"/>
      <c r="B18" s="2456" t="s">
        <v>993</v>
      </c>
      <c r="C18" s="2381"/>
      <c r="D18" s="2381"/>
      <c r="E18" s="2514"/>
      <c r="F18" s="1934"/>
      <c r="G18" s="1938"/>
      <c r="H18" s="1938"/>
      <c r="I18" s="1938"/>
      <c r="J18" s="1938"/>
      <c r="K18" s="1938"/>
      <c r="L18" s="1938"/>
      <c r="M18" s="1938"/>
      <c r="N18" s="1938"/>
      <c r="O18" s="1938"/>
      <c r="P18" s="1938"/>
      <c r="Q18" s="1938"/>
      <c r="R18" s="1938"/>
      <c r="S18" s="1938"/>
      <c r="T18" s="1938"/>
      <c r="U18" s="1938"/>
      <c r="V18" s="1938"/>
      <c r="W18" s="1938"/>
      <c r="X18" s="1938"/>
      <c r="Y18" s="1938"/>
      <c r="Z18" s="1938"/>
      <c r="AA18" s="1938"/>
      <c r="AB18" s="1938"/>
      <c r="AC18" s="1982"/>
      <c r="AD18" s="3079" t="s">
        <v>14</v>
      </c>
      <c r="AE18" s="3080"/>
      <c r="AF18" s="1920"/>
      <c r="AG18" s="1938" t="s">
        <v>14</v>
      </c>
      <c r="AH18" s="1938"/>
      <c r="AI18" s="2515"/>
      <c r="AJ18" s="2516"/>
      <c r="AK18" s="2513"/>
      <c r="AL18" s="2513"/>
    </row>
    <row r="19" spans="1:39">
      <c r="A19" s="2381"/>
      <c r="B19" s="2265" t="s">
        <v>996</v>
      </c>
      <c r="C19" s="2381"/>
      <c r="D19" s="2517" t="s">
        <v>14</v>
      </c>
      <c r="E19" s="1943">
        <v>9.4</v>
      </c>
      <c r="F19" s="1943"/>
      <c r="G19" s="1943">
        <f>$AD19-E19</f>
        <v>9.9999999999999645E-2</v>
      </c>
      <c r="H19" s="1943"/>
      <c r="I19" s="1943"/>
      <c r="J19" s="1943"/>
      <c r="K19" s="1943"/>
      <c r="L19" s="1941"/>
      <c r="M19" s="1943"/>
      <c r="N19" s="1930"/>
      <c r="O19" s="1943"/>
      <c r="P19" s="1930"/>
      <c r="Q19" s="1943"/>
      <c r="R19" s="1930"/>
      <c r="S19" s="1741"/>
      <c r="T19" s="1930"/>
      <c r="U19" s="1741"/>
      <c r="V19" s="1930"/>
      <c r="W19" s="1741"/>
      <c r="X19" s="1930"/>
      <c r="Y19" s="1741"/>
      <c r="Z19" s="1930"/>
      <c r="AA19" s="1741"/>
      <c r="AB19" s="1943"/>
      <c r="AC19" s="1944"/>
      <c r="AD19" s="1943">
        <v>9.5</v>
      </c>
      <c r="AE19" s="3081"/>
      <c r="AF19" s="3082"/>
      <c r="AG19" s="1943">
        <v>2.1</v>
      </c>
      <c r="AH19" s="2518"/>
      <c r="AI19" s="2519"/>
      <c r="AJ19" s="1943">
        <f>ROUND(AD19-AG19,1)</f>
        <v>7.4</v>
      </c>
      <c r="AK19" s="2520"/>
      <c r="AL19" s="2532">
        <f>ROUND(IF(AG19=0,0,AJ19/ABS(AG19)),3)</f>
        <v>3.524</v>
      </c>
    </row>
    <row r="20" spans="1:39" ht="15.75">
      <c r="A20" s="2381"/>
      <c r="B20" s="2265" t="s">
        <v>998</v>
      </c>
      <c r="C20" s="2381"/>
      <c r="D20" s="2381"/>
      <c r="E20" s="1943">
        <v>21.5</v>
      </c>
      <c r="F20" s="1943"/>
      <c r="G20" s="1943">
        <f t="shared" ref="G20:G21" si="0">$AD20-E20</f>
        <v>29.5</v>
      </c>
      <c r="H20" s="1943"/>
      <c r="I20" s="1943"/>
      <c r="J20" s="1943"/>
      <c r="K20" s="1943"/>
      <c r="L20" s="2521"/>
      <c r="M20" s="1943"/>
      <c r="N20" s="2521"/>
      <c r="O20" s="1943"/>
      <c r="P20" s="2521"/>
      <c r="Q20" s="1943"/>
      <c r="R20" s="2521"/>
      <c r="S20" s="1741"/>
      <c r="T20" s="2521"/>
      <c r="U20" s="1741"/>
      <c r="V20" s="2521"/>
      <c r="W20" s="1741"/>
      <c r="X20" s="2521"/>
      <c r="Y20" s="1741"/>
      <c r="Z20" s="2521"/>
      <c r="AA20" s="1741"/>
      <c r="AB20" s="1943"/>
      <c r="AC20" s="1982"/>
      <c r="AD20" s="1943">
        <v>51</v>
      </c>
      <c r="AE20" s="3080"/>
      <c r="AF20" s="1920"/>
      <c r="AG20" s="1943">
        <v>58.6</v>
      </c>
      <c r="AH20" s="1938"/>
      <c r="AI20" s="2515"/>
      <c r="AJ20" s="1938">
        <f>ROUND(AD20-AG20,1)</f>
        <v>-7.6</v>
      </c>
      <c r="AK20" s="2522"/>
      <c r="AL20" s="1603">
        <f>ROUND(IF(AG20=0,0,AJ20/ABS(AG20)),3)</f>
        <v>-0.13</v>
      </c>
      <c r="AM20" s="2513"/>
    </row>
    <row r="21" spans="1:39" ht="15.75">
      <c r="A21" s="2381"/>
      <c r="B21" s="2265" t="s">
        <v>1000</v>
      </c>
      <c r="C21" s="2381"/>
      <c r="D21" s="2381"/>
      <c r="E21" s="1943">
        <v>11.9</v>
      </c>
      <c r="F21" s="1943"/>
      <c r="G21" s="1943">
        <f t="shared" si="0"/>
        <v>10.499999999999998</v>
      </c>
      <c r="H21" s="1943"/>
      <c r="I21" s="1943"/>
      <c r="J21" s="1943"/>
      <c r="K21" s="1943"/>
      <c r="L21" s="2521"/>
      <c r="M21" s="1943"/>
      <c r="N21" s="2521"/>
      <c r="O21" s="1943"/>
      <c r="P21" s="2521"/>
      <c r="Q21" s="1943"/>
      <c r="R21" s="2521"/>
      <c r="S21" s="1741"/>
      <c r="T21" s="2521"/>
      <c r="U21" s="1741"/>
      <c r="V21" s="2521"/>
      <c r="W21" s="1741"/>
      <c r="X21" s="2521"/>
      <c r="Y21" s="1741"/>
      <c r="Z21" s="2521"/>
      <c r="AA21" s="1741"/>
      <c r="AB21" s="1943"/>
      <c r="AC21" s="1982"/>
      <c r="AD21" s="1943">
        <v>22.4</v>
      </c>
      <c r="AE21" s="3080"/>
      <c r="AF21" s="1920"/>
      <c r="AG21" s="1943">
        <v>25</v>
      </c>
      <c r="AH21" s="1938"/>
      <c r="AI21" s="2515"/>
      <c r="AJ21" s="1938">
        <f>ROUND(AD21-AG21,1)</f>
        <v>-2.6</v>
      </c>
      <c r="AK21" s="2522"/>
      <c r="AL21" s="2135">
        <f>ROUND(IF(AG21=0,0,AJ21/ABS(AG21)),3)</f>
        <v>-0.104</v>
      </c>
    </row>
    <row r="22" spans="1:39" ht="15.75">
      <c r="A22" s="2381"/>
      <c r="B22" s="2389" t="s">
        <v>1080</v>
      </c>
      <c r="C22" s="2381"/>
      <c r="D22" s="2381"/>
      <c r="E22" s="1428">
        <f>ROUND(SUM(E19:E21),1)</f>
        <v>42.8</v>
      </c>
      <c r="F22" s="1943"/>
      <c r="G22" s="1428">
        <f>ROUND(SUM(G19:G21),1)</f>
        <v>40.1</v>
      </c>
      <c r="H22" s="1943"/>
      <c r="I22" s="1428">
        <f>ROUND(SUM(I19:I21),1)</f>
        <v>0</v>
      </c>
      <c r="J22" s="1943"/>
      <c r="K22" s="1428">
        <f>ROUND(SUM(K19:K21),1)</f>
        <v>0</v>
      </c>
      <c r="L22" s="1943"/>
      <c r="M22" s="1428">
        <f>ROUND(SUM(M19:M21),1)</f>
        <v>0</v>
      </c>
      <c r="N22" s="1943"/>
      <c r="O22" s="1428">
        <f>ROUND(SUM(O19:O21),1)</f>
        <v>0</v>
      </c>
      <c r="P22" s="1938"/>
      <c r="Q22" s="1428">
        <f>ROUND(SUM(Q19:Q21),1)</f>
        <v>0</v>
      </c>
      <c r="R22" s="1938"/>
      <c r="S22" s="1428">
        <f>ROUND(SUM(S19:S21),1)</f>
        <v>0</v>
      </c>
      <c r="T22" s="1938"/>
      <c r="U22" s="1428">
        <f>ROUND(SUM(U19:U21),1)</f>
        <v>0</v>
      </c>
      <c r="V22" s="1938"/>
      <c r="W22" s="1428">
        <f>ROUND(SUM(W19:W21),1)</f>
        <v>0</v>
      </c>
      <c r="X22" s="1938"/>
      <c r="Y22" s="1428">
        <f>ROUND(SUM(Y19:Y21),1)</f>
        <v>0</v>
      </c>
      <c r="Z22" s="1938"/>
      <c r="AA22" s="1428">
        <f>ROUND(SUM(AA19:AA21),1)</f>
        <v>0</v>
      </c>
      <c r="AB22" s="1938"/>
      <c r="AC22" s="1982"/>
      <c r="AD22" s="1428">
        <f>ROUND(SUM(AD19:AD21),1)</f>
        <v>82.9</v>
      </c>
      <c r="AE22" s="3083"/>
      <c r="AF22" s="1920"/>
      <c r="AG22" s="1428">
        <f>ROUND(SUM(AG19:AG21),1)</f>
        <v>85.7</v>
      </c>
      <c r="AH22" s="1938"/>
      <c r="AI22" s="2515"/>
      <c r="AJ22" s="1428">
        <f>ROUND(SUM(AJ19:AJ21),1)</f>
        <v>-2.8</v>
      </c>
      <c r="AK22" s="2522"/>
      <c r="AL22" s="2136">
        <f>ROUND(IF(AG22=0,0,AJ22/ABS(AG22)),3)</f>
        <v>-3.3000000000000002E-2</v>
      </c>
    </row>
    <row r="23" spans="1:39" ht="15.75">
      <c r="A23" s="2381"/>
      <c r="B23" s="2456" t="s">
        <v>984</v>
      </c>
      <c r="C23" s="2381"/>
      <c r="D23" s="2381"/>
      <c r="E23" s="1943"/>
      <c r="F23" s="1943"/>
      <c r="G23" s="1943"/>
      <c r="H23" s="1943"/>
      <c r="I23" s="1943"/>
      <c r="J23" s="1943"/>
      <c r="K23" s="1943"/>
      <c r="L23" s="1943"/>
      <c r="M23" s="1943"/>
      <c r="N23" s="1943"/>
      <c r="O23" s="1943"/>
      <c r="P23" s="1938"/>
      <c r="Q23" s="2528"/>
      <c r="R23" s="1938"/>
      <c r="S23" s="2528"/>
      <c r="T23" s="1938"/>
      <c r="U23" s="2528"/>
      <c r="V23" s="1938"/>
      <c r="W23" s="3540"/>
      <c r="X23" s="1938"/>
      <c r="Y23" s="2528"/>
      <c r="Z23" s="1938"/>
      <c r="AA23" s="3540"/>
      <c r="AB23" s="1938"/>
      <c r="AC23" s="1982"/>
      <c r="AD23" s="1937"/>
      <c r="AE23" s="3080"/>
      <c r="AF23" s="1920"/>
      <c r="AG23" s="1937"/>
      <c r="AH23" s="1938"/>
      <c r="AI23" s="2515"/>
      <c r="AJ23" s="1937"/>
      <c r="AK23" s="2513"/>
      <c r="AL23" s="1750"/>
    </row>
    <row r="24" spans="1:39" ht="15.75">
      <c r="A24" s="2381"/>
      <c r="B24" s="2265" t="s">
        <v>1002</v>
      </c>
      <c r="C24" s="2381"/>
      <c r="D24" s="2381"/>
      <c r="E24" s="1943">
        <v>0</v>
      </c>
      <c r="F24" s="1943"/>
      <c r="G24" s="1943">
        <f t="shared" ref="G24:G26" si="1">$AD24-E24</f>
        <v>0</v>
      </c>
      <c r="H24" s="1943"/>
      <c r="I24" s="1943"/>
      <c r="J24" s="1943"/>
      <c r="K24" s="1943"/>
      <c r="L24" s="2521"/>
      <c r="M24" s="1943"/>
      <c r="N24" s="2521"/>
      <c r="O24" s="1943"/>
      <c r="P24" s="2521"/>
      <c r="Q24" s="1943"/>
      <c r="R24" s="2521"/>
      <c r="S24" s="1741"/>
      <c r="T24" s="2521"/>
      <c r="U24" s="1741"/>
      <c r="V24" s="2521"/>
      <c r="W24" s="1741"/>
      <c r="X24" s="2521"/>
      <c r="Y24" s="1741"/>
      <c r="Z24" s="2521"/>
      <c r="AA24" s="1741"/>
      <c r="AB24" s="1938"/>
      <c r="AC24" s="1982"/>
      <c r="AD24" s="1943">
        <v>0</v>
      </c>
      <c r="AE24" s="3083"/>
      <c r="AF24" s="1920"/>
      <c r="AG24" s="1943">
        <v>0</v>
      </c>
      <c r="AH24" s="1938"/>
      <c r="AI24" s="2515"/>
      <c r="AJ24" s="1938">
        <f>ROUND(AD24-AG24,1)</f>
        <v>0</v>
      </c>
      <c r="AK24" s="2513"/>
      <c r="AL24" s="1603">
        <f>ROUND(IF(AG24=0,0,AJ24/ABS(AG24)),3)</f>
        <v>0</v>
      </c>
    </row>
    <row r="25" spans="1:39" ht="15.75">
      <c r="A25" s="2381"/>
      <c r="B25" s="2265" t="s">
        <v>1003</v>
      </c>
      <c r="C25" s="2381"/>
      <c r="D25" s="2381"/>
      <c r="E25" s="1943">
        <v>1.6</v>
      </c>
      <c r="F25" s="1943"/>
      <c r="G25" s="1943">
        <f t="shared" si="1"/>
        <v>0</v>
      </c>
      <c r="H25" s="1943"/>
      <c r="I25" s="1943"/>
      <c r="J25" s="1943"/>
      <c r="K25" s="1943"/>
      <c r="L25" s="2521"/>
      <c r="M25" s="1943"/>
      <c r="N25" s="2521"/>
      <c r="O25" s="1943"/>
      <c r="P25" s="2521"/>
      <c r="Q25" s="1943"/>
      <c r="R25" s="2521"/>
      <c r="S25" s="1741"/>
      <c r="T25" s="2521"/>
      <c r="U25" s="1741"/>
      <c r="V25" s="2521"/>
      <c r="W25" s="1741"/>
      <c r="X25" s="2521"/>
      <c r="Y25" s="1741"/>
      <c r="Z25" s="2521"/>
      <c r="AA25" s="1741"/>
      <c r="AB25" s="1938"/>
      <c r="AC25" s="1982"/>
      <c r="AD25" s="1943">
        <v>1.6</v>
      </c>
      <c r="AE25" s="3083"/>
      <c r="AF25" s="1920"/>
      <c r="AG25" s="1943">
        <v>3.1</v>
      </c>
      <c r="AH25" s="1938"/>
      <c r="AI25" s="2515"/>
      <c r="AJ25" s="1938">
        <f>ROUND(AD25-AG25,1)</f>
        <v>-1.5</v>
      </c>
      <c r="AK25" s="2513"/>
      <c r="AL25" s="1682">
        <f>ROUND(IF(AG25=0,1,AJ25/ABS(AG25)),3)</f>
        <v>-0.48399999999999999</v>
      </c>
    </row>
    <row r="26" spans="1:39" ht="15.75">
      <c r="A26" s="2381"/>
      <c r="B26" s="2265" t="s">
        <v>1006</v>
      </c>
      <c r="C26" s="2468"/>
      <c r="D26" s="2381"/>
      <c r="E26" s="1943">
        <v>47.5</v>
      </c>
      <c r="F26" s="1943"/>
      <c r="G26" s="1943">
        <f t="shared" si="1"/>
        <v>50.199999999999989</v>
      </c>
      <c r="H26" s="1943"/>
      <c r="I26" s="1943"/>
      <c r="J26" s="1943"/>
      <c r="K26" s="1943"/>
      <c r="L26" s="2521"/>
      <c r="M26" s="1943"/>
      <c r="N26" s="2521"/>
      <c r="O26" s="1943"/>
      <c r="P26" s="2521"/>
      <c r="Q26" s="1943"/>
      <c r="R26" s="2521"/>
      <c r="S26" s="1741"/>
      <c r="T26" s="2521"/>
      <c r="U26" s="1741"/>
      <c r="V26" s="2521"/>
      <c r="W26" s="1741"/>
      <c r="X26" s="2521"/>
      <c r="Y26" s="1741"/>
      <c r="Z26" s="2521"/>
      <c r="AA26" s="1741"/>
      <c r="AB26" s="1938"/>
      <c r="AC26" s="1982"/>
      <c r="AD26" s="1943">
        <v>97.699999999999989</v>
      </c>
      <c r="AE26" s="3080"/>
      <c r="AF26" s="1920"/>
      <c r="AG26" s="1943">
        <v>88.6</v>
      </c>
      <c r="AH26" s="1938"/>
      <c r="AI26" s="2515"/>
      <c r="AJ26" s="1938">
        <f>ROUND(AD26-AG26,1)</f>
        <v>9.1</v>
      </c>
      <c r="AK26" s="2522"/>
      <c r="AL26" s="2523">
        <f>ROUND(IF(AG26=0,0,AJ26/ABS(AG26)),3)</f>
        <v>0.10299999999999999</v>
      </c>
    </row>
    <row r="27" spans="1:39" ht="15.75">
      <c r="A27" s="2381"/>
      <c r="B27" s="2389" t="s">
        <v>1081</v>
      </c>
      <c r="C27" s="2468"/>
      <c r="D27" s="2381"/>
      <c r="E27" s="1428">
        <f>ROUND(SUM(E24:E26),1)</f>
        <v>49.1</v>
      </c>
      <c r="F27" s="1943"/>
      <c r="G27" s="1428">
        <f>ROUND(SUM(G24:G26),1)</f>
        <v>50.2</v>
      </c>
      <c r="H27" s="1943"/>
      <c r="I27" s="1428">
        <f>ROUND(SUM(I24:I26),1)</f>
        <v>0</v>
      </c>
      <c r="J27" s="1943"/>
      <c r="K27" s="1428">
        <f>ROUND(SUM(K24:K26),1)</f>
        <v>0</v>
      </c>
      <c r="L27" s="1943"/>
      <c r="M27" s="1428">
        <f>ROUND(SUM(M24:M26),1)</f>
        <v>0</v>
      </c>
      <c r="N27" s="1943"/>
      <c r="O27" s="1428">
        <f>ROUND(SUM(O24:O26),1)</f>
        <v>0</v>
      </c>
      <c r="P27" s="1938"/>
      <c r="Q27" s="1428">
        <f>ROUND(SUM(Q24:Q26),1)</f>
        <v>0</v>
      </c>
      <c r="R27" s="1938"/>
      <c r="S27" s="1428">
        <f>ROUND(SUM(S24:S26),1)</f>
        <v>0</v>
      </c>
      <c r="T27" s="1938"/>
      <c r="U27" s="1428">
        <f>ROUND(SUM(U24:U26),1)</f>
        <v>0</v>
      </c>
      <c r="V27" s="1938"/>
      <c r="W27" s="1428">
        <f>ROUND(SUM(W24:W26),1)</f>
        <v>0</v>
      </c>
      <c r="X27" s="1938"/>
      <c r="Y27" s="1428">
        <f>ROUND(SUM(Y24:Y26),1)</f>
        <v>0</v>
      </c>
      <c r="Z27" s="1938"/>
      <c r="AA27" s="1428">
        <f>ROUND(SUM(AA24:AA26),1)</f>
        <v>0</v>
      </c>
      <c r="AB27" s="1938"/>
      <c r="AC27" s="1982"/>
      <c r="AD27" s="1428">
        <f>ROUND(SUM(AD24:AD26),1)</f>
        <v>99.3</v>
      </c>
      <c r="AE27" s="3083"/>
      <c r="AF27" s="1920"/>
      <c r="AG27" s="1428">
        <f>ROUND(SUM(AG24:AG26),1)</f>
        <v>91.7</v>
      </c>
      <c r="AH27" s="1938"/>
      <c r="AI27" s="2515"/>
      <c r="AJ27" s="1428">
        <f>ROUND(SUM(AJ24:AJ26),1)</f>
        <v>7.6</v>
      </c>
      <c r="AK27" s="2522"/>
      <c r="AL27" s="2543">
        <f>ROUND(IF(AG27=0,0,AJ27/ABS(AG27)),3)</f>
        <v>8.3000000000000004E-2</v>
      </c>
    </row>
    <row r="28" spans="1:39" ht="15.75">
      <c r="A28" s="2381"/>
      <c r="B28" s="2456" t="s">
        <v>985</v>
      </c>
      <c r="C28" s="2381"/>
      <c r="D28" s="2381"/>
      <c r="E28" s="2524"/>
      <c r="F28" s="1943"/>
      <c r="G28" s="2524"/>
      <c r="H28" s="1943"/>
      <c r="I28" s="1942"/>
      <c r="J28" s="1943"/>
      <c r="K28" s="1942"/>
      <c r="L28" s="1943"/>
      <c r="M28" s="1943"/>
      <c r="N28" s="1943"/>
      <c r="O28" s="1943"/>
      <c r="P28" s="1938"/>
      <c r="Q28" s="2528"/>
      <c r="R28" s="1938"/>
      <c r="S28" s="2528"/>
      <c r="T28" s="1938"/>
      <c r="U28" s="2528"/>
      <c r="V28" s="1938"/>
      <c r="W28" s="2528"/>
      <c r="X28" s="1938"/>
      <c r="Y28" s="2528"/>
      <c r="Z28" s="1938"/>
      <c r="AA28" s="2528"/>
      <c r="AB28" s="1938"/>
      <c r="AC28" s="1982"/>
      <c r="AD28" s="1938"/>
      <c r="AE28" s="3084"/>
      <c r="AF28" s="3085"/>
      <c r="AG28" s="1938"/>
      <c r="AH28" s="1937"/>
      <c r="AI28" s="2525"/>
      <c r="AJ28" s="1937"/>
      <c r="AK28" s="2529"/>
      <c r="AL28" s="1603"/>
      <c r="AM28" s="2513"/>
    </row>
    <row r="29" spans="1:39" ht="15.75">
      <c r="A29" s="2381"/>
      <c r="B29" s="2265" t="s">
        <v>1012</v>
      </c>
      <c r="C29" s="2381"/>
      <c r="D29" s="2381"/>
      <c r="E29" s="1943">
        <v>0</v>
      </c>
      <c r="F29" s="1943"/>
      <c r="G29" s="1943">
        <f>$AD29-E29</f>
        <v>0</v>
      </c>
      <c r="H29" s="1943"/>
      <c r="I29" s="1943"/>
      <c r="J29" s="1943"/>
      <c r="K29" s="1943"/>
      <c r="L29" s="2521"/>
      <c r="M29" s="1943"/>
      <c r="N29" s="2521"/>
      <c r="O29" s="1943"/>
      <c r="P29" s="2521"/>
      <c r="Q29" s="1943"/>
      <c r="R29" s="2521"/>
      <c r="S29" s="1741"/>
      <c r="T29" s="2521"/>
      <c r="U29" s="1741"/>
      <c r="V29" s="2521"/>
      <c r="W29" s="1741"/>
      <c r="X29" s="2521"/>
      <c r="Y29" s="1741"/>
      <c r="Z29" s="2521"/>
      <c r="AA29" s="1741"/>
      <c r="AB29" s="1938"/>
      <c r="AC29" s="1982"/>
      <c r="AD29" s="1943">
        <v>0</v>
      </c>
      <c r="AE29" s="3086"/>
      <c r="AF29" s="3085"/>
      <c r="AG29" s="1943">
        <v>0</v>
      </c>
      <c r="AH29" s="1937"/>
      <c r="AI29" s="2525"/>
      <c r="AJ29" s="1938">
        <f>ROUND(AD29-AG29,1)</f>
        <v>0</v>
      </c>
      <c r="AK29" s="2529"/>
      <c r="AL29" s="2523">
        <f>ROUND(IF(AG29=0,0,AJ29/ABS(AG29)),3)</f>
        <v>0</v>
      </c>
      <c r="AM29" s="2513"/>
    </row>
    <row r="30" spans="1:39" ht="15.75">
      <c r="B30" s="2389" t="s">
        <v>1082</v>
      </c>
      <c r="C30" s="2381"/>
      <c r="D30" s="2381"/>
      <c r="E30" s="1428">
        <f>ROUND(SUM(E29:E29),1)</f>
        <v>0</v>
      </c>
      <c r="F30" s="1943"/>
      <c r="G30" s="1428">
        <f>ROUND(SUM(G29:G29),1)</f>
        <v>0</v>
      </c>
      <c r="H30" s="1943"/>
      <c r="I30" s="1428">
        <f>ROUND(SUM(I29:I29),1)</f>
        <v>0</v>
      </c>
      <c r="J30" s="1943"/>
      <c r="K30" s="1428">
        <f>ROUND(SUM(K29:K29),1)</f>
        <v>0</v>
      </c>
      <c r="L30" s="1943"/>
      <c r="M30" s="1428">
        <f>ROUND(SUM(M29:M29),1)</f>
        <v>0</v>
      </c>
      <c r="N30" s="1943"/>
      <c r="O30" s="1428">
        <f>ROUND(SUM(O29:O29),1)</f>
        <v>0</v>
      </c>
      <c r="P30" s="1938"/>
      <c r="Q30" s="1428">
        <f>ROUND(SUM(Q29:Q29),1)</f>
        <v>0</v>
      </c>
      <c r="R30" s="1938"/>
      <c r="S30" s="1428">
        <f>ROUND(SUM(S29:S29),1)</f>
        <v>0</v>
      </c>
      <c r="T30" s="1938"/>
      <c r="U30" s="1428">
        <f>ROUND(SUM(U29:U29),1)</f>
        <v>0</v>
      </c>
      <c r="V30" s="1938"/>
      <c r="W30" s="1428">
        <f>ROUND(SUM(W29:W29),1)</f>
        <v>0</v>
      </c>
      <c r="X30" s="1938"/>
      <c r="Y30" s="1428">
        <f>ROUND(SUM(Y29:Y29),1)</f>
        <v>0</v>
      </c>
      <c r="Z30" s="1938"/>
      <c r="AA30" s="1428">
        <f>ROUND(SUM(AA29:AA29),1)</f>
        <v>0</v>
      </c>
      <c r="AB30" s="1938"/>
      <c r="AC30" s="1982"/>
      <c r="AD30" s="1428">
        <f>ROUND(SUM(AD29:AD29),1)</f>
        <v>0</v>
      </c>
      <c r="AE30" s="3086"/>
      <c r="AF30" s="3085"/>
      <c r="AG30" s="1428">
        <f>ROUND(SUM(AG29:AG29),1)</f>
        <v>0</v>
      </c>
      <c r="AH30" s="1937"/>
      <c r="AI30" s="2525"/>
      <c r="AJ30" s="1428">
        <f>ROUND(SUM(AJ29:AJ29),1)</f>
        <v>0</v>
      </c>
      <c r="AK30" s="2529"/>
      <c r="AL30" s="2136">
        <f>ROUND(IF(AG30=0,0,AJ30/ABS(AG30)),3)</f>
        <v>0</v>
      </c>
      <c r="AM30" s="2513"/>
    </row>
    <row r="31" spans="1:39" ht="15.75">
      <c r="A31" s="2381"/>
      <c r="B31" s="2468"/>
      <c r="C31" s="2381"/>
      <c r="D31" s="2381"/>
      <c r="E31" s="2524"/>
      <c r="F31" s="1943"/>
      <c r="G31" s="2524"/>
      <c r="H31" s="1943"/>
      <c r="I31" s="1942"/>
      <c r="J31" s="1943"/>
      <c r="K31" s="1942"/>
      <c r="L31" s="1943"/>
      <c r="M31" s="1943"/>
      <c r="N31" s="1943"/>
      <c r="O31" s="1943"/>
      <c r="P31" s="1938"/>
      <c r="Q31" s="2528"/>
      <c r="R31" s="1938"/>
      <c r="S31" s="2528"/>
      <c r="T31" s="1938"/>
      <c r="U31" s="2528"/>
      <c r="V31" s="1938"/>
      <c r="W31" s="2528"/>
      <c r="X31" s="1938"/>
      <c r="Y31" s="2528"/>
      <c r="Z31" s="1938"/>
      <c r="AA31" s="2528"/>
      <c r="AB31" s="1938"/>
      <c r="AC31" s="1982"/>
      <c r="AD31" s="1938"/>
      <c r="AE31" s="3086"/>
      <c r="AF31" s="3085"/>
      <c r="AG31" s="1938"/>
      <c r="AH31" s="1937"/>
      <c r="AI31" s="2525"/>
      <c r="AJ31" s="1937"/>
      <c r="AK31" s="2529"/>
      <c r="AL31" s="3541"/>
      <c r="AM31" s="2513"/>
    </row>
    <row r="32" spans="1:39" s="2536" customFormat="1" ht="15.75">
      <c r="A32" s="2468"/>
      <c r="B32" s="2389" t="s">
        <v>1008</v>
      </c>
      <c r="C32" s="2468"/>
      <c r="D32" s="2468"/>
      <c r="E32" s="2526">
        <f>ROUND(SUM(+E27+E22+E30),1)</f>
        <v>91.9</v>
      </c>
      <c r="F32" s="1993"/>
      <c r="G32" s="2526">
        <f>ROUND(SUM(+G27+G22+G30),1)</f>
        <v>90.3</v>
      </c>
      <c r="H32" s="1993"/>
      <c r="I32" s="2526">
        <f>ROUND(SUM(+I27+I22+I30),1)</f>
        <v>0</v>
      </c>
      <c r="J32" s="1993"/>
      <c r="K32" s="2526">
        <f>ROUND(SUM(+K27+K22+K30),1)</f>
        <v>0</v>
      </c>
      <c r="L32" s="1993"/>
      <c r="M32" s="1978">
        <f>ROUND(SUM(+M27+M22+M30),1)</f>
        <v>0</v>
      </c>
      <c r="N32" s="1993"/>
      <c r="O32" s="1978">
        <f>ROUND(SUM(+O27+O22+O30),1)</f>
        <v>0</v>
      </c>
      <c r="P32" s="1993"/>
      <c r="Q32" s="1978">
        <f>ROUND(SUM(+Q27+Q22+Q30),1)</f>
        <v>0</v>
      </c>
      <c r="R32" s="1993"/>
      <c r="S32" s="1978">
        <f>ROUND(SUM(+S27+S22+S30),1)</f>
        <v>0</v>
      </c>
      <c r="T32" s="1993"/>
      <c r="U32" s="1978">
        <f>ROUND(SUM(+U27+U22+U30),1)</f>
        <v>0</v>
      </c>
      <c r="V32" s="1993"/>
      <c r="W32" s="1978">
        <f>ROUND(SUM(+W27+W22+W30),1)</f>
        <v>0</v>
      </c>
      <c r="X32" s="1993"/>
      <c r="Y32" s="1978">
        <f>ROUND(SUM(+Y27+Y22+Y30),1)</f>
        <v>0</v>
      </c>
      <c r="Z32" s="1993"/>
      <c r="AA32" s="1978">
        <f>ROUND(SUM(+AA27+AA22+AA30),1)</f>
        <v>0</v>
      </c>
      <c r="AB32" s="1993"/>
      <c r="AC32" s="2469"/>
      <c r="AD32" s="1978">
        <f>ROUND(SUM(+AD27+AD22+AD30),1)</f>
        <v>182.2</v>
      </c>
      <c r="AE32" s="3087"/>
      <c r="AF32" s="3088"/>
      <c r="AG32" s="1978">
        <f>ROUND(SUM(+AG27+AG22+AG30),1)</f>
        <v>177.4</v>
      </c>
      <c r="AH32" s="2527"/>
      <c r="AI32" s="2525"/>
      <c r="AJ32" s="1978">
        <f>ROUND(SUM(+AJ27+AJ22+AJ30),1)</f>
        <v>4.8</v>
      </c>
      <c r="AK32" s="3542"/>
      <c r="AL32" s="2543">
        <f>ROUND(IF(AG32=0,1,AJ32/ABS(AG32)),3)</f>
        <v>2.7E-2</v>
      </c>
      <c r="AM32" s="2544"/>
    </row>
    <row r="33" spans="1:39" ht="15.75">
      <c r="A33" s="2381"/>
      <c r="B33" s="2420"/>
      <c r="C33" s="2381"/>
      <c r="D33" s="2381"/>
      <c r="E33" s="2524"/>
      <c r="F33" s="1943"/>
      <c r="G33" s="2524"/>
      <c r="H33" s="1943"/>
      <c r="I33" s="1942"/>
      <c r="J33" s="1943"/>
      <c r="K33" s="1942"/>
      <c r="L33" s="1943"/>
      <c r="M33" s="1943"/>
      <c r="N33" s="1943"/>
      <c r="O33" s="1943"/>
      <c r="P33" s="1938"/>
      <c r="Q33" s="2528"/>
      <c r="R33" s="1938"/>
      <c r="S33" s="2528"/>
      <c r="T33" s="1938"/>
      <c r="U33" s="2528"/>
      <c r="V33" s="1938"/>
      <c r="W33" s="2528"/>
      <c r="X33" s="1938"/>
      <c r="Y33" s="2528"/>
      <c r="Z33" s="1938"/>
      <c r="AA33" s="2528"/>
      <c r="AB33" s="1938"/>
      <c r="AC33" s="1982"/>
      <c r="AD33" s="1938"/>
      <c r="AE33" s="3086"/>
      <c r="AF33" s="3085"/>
      <c r="AG33" s="1938"/>
      <c r="AH33" s="1937"/>
      <c r="AI33" s="2525"/>
      <c r="AJ33" s="1937"/>
      <c r="AK33" s="2529"/>
      <c r="AL33" s="1603"/>
      <c r="AM33" s="2513"/>
    </row>
    <row r="34" spans="1:39" ht="15.75">
      <c r="A34" s="2381"/>
      <c r="B34" s="2378" t="s">
        <v>918</v>
      </c>
      <c r="C34" s="2381"/>
      <c r="D34" s="2381"/>
      <c r="E34" s="1942"/>
      <c r="F34" s="1943"/>
      <c r="G34" s="1942"/>
      <c r="H34" s="1943"/>
      <c r="I34" s="1942"/>
      <c r="J34" s="1943"/>
      <c r="K34" s="1942"/>
      <c r="L34" s="1943"/>
      <c r="M34" s="1943"/>
      <c r="N34" s="1943"/>
      <c r="O34" s="1943"/>
      <c r="P34" s="1938"/>
      <c r="Q34" s="2528"/>
      <c r="R34" s="1938"/>
      <c r="S34" s="2528"/>
      <c r="T34" s="1938"/>
      <c r="U34" s="2528"/>
      <c r="V34" s="1938"/>
      <c r="W34" s="2528"/>
      <c r="X34" s="1938"/>
      <c r="Y34" s="2528"/>
      <c r="Z34" s="1938"/>
      <c r="AA34" s="2528"/>
      <c r="AB34" s="1938"/>
      <c r="AC34" s="1982"/>
      <c r="AD34" s="1938"/>
      <c r="AE34" s="3080"/>
      <c r="AF34" s="1920"/>
      <c r="AG34" s="1938"/>
      <c r="AH34" s="1937"/>
      <c r="AI34" s="2525"/>
      <c r="AJ34" s="1937"/>
      <c r="AK34" s="2522"/>
      <c r="AL34" s="1750"/>
    </row>
    <row r="35" spans="1:39" ht="15.75">
      <c r="A35" s="2381"/>
      <c r="B35" s="2401" t="s">
        <v>1033</v>
      </c>
      <c r="C35" s="2420"/>
      <c r="D35" s="2381"/>
      <c r="E35" s="1942"/>
      <c r="F35" s="1943"/>
      <c r="G35" s="1942"/>
      <c r="H35" s="1943"/>
      <c r="I35" s="1942"/>
      <c r="J35" s="1943"/>
      <c r="K35" s="1942"/>
      <c r="L35" s="1943"/>
      <c r="M35" s="1943"/>
      <c r="N35" s="1943"/>
      <c r="O35" s="1943"/>
      <c r="P35" s="1938"/>
      <c r="Q35" s="2528"/>
      <c r="R35" s="1938"/>
      <c r="S35" s="2528"/>
      <c r="T35" s="1938"/>
      <c r="U35" s="2528"/>
      <c r="V35" s="1938"/>
      <c r="W35" s="2528"/>
      <c r="X35" s="1938"/>
      <c r="Y35" s="2528"/>
      <c r="Z35" s="1938"/>
      <c r="AA35" s="2528"/>
      <c r="AB35" s="1938"/>
      <c r="AC35" s="1982"/>
      <c r="AD35" s="1938"/>
      <c r="AE35" s="3083"/>
      <c r="AF35" s="1920"/>
      <c r="AG35" s="1938"/>
      <c r="AH35" s="1937"/>
      <c r="AI35" s="2525"/>
      <c r="AJ35" s="1937"/>
      <c r="AK35" s="2522"/>
      <c r="AL35" s="1750"/>
    </row>
    <row r="36" spans="1:39" ht="15.75">
      <c r="A36" s="2381"/>
      <c r="B36" s="2401" t="s">
        <v>951</v>
      </c>
      <c r="C36" s="2420"/>
      <c r="D36" s="2381"/>
      <c r="E36" s="1943">
        <v>0</v>
      </c>
      <c r="F36" s="1943"/>
      <c r="G36" s="1943">
        <f>$AD36-E36</f>
        <v>0</v>
      </c>
      <c r="H36" s="1943"/>
      <c r="I36" s="1943"/>
      <c r="J36" s="1943"/>
      <c r="K36" s="1943"/>
      <c r="L36" s="2521"/>
      <c r="M36" s="1943"/>
      <c r="N36" s="2521"/>
      <c r="O36" s="1943"/>
      <c r="P36" s="2521"/>
      <c r="Q36" s="1943"/>
      <c r="R36" s="2521"/>
      <c r="S36" s="1741"/>
      <c r="T36" s="2521"/>
      <c r="U36" s="1741"/>
      <c r="V36" s="2521"/>
      <c r="W36" s="1741"/>
      <c r="X36" s="2521"/>
      <c r="Y36" s="1741"/>
      <c r="Z36" s="2521"/>
      <c r="AA36" s="1741"/>
      <c r="AB36" s="1938"/>
      <c r="AC36" s="1982"/>
      <c r="AD36" s="1943">
        <v>0</v>
      </c>
      <c r="AE36" s="3083"/>
      <c r="AF36" s="1920"/>
      <c r="AG36" s="1943">
        <v>0</v>
      </c>
      <c r="AH36" s="1937"/>
      <c r="AI36" s="2525"/>
      <c r="AJ36" s="1938">
        <f t="shared" ref="AJ36:AJ59" si="2">ROUND(AD36-AG36,1)</f>
        <v>0</v>
      </c>
      <c r="AK36" s="2522"/>
      <c r="AL36" s="1603">
        <f>ROUND(IF(AG36=0,0,AJ36/ABS(AG36)),3)</f>
        <v>0</v>
      </c>
    </row>
    <row r="37" spans="1:39" ht="15.75">
      <c r="A37" s="2381"/>
      <c r="B37" s="2401" t="s">
        <v>1034</v>
      </c>
      <c r="C37" s="2420"/>
      <c r="D37" s="2381"/>
      <c r="E37" s="1943" t="s">
        <v>14</v>
      </c>
      <c r="F37" s="1943"/>
      <c r="G37" s="1943"/>
      <c r="H37" s="1943"/>
      <c r="I37" s="1943"/>
      <c r="J37" s="1943"/>
      <c r="K37" s="1943"/>
      <c r="L37" s="2521"/>
      <c r="M37" s="1943"/>
      <c r="N37" s="2521"/>
      <c r="O37" s="1943"/>
      <c r="P37" s="2521"/>
      <c r="Q37" s="1943"/>
      <c r="R37" s="2521"/>
      <c r="S37" s="1741"/>
      <c r="T37" s="2521"/>
      <c r="U37" s="1741"/>
      <c r="V37" s="2521"/>
      <c r="W37" s="1741"/>
      <c r="X37" s="2521"/>
      <c r="Y37" s="1741"/>
      <c r="Z37" s="2521"/>
      <c r="AA37" s="1741"/>
      <c r="AB37" s="1938"/>
      <c r="AC37" s="1982"/>
      <c r="AD37" s="2528"/>
      <c r="AE37" s="3083"/>
      <c r="AF37" s="1920"/>
      <c r="AG37" s="2528"/>
      <c r="AH37" s="1937"/>
      <c r="AI37" s="2525"/>
      <c r="AJ37" s="1938"/>
      <c r="AK37" s="2522"/>
      <c r="AL37" s="1750"/>
    </row>
    <row r="38" spans="1:39" ht="15.75">
      <c r="A38" s="2381"/>
      <c r="B38" s="2401" t="s">
        <v>952</v>
      </c>
      <c r="C38" s="2420"/>
      <c r="D38" s="2381"/>
      <c r="E38" s="1943">
        <v>7.1</v>
      </c>
      <c r="F38" s="1943"/>
      <c r="G38" s="1943">
        <f t="shared" ref="G38:G59" si="3">$AD38-E38</f>
        <v>5.9</v>
      </c>
      <c r="H38" s="1943"/>
      <c r="I38" s="1943"/>
      <c r="J38" s="1943"/>
      <c r="K38" s="1943"/>
      <c r="L38" s="2521"/>
      <c r="M38" s="1943"/>
      <c r="N38" s="2521"/>
      <c r="O38" s="1943"/>
      <c r="P38" s="2521"/>
      <c r="Q38" s="1943"/>
      <c r="R38" s="2521"/>
      <c r="S38" s="1741"/>
      <c r="T38" s="2521"/>
      <c r="U38" s="1741"/>
      <c r="V38" s="2521"/>
      <c r="W38" s="1741"/>
      <c r="X38" s="2521"/>
      <c r="Y38" s="1741"/>
      <c r="Z38" s="2521"/>
      <c r="AA38" s="1741"/>
      <c r="AB38" s="1938"/>
      <c r="AC38" s="1982"/>
      <c r="AD38" s="1943">
        <v>13</v>
      </c>
      <c r="AE38" s="3083"/>
      <c r="AF38" s="1920"/>
      <c r="AG38" s="1943">
        <v>17.600000000000001</v>
      </c>
      <c r="AH38" s="1937"/>
      <c r="AI38" s="2525"/>
      <c r="AJ38" s="1938">
        <f t="shared" si="2"/>
        <v>-4.5999999999999996</v>
      </c>
      <c r="AK38" s="2522"/>
      <c r="AL38" s="1603">
        <f>ROUND(IF(AG38=0,0,AJ38/ABS(AG38)),3)</f>
        <v>-0.26100000000000001</v>
      </c>
    </row>
    <row r="39" spans="1:39" ht="15.75">
      <c r="A39" s="2381"/>
      <c r="B39" s="2401" t="s">
        <v>1038</v>
      </c>
      <c r="C39" s="2420"/>
      <c r="D39" s="2381"/>
      <c r="E39" s="1943" t="s">
        <v>14</v>
      </c>
      <c r="F39" s="1943"/>
      <c r="G39" s="1943"/>
      <c r="H39" s="1943"/>
      <c r="I39" s="1943"/>
      <c r="J39" s="1943"/>
      <c r="K39" s="1943"/>
      <c r="L39" s="2521"/>
      <c r="M39" s="1943"/>
      <c r="N39" s="2521"/>
      <c r="O39" s="1943"/>
      <c r="P39" s="2521"/>
      <c r="Q39" s="1943"/>
      <c r="R39" s="2521"/>
      <c r="S39" s="1741"/>
      <c r="T39" s="2521"/>
      <c r="U39" s="1741"/>
      <c r="V39" s="2521"/>
      <c r="W39" s="1741"/>
      <c r="X39" s="2521"/>
      <c r="Y39" s="1741"/>
      <c r="Z39" s="2521"/>
      <c r="AA39" s="1741"/>
      <c r="AB39" s="1938"/>
      <c r="AC39" s="1982"/>
      <c r="AD39" s="2528"/>
      <c r="AE39" s="3083"/>
      <c r="AF39" s="1920"/>
      <c r="AG39" s="2528"/>
      <c r="AH39" s="1937"/>
      <c r="AI39" s="2525"/>
      <c r="AJ39" s="1938"/>
      <c r="AK39" s="2522"/>
      <c r="AL39" s="1750"/>
    </row>
    <row r="40" spans="1:39" ht="15.75">
      <c r="A40" s="2381"/>
      <c r="B40" s="2401" t="s">
        <v>956</v>
      </c>
      <c r="C40" s="2420"/>
      <c r="D40" s="2381"/>
      <c r="E40" s="1943">
        <v>3.3</v>
      </c>
      <c r="F40" s="1943"/>
      <c r="G40" s="1943">
        <f t="shared" si="3"/>
        <v>1.2000000000000002</v>
      </c>
      <c r="H40" s="1943"/>
      <c r="I40" s="1943"/>
      <c r="J40" s="1943"/>
      <c r="K40" s="1943"/>
      <c r="L40" s="2521"/>
      <c r="M40" s="1943"/>
      <c r="N40" s="2521"/>
      <c r="O40" s="1943"/>
      <c r="P40" s="2521"/>
      <c r="Q40" s="1943"/>
      <c r="R40" s="2521"/>
      <c r="S40" s="1741"/>
      <c r="T40" s="2521"/>
      <c r="U40" s="1741"/>
      <c r="V40" s="2521"/>
      <c r="W40" s="1741"/>
      <c r="X40" s="2521"/>
      <c r="Y40" s="1741"/>
      <c r="Z40" s="2521"/>
      <c r="AA40" s="1741"/>
      <c r="AB40" s="1938"/>
      <c r="AC40" s="1982"/>
      <c r="AD40" s="1943">
        <v>4.5</v>
      </c>
      <c r="AE40" s="3083"/>
      <c r="AF40" s="1920"/>
      <c r="AG40" s="1943">
        <v>3</v>
      </c>
      <c r="AH40" s="1937"/>
      <c r="AI40" s="2525"/>
      <c r="AJ40" s="1938">
        <f t="shared" si="2"/>
        <v>1.5</v>
      </c>
      <c r="AK40" s="2522"/>
      <c r="AL40" s="1603">
        <f>ROUND(IF(AG40=0,0,AJ40/ABS(AG40)),3)</f>
        <v>0.5</v>
      </c>
    </row>
    <row r="41" spans="1:39" ht="15.75">
      <c r="A41" s="2381"/>
      <c r="B41" s="2401" t="s">
        <v>1093</v>
      </c>
      <c r="C41" s="2420"/>
      <c r="D41" s="2381"/>
      <c r="E41" s="1943">
        <v>0</v>
      </c>
      <c r="F41" s="1943"/>
      <c r="G41" s="1943">
        <f t="shared" si="3"/>
        <v>0</v>
      </c>
      <c r="H41" s="1943"/>
      <c r="I41" s="1943"/>
      <c r="J41" s="1943"/>
      <c r="K41" s="1943"/>
      <c r="L41" s="2521"/>
      <c r="M41" s="1943"/>
      <c r="N41" s="2521"/>
      <c r="O41" s="1943"/>
      <c r="P41" s="2521"/>
      <c r="Q41" s="1943"/>
      <c r="R41" s="2521"/>
      <c r="S41" s="1741"/>
      <c r="T41" s="2521"/>
      <c r="U41" s="1741"/>
      <c r="V41" s="2521"/>
      <c r="W41" s="1741"/>
      <c r="X41" s="2521"/>
      <c r="Y41" s="1741"/>
      <c r="Z41" s="2521"/>
      <c r="AA41" s="1741"/>
      <c r="AB41" s="1938"/>
      <c r="AC41" s="1982"/>
      <c r="AD41" s="1943">
        <v>0</v>
      </c>
      <c r="AE41" s="3089"/>
      <c r="AF41" s="1920"/>
      <c r="AG41" s="1943">
        <v>0</v>
      </c>
      <c r="AH41" s="1937"/>
      <c r="AI41" s="2525"/>
      <c r="AJ41" s="1938">
        <f>ROUND(AD41-AG41,1)</f>
        <v>0</v>
      </c>
      <c r="AK41" s="2522"/>
      <c r="AL41" s="1677">
        <f>ROUND(IF(AG41=0,0,AJ41/ABS(AG41)),3)</f>
        <v>0</v>
      </c>
    </row>
    <row r="42" spans="1:39" ht="15.75">
      <c r="A42" s="2381"/>
      <c r="B42" s="2401" t="s">
        <v>959</v>
      </c>
      <c r="C42" s="2420"/>
      <c r="D42" s="2381"/>
      <c r="E42" s="1943">
        <v>60</v>
      </c>
      <c r="F42" s="1943"/>
      <c r="G42" s="1943">
        <f t="shared" si="3"/>
        <v>57</v>
      </c>
      <c r="H42" s="1943"/>
      <c r="I42" s="1943"/>
      <c r="J42" s="1943"/>
      <c r="K42" s="1943"/>
      <c r="L42" s="2521"/>
      <c r="M42" s="1943"/>
      <c r="N42" s="2521"/>
      <c r="O42" s="1943"/>
      <c r="P42" s="2521"/>
      <c r="Q42" s="1943"/>
      <c r="R42" s="2521"/>
      <c r="S42" s="1741"/>
      <c r="T42" s="2521"/>
      <c r="U42" s="1741"/>
      <c r="V42" s="2521"/>
      <c r="W42" s="1741"/>
      <c r="X42" s="2521"/>
      <c r="Y42" s="1741"/>
      <c r="Z42" s="2521"/>
      <c r="AA42" s="1741"/>
      <c r="AB42" s="1938"/>
      <c r="AC42" s="1982"/>
      <c r="AD42" s="3727">
        <v>117</v>
      </c>
      <c r="AE42" s="3083"/>
      <c r="AF42" s="1920"/>
      <c r="AG42" s="1943">
        <v>148.30000000000001</v>
      </c>
      <c r="AH42" s="1937"/>
      <c r="AI42" s="2525"/>
      <c r="AJ42" s="1938">
        <f t="shared" si="2"/>
        <v>-31.3</v>
      </c>
      <c r="AK42" s="2522"/>
      <c r="AL42" s="1603">
        <f>ROUND(IF(AG42=0,0,AJ42/ABS(AG42)),3)</f>
        <v>-0.21099999999999999</v>
      </c>
    </row>
    <row r="43" spans="1:39" ht="15.75">
      <c r="A43" s="2381"/>
      <c r="B43" s="2401" t="s">
        <v>960</v>
      </c>
      <c r="C43" s="2420"/>
      <c r="D43" s="2381"/>
      <c r="E43" s="1943">
        <v>1.4</v>
      </c>
      <c r="F43" s="1943"/>
      <c r="G43" s="1943">
        <f t="shared" si="3"/>
        <v>7</v>
      </c>
      <c r="H43" s="1943"/>
      <c r="I43" s="1943"/>
      <c r="J43" s="1943"/>
      <c r="K43" s="1943"/>
      <c r="L43" s="2521"/>
      <c r="M43" s="1943"/>
      <c r="N43" s="2521"/>
      <c r="O43" s="1943"/>
      <c r="P43" s="2521"/>
      <c r="Q43" s="1943"/>
      <c r="R43" s="2521"/>
      <c r="S43" s="1741"/>
      <c r="T43" s="2521"/>
      <c r="U43" s="1741"/>
      <c r="V43" s="2521"/>
      <c r="W43" s="1741"/>
      <c r="X43" s="2521"/>
      <c r="Y43" s="1741"/>
      <c r="Z43" s="2521"/>
      <c r="AA43" s="1741"/>
      <c r="AB43" s="1938"/>
      <c r="AC43" s="1982"/>
      <c r="AD43" s="1943">
        <v>8.4</v>
      </c>
      <c r="AE43" s="3083"/>
      <c r="AF43" s="1920"/>
      <c r="AG43" s="1943">
        <v>4.4000000000000004</v>
      </c>
      <c r="AH43" s="1937"/>
      <c r="AI43" s="2525"/>
      <c r="AJ43" s="1938">
        <f t="shared" si="2"/>
        <v>4</v>
      </c>
      <c r="AK43" s="2522"/>
      <c r="AL43" s="1682">
        <f>ROUND(IF(AG43=0,1,AJ43/ABS(AG43)),3)</f>
        <v>0.90900000000000003</v>
      </c>
    </row>
    <row r="44" spans="1:39" ht="15.75">
      <c r="A44" s="2381"/>
      <c r="B44" s="2401" t="s">
        <v>919</v>
      </c>
      <c r="C44" s="2420"/>
      <c r="D44" s="2381"/>
      <c r="E44" s="1943">
        <v>1.8</v>
      </c>
      <c r="F44" s="1943"/>
      <c r="G44" s="1943">
        <f t="shared" si="3"/>
        <v>2.2999999999999998</v>
      </c>
      <c r="H44" s="1943"/>
      <c r="I44" s="1943"/>
      <c r="J44" s="1943"/>
      <c r="K44" s="1943"/>
      <c r="L44" s="2521"/>
      <c r="M44" s="1943"/>
      <c r="N44" s="2521"/>
      <c r="O44" s="1943"/>
      <c r="P44" s="2521"/>
      <c r="Q44" s="1943"/>
      <c r="R44" s="2521"/>
      <c r="S44" s="1741"/>
      <c r="T44" s="2521"/>
      <c r="U44" s="1741"/>
      <c r="V44" s="2521"/>
      <c r="W44" s="1741"/>
      <c r="X44" s="2521"/>
      <c r="Y44" s="1741"/>
      <c r="Z44" s="2521"/>
      <c r="AA44" s="1741"/>
      <c r="AB44" s="1938"/>
      <c r="AC44" s="1982"/>
      <c r="AD44" s="1943">
        <v>4.0999999999999996</v>
      </c>
      <c r="AE44" s="3083"/>
      <c r="AF44" s="1920"/>
      <c r="AG44" s="1943">
        <v>3.3</v>
      </c>
      <c r="AH44" s="1937"/>
      <c r="AI44" s="2525"/>
      <c r="AJ44" s="1938">
        <f t="shared" si="2"/>
        <v>0.8</v>
      </c>
      <c r="AK44" s="2522"/>
      <c r="AL44" s="1682">
        <f>ROUND(IF(AG44=0,1,AJ44/ABS(AG44)),3)</f>
        <v>0.24199999999999999</v>
      </c>
    </row>
    <row r="45" spans="1:39" ht="15.75">
      <c r="A45" s="2381"/>
      <c r="B45" s="2401" t="s">
        <v>920</v>
      </c>
      <c r="C45" s="2420"/>
      <c r="D45" s="2381"/>
      <c r="E45" s="1943">
        <v>0.1</v>
      </c>
      <c r="F45" s="1943"/>
      <c r="G45" s="1943">
        <f t="shared" si="3"/>
        <v>0.1</v>
      </c>
      <c r="H45" s="1943"/>
      <c r="I45" s="1943"/>
      <c r="J45" s="1943"/>
      <c r="K45" s="1943"/>
      <c r="L45" s="2521"/>
      <c r="M45" s="1943"/>
      <c r="N45" s="2521"/>
      <c r="O45" s="1943"/>
      <c r="P45" s="2521"/>
      <c r="Q45" s="1943"/>
      <c r="R45" s="2521"/>
      <c r="S45" s="1741"/>
      <c r="T45" s="2521"/>
      <c r="U45" s="1741"/>
      <c r="V45" s="2521"/>
      <c r="W45" s="1741"/>
      <c r="X45" s="2521"/>
      <c r="Y45" s="1741"/>
      <c r="Z45" s="2521"/>
      <c r="AA45" s="1741"/>
      <c r="AB45" s="1938"/>
      <c r="AC45" s="1982"/>
      <c r="AD45" s="1943">
        <v>0.2</v>
      </c>
      <c r="AE45" s="3083"/>
      <c r="AF45" s="1920"/>
      <c r="AG45" s="1943">
        <v>0.1</v>
      </c>
      <c r="AH45" s="1937"/>
      <c r="AI45" s="2525"/>
      <c r="AJ45" s="1938">
        <f t="shared" si="2"/>
        <v>0.1</v>
      </c>
      <c r="AK45" s="2522"/>
      <c r="AL45" s="1677">
        <f>ROUND(IF(AG45=0,1,AJ45/ABS(AG45)),3)</f>
        <v>1</v>
      </c>
    </row>
    <row r="46" spans="1:39" ht="15.75">
      <c r="A46" s="2381"/>
      <c r="B46" s="2401" t="s">
        <v>937</v>
      </c>
      <c r="C46" s="2420"/>
      <c r="D46" s="2381"/>
      <c r="E46" s="1943">
        <v>0</v>
      </c>
      <c r="F46" s="1943"/>
      <c r="G46" s="1943">
        <f t="shared" si="3"/>
        <v>0.2</v>
      </c>
      <c r="H46" s="1943"/>
      <c r="I46" s="1943"/>
      <c r="J46" s="1943"/>
      <c r="K46" s="1943"/>
      <c r="L46" s="2521"/>
      <c r="M46" s="1943"/>
      <c r="N46" s="2521"/>
      <c r="O46" s="1943"/>
      <c r="P46" s="2521"/>
      <c r="Q46" s="1943"/>
      <c r="R46" s="2521"/>
      <c r="S46" s="1741"/>
      <c r="T46" s="2521"/>
      <c r="U46" s="1741"/>
      <c r="V46" s="2521"/>
      <c r="W46" s="1741"/>
      <c r="X46" s="2521"/>
      <c r="Y46" s="1741"/>
      <c r="Z46" s="2521"/>
      <c r="AA46" s="1741"/>
      <c r="AB46" s="1938"/>
      <c r="AC46" s="1982"/>
      <c r="AD46" s="1943">
        <v>0.2</v>
      </c>
      <c r="AE46" s="3083"/>
      <c r="AF46" s="1920"/>
      <c r="AG46" s="1943">
        <v>0</v>
      </c>
      <c r="AH46" s="1937"/>
      <c r="AI46" s="2525"/>
      <c r="AJ46" s="1938">
        <f>ROUND(AD46-AG46,1)</f>
        <v>0.2</v>
      </c>
      <c r="AK46" s="2522"/>
      <c r="AL46" s="1603">
        <f>ROUND(IF(AG46=0,1,AJ46/ABS(AG46)),3)</f>
        <v>1</v>
      </c>
    </row>
    <row r="47" spans="1:39" ht="15.75">
      <c r="A47" s="2381"/>
      <c r="B47" s="2401" t="s">
        <v>1036</v>
      </c>
      <c r="C47" s="2420"/>
      <c r="D47" s="2381"/>
      <c r="E47" s="1943" t="s">
        <v>14</v>
      </c>
      <c r="F47" s="1943"/>
      <c r="G47" s="1943"/>
      <c r="H47" s="1943"/>
      <c r="I47" s="1943"/>
      <c r="J47" s="1943"/>
      <c r="K47" s="1943"/>
      <c r="L47" s="2521"/>
      <c r="M47" s="1943"/>
      <c r="N47" s="2521"/>
      <c r="O47" s="1943"/>
      <c r="P47" s="2521"/>
      <c r="Q47" s="1943"/>
      <c r="R47" s="2521"/>
      <c r="S47" s="1741"/>
      <c r="T47" s="2521"/>
      <c r="U47" s="1741"/>
      <c r="V47" s="2521"/>
      <c r="W47" s="1741"/>
      <c r="X47" s="2521"/>
      <c r="Y47" s="1741"/>
      <c r="Z47" s="2521"/>
      <c r="AA47" s="1741"/>
      <c r="AB47" s="1938"/>
      <c r="AC47" s="1982"/>
      <c r="AD47" s="2528"/>
      <c r="AE47" s="3083"/>
      <c r="AF47" s="1920"/>
      <c r="AG47" s="2528"/>
      <c r="AH47" s="1937"/>
      <c r="AI47" s="2525"/>
      <c r="AJ47" s="1938"/>
      <c r="AK47" s="2522"/>
      <c r="AL47" s="1750"/>
    </row>
    <row r="48" spans="1:39" ht="15.75">
      <c r="A48" s="2381"/>
      <c r="B48" s="2401" t="s">
        <v>963</v>
      </c>
      <c r="C48" s="2420"/>
      <c r="D48" s="2381"/>
      <c r="E48" s="1943">
        <v>882.7</v>
      </c>
      <c r="F48" s="1943"/>
      <c r="G48" s="1943">
        <f t="shared" si="3"/>
        <v>972.59999999999991</v>
      </c>
      <c r="H48" s="1943"/>
      <c r="I48" s="1943"/>
      <c r="J48" s="1943"/>
      <c r="K48" s="1943"/>
      <c r="L48" s="2521"/>
      <c r="M48" s="1943"/>
      <c r="N48" s="2521"/>
      <c r="O48" s="1943"/>
      <c r="P48" s="2521"/>
      <c r="Q48" s="1943"/>
      <c r="R48" s="2521"/>
      <c r="S48" s="1741"/>
      <c r="T48" s="2521"/>
      <c r="U48" s="1741"/>
      <c r="V48" s="2521"/>
      <c r="W48" s="1741"/>
      <c r="X48" s="2521"/>
      <c r="Y48" s="1741"/>
      <c r="Z48" s="2521"/>
      <c r="AA48" s="1741"/>
      <c r="AB48" s="1938"/>
      <c r="AC48" s="1982"/>
      <c r="AD48" s="1943">
        <v>1855.3</v>
      </c>
      <c r="AE48" s="3083"/>
      <c r="AF48" s="1920"/>
      <c r="AG48" s="1943">
        <v>78.900000000000006</v>
      </c>
      <c r="AH48" s="1937"/>
      <c r="AI48" s="2525"/>
      <c r="AJ48" s="1938">
        <f t="shared" si="2"/>
        <v>1776.4</v>
      </c>
      <c r="AK48" s="2522"/>
      <c r="AL48" s="3543">
        <f>ROUND(IF(AG48=0,0,AJ48/ABS(AG48)),3)</f>
        <v>22.515000000000001</v>
      </c>
    </row>
    <row r="49" spans="1:41" s="2531" customFormat="1" ht="15.75">
      <c r="A49" s="3544"/>
      <c r="B49" s="2401" t="s">
        <v>965</v>
      </c>
      <c r="C49" s="2420"/>
      <c r="D49" s="2420"/>
      <c r="E49" s="1943">
        <v>0</v>
      </c>
      <c r="F49" s="1942"/>
      <c r="G49" s="1943">
        <f t="shared" si="3"/>
        <v>0</v>
      </c>
      <c r="H49" s="1942"/>
      <c r="I49" s="1943"/>
      <c r="J49" s="1942"/>
      <c r="K49" s="1943"/>
      <c r="L49" s="2521"/>
      <c r="M49" s="1943"/>
      <c r="N49" s="2521"/>
      <c r="O49" s="1943"/>
      <c r="P49" s="2521"/>
      <c r="Q49" s="1943"/>
      <c r="R49" s="2521"/>
      <c r="S49" s="1741"/>
      <c r="T49" s="2521"/>
      <c r="U49" s="1741"/>
      <c r="V49" s="2521"/>
      <c r="W49" s="1741"/>
      <c r="X49" s="2521"/>
      <c r="Y49" s="1741"/>
      <c r="Z49" s="2521"/>
      <c r="AA49" s="1741"/>
      <c r="AB49" s="1943"/>
      <c r="AC49" s="1944"/>
      <c r="AD49" s="1943">
        <v>0</v>
      </c>
      <c r="AE49" s="3090"/>
      <c r="AF49" s="1984"/>
      <c r="AG49" s="1943">
        <v>0</v>
      </c>
      <c r="AH49" s="1975"/>
      <c r="AI49" s="2525"/>
      <c r="AJ49" s="1943">
        <f t="shared" si="2"/>
        <v>0</v>
      </c>
      <c r="AK49" s="2530"/>
      <c r="AL49" s="1677">
        <f>ROUND(IF(AG49=0,0,AJ49/ABS(AG49)),3)</f>
        <v>0</v>
      </c>
    </row>
    <row r="50" spans="1:41" ht="15.75">
      <c r="A50" s="2381"/>
      <c r="B50" s="2401" t="s">
        <v>966</v>
      </c>
      <c r="C50" s="2420"/>
      <c r="D50" s="2381"/>
      <c r="E50" s="1943">
        <v>0.4</v>
      </c>
      <c r="F50" s="1943"/>
      <c r="G50" s="1943">
        <f t="shared" si="3"/>
        <v>-0.10000000000000003</v>
      </c>
      <c r="H50" s="1943"/>
      <c r="I50" s="1943"/>
      <c r="J50" s="1943"/>
      <c r="K50" s="1943"/>
      <c r="L50" s="2521"/>
      <c r="M50" s="1943"/>
      <c r="N50" s="2521"/>
      <c r="O50" s="1943"/>
      <c r="P50" s="2521"/>
      <c r="Q50" s="1943"/>
      <c r="R50" s="2521"/>
      <c r="S50" s="1741"/>
      <c r="T50" s="2521"/>
      <c r="U50" s="1741"/>
      <c r="V50" s="2521"/>
      <c r="W50" s="1741"/>
      <c r="X50" s="2521"/>
      <c r="Y50" s="1741"/>
      <c r="Z50" s="2521"/>
      <c r="AA50" s="1741"/>
      <c r="AB50" s="1938"/>
      <c r="AC50" s="1982"/>
      <c r="AD50" s="1943">
        <v>0.3</v>
      </c>
      <c r="AE50" s="3083"/>
      <c r="AF50" s="1920"/>
      <c r="AG50" s="1943">
        <v>3</v>
      </c>
      <c r="AH50" s="1937"/>
      <c r="AI50" s="2525"/>
      <c r="AJ50" s="1938">
        <f t="shared" si="2"/>
        <v>-2.7</v>
      </c>
      <c r="AK50" s="2522"/>
      <c r="AL50" s="2532">
        <f>ROUND(IF(AG50=0,1,AJ50/ABS(AG50)),3)</f>
        <v>-0.9</v>
      </c>
    </row>
    <row r="51" spans="1:41" ht="15.75">
      <c r="A51" s="2381"/>
      <c r="B51" s="2401" t="s">
        <v>938</v>
      </c>
      <c r="C51" s="2420"/>
      <c r="D51" s="2381"/>
      <c r="E51" s="1943">
        <v>2.6</v>
      </c>
      <c r="F51" s="1943"/>
      <c r="G51" s="1943">
        <f t="shared" si="3"/>
        <v>10.6</v>
      </c>
      <c r="H51" s="1943"/>
      <c r="I51" s="1943"/>
      <c r="J51" s="1943"/>
      <c r="K51" s="1943"/>
      <c r="L51" s="2521"/>
      <c r="M51" s="1943"/>
      <c r="N51" s="2521"/>
      <c r="O51" s="1943"/>
      <c r="P51" s="2521"/>
      <c r="Q51" s="1943"/>
      <c r="R51" s="2521"/>
      <c r="S51" s="1741"/>
      <c r="T51" s="2521"/>
      <c r="U51" s="1741"/>
      <c r="V51" s="2521"/>
      <c r="W51" s="1741"/>
      <c r="X51" s="2521"/>
      <c r="Y51" s="1741"/>
      <c r="Z51" s="2521"/>
      <c r="AA51" s="1741"/>
      <c r="AB51" s="1938"/>
      <c r="AC51" s="1982"/>
      <c r="AD51" s="1943">
        <v>13.2</v>
      </c>
      <c r="AE51" s="3083"/>
      <c r="AF51" s="1920"/>
      <c r="AG51" s="1943">
        <v>4.0999999999999996</v>
      </c>
      <c r="AH51" s="1937"/>
      <c r="AI51" s="2525"/>
      <c r="AJ51" s="1938">
        <f t="shared" si="2"/>
        <v>9.1</v>
      </c>
      <c r="AK51" s="2522"/>
      <c r="AL51" s="1603">
        <f>ROUND(IF(AG51=0,0,AJ51/ABS(AG51)),3)</f>
        <v>2.2200000000000002</v>
      </c>
    </row>
    <row r="52" spans="1:41" ht="15.75">
      <c r="A52" s="2381"/>
      <c r="B52" s="2401" t="s">
        <v>1037</v>
      </c>
      <c r="C52" s="2420"/>
      <c r="D52" s="2381"/>
      <c r="E52" s="1943" t="s">
        <v>14</v>
      </c>
      <c r="F52" s="1943"/>
      <c r="G52" s="1943"/>
      <c r="H52" s="1943"/>
      <c r="I52" s="1943"/>
      <c r="J52" s="1943"/>
      <c r="K52" s="1943"/>
      <c r="L52" s="2521"/>
      <c r="M52" s="1943"/>
      <c r="N52" s="2521"/>
      <c r="O52" s="1943"/>
      <c r="P52" s="2521"/>
      <c r="Q52" s="1943"/>
      <c r="R52" s="2521"/>
      <c r="S52" s="1741"/>
      <c r="T52" s="2521"/>
      <c r="U52" s="1741"/>
      <c r="V52" s="2521"/>
      <c r="W52" s="1741"/>
      <c r="X52" s="2521"/>
      <c r="Y52" s="1741"/>
      <c r="Z52" s="2521"/>
      <c r="AA52" s="1741"/>
      <c r="AB52" s="1938"/>
      <c r="AC52" s="1982"/>
      <c r="AD52" s="2528"/>
      <c r="AE52" s="3083"/>
      <c r="AF52" s="1920"/>
      <c r="AG52" s="2528"/>
      <c r="AH52" s="1937"/>
      <c r="AI52" s="2525"/>
      <c r="AJ52" s="1938"/>
      <c r="AK52" s="2522"/>
      <c r="AL52" s="1750"/>
    </row>
    <row r="53" spans="1:41" ht="15.75">
      <c r="A53" s="2381"/>
      <c r="B53" s="2401" t="s">
        <v>967</v>
      </c>
      <c r="C53" s="2420"/>
      <c r="D53" s="2381"/>
      <c r="E53" s="1943">
        <v>0</v>
      </c>
      <c r="F53" s="1942"/>
      <c r="G53" s="1943">
        <f t="shared" si="3"/>
        <v>0</v>
      </c>
      <c r="H53" s="1943"/>
      <c r="I53" s="1943"/>
      <c r="J53" s="1943"/>
      <c r="K53" s="1943"/>
      <c r="L53" s="2521"/>
      <c r="M53" s="1943"/>
      <c r="N53" s="2521"/>
      <c r="O53" s="1943"/>
      <c r="P53" s="2521"/>
      <c r="Q53" s="1943"/>
      <c r="R53" s="2521"/>
      <c r="S53" s="1741"/>
      <c r="T53" s="2521"/>
      <c r="U53" s="1741"/>
      <c r="V53" s="2521"/>
      <c r="W53" s="1741"/>
      <c r="X53" s="2521"/>
      <c r="Y53" s="1741"/>
      <c r="Z53" s="2521"/>
      <c r="AA53" s="1741"/>
      <c r="AB53" s="1938"/>
      <c r="AC53" s="1982"/>
      <c r="AD53" s="1943">
        <v>0</v>
      </c>
      <c r="AE53" s="3083"/>
      <c r="AF53" s="1920"/>
      <c r="AG53" s="1943">
        <v>0</v>
      </c>
      <c r="AH53" s="1937"/>
      <c r="AI53" s="2525"/>
      <c r="AJ53" s="1938">
        <f t="shared" si="2"/>
        <v>0</v>
      </c>
      <c r="AK53" s="2522"/>
      <c r="AL53" s="1603">
        <f>ROUND(IF(AG53=0,0,AJ53/ABS(AG53)),3)</f>
        <v>0</v>
      </c>
    </row>
    <row r="54" spans="1:41" ht="15.75">
      <c r="A54" s="2381"/>
      <c r="B54" s="2401" t="s">
        <v>969</v>
      </c>
      <c r="C54" s="2420"/>
      <c r="D54" s="2381"/>
      <c r="E54" s="1943">
        <v>0</v>
      </c>
      <c r="F54" s="1942"/>
      <c r="G54" s="1943">
        <f t="shared" si="3"/>
        <v>1.3</v>
      </c>
      <c r="H54" s="1943"/>
      <c r="I54" s="1943"/>
      <c r="J54" s="1943"/>
      <c r="K54" s="1943"/>
      <c r="L54" s="2521"/>
      <c r="M54" s="1943"/>
      <c r="N54" s="2521"/>
      <c r="O54" s="1943"/>
      <c r="P54" s="2521"/>
      <c r="Q54" s="1943"/>
      <c r="R54" s="2521"/>
      <c r="S54" s="1741"/>
      <c r="T54" s="2521"/>
      <c r="U54" s="1741"/>
      <c r="V54" s="2521"/>
      <c r="W54" s="1741"/>
      <c r="X54" s="2521"/>
      <c r="Y54" s="1741"/>
      <c r="Z54" s="2521"/>
      <c r="AA54" s="1741"/>
      <c r="AB54" s="1938"/>
      <c r="AC54" s="1982"/>
      <c r="AD54" s="1943">
        <v>1.3</v>
      </c>
      <c r="AE54" s="3083"/>
      <c r="AF54" s="1920"/>
      <c r="AG54" s="1943">
        <v>3.1</v>
      </c>
      <c r="AH54" s="1937"/>
      <c r="AI54" s="2525"/>
      <c r="AJ54" s="1938">
        <f t="shared" si="2"/>
        <v>-1.8</v>
      </c>
      <c r="AK54" s="2522"/>
      <c r="AL54" s="2135">
        <f>ROUND(IF(AG54=0,1,AJ54/ABS(AG54)),3)</f>
        <v>-0.58099999999999996</v>
      </c>
    </row>
    <row r="55" spans="1:41" ht="15.75">
      <c r="A55" s="2381"/>
      <c r="B55" s="2401" t="s">
        <v>970</v>
      </c>
      <c r="C55" s="2420"/>
      <c r="D55" s="2381"/>
      <c r="E55" s="1943">
        <v>5.7</v>
      </c>
      <c r="F55" s="1942"/>
      <c r="G55" s="1943">
        <f t="shared" si="3"/>
        <v>4.2</v>
      </c>
      <c r="H55" s="1943"/>
      <c r="I55" s="1943"/>
      <c r="J55" s="1943"/>
      <c r="K55" s="1943"/>
      <c r="L55" s="2521"/>
      <c r="M55" s="1943"/>
      <c r="N55" s="2521"/>
      <c r="O55" s="1943"/>
      <c r="P55" s="2521"/>
      <c r="Q55" s="1943"/>
      <c r="R55" s="2521"/>
      <c r="S55" s="1741"/>
      <c r="T55" s="2521"/>
      <c r="U55" s="1741"/>
      <c r="V55" s="2521"/>
      <c r="W55" s="1741"/>
      <c r="X55" s="2521"/>
      <c r="Y55" s="1741"/>
      <c r="Z55" s="2521"/>
      <c r="AA55" s="1741"/>
      <c r="AB55" s="1938"/>
      <c r="AC55" s="1982"/>
      <c r="AD55" s="3727">
        <v>9.9</v>
      </c>
      <c r="AE55" s="2121"/>
      <c r="AF55" s="1920"/>
      <c r="AG55" s="1943">
        <v>0</v>
      </c>
      <c r="AH55" s="1937"/>
      <c r="AI55" s="2525"/>
      <c r="AJ55" s="1938">
        <f t="shared" si="2"/>
        <v>9.9</v>
      </c>
      <c r="AK55" s="2522"/>
      <c r="AL55" s="1603">
        <f>ROUND(IF(AG55=0,1,AJ55/ABS(AG55)),3)</f>
        <v>1</v>
      </c>
    </row>
    <row r="56" spans="1:41" ht="15.75">
      <c r="A56" s="2381"/>
      <c r="B56" s="2401" t="s">
        <v>972</v>
      </c>
      <c r="C56" s="2420"/>
      <c r="D56" s="2381"/>
      <c r="E56" s="1943">
        <v>0</v>
      </c>
      <c r="F56" s="1942"/>
      <c r="G56" s="1943">
        <f t="shared" si="3"/>
        <v>0</v>
      </c>
      <c r="H56" s="1943"/>
      <c r="I56" s="1943"/>
      <c r="J56" s="1943"/>
      <c r="K56" s="1943"/>
      <c r="L56" s="2521"/>
      <c r="M56" s="1943"/>
      <c r="N56" s="2521"/>
      <c r="O56" s="1943"/>
      <c r="P56" s="2521"/>
      <c r="Q56" s="1943"/>
      <c r="R56" s="2521"/>
      <c r="S56" s="1741"/>
      <c r="T56" s="2521"/>
      <c r="U56" s="1741"/>
      <c r="V56" s="2521"/>
      <c r="W56" s="1741"/>
      <c r="X56" s="2521"/>
      <c r="Y56" s="1741"/>
      <c r="Z56" s="2521"/>
      <c r="AA56" s="1741"/>
      <c r="AB56" s="1938"/>
      <c r="AC56" s="1982"/>
      <c r="AD56" s="1943">
        <v>0</v>
      </c>
      <c r="AE56" s="3091"/>
      <c r="AF56" s="1920"/>
      <c r="AG56" s="1943">
        <v>0</v>
      </c>
      <c r="AH56" s="1937"/>
      <c r="AI56" s="2525"/>
      <c r="AJ56" s="1938">
        <f>ROUND(AD56-AG56,1)</f>
        <v>0</v>
      </c>
      <c r="AK56" s="2522"/>
      <c r="AL56" s="1603">
        <f>ROUND(IF(AG56=0,0,AJ56/ABS(AG56)),3)</f>
        <v>0</v>
      </c>
    </row>
    <row r="57" spans="1:41" ht="15.75">
      <c r="A57" s="2381"/>
      <c r="B57" s="2401" t="s">
        <v>973</v>
      </c>
      <c r="C57" s="2420"/>
      <c r="D57" s="2381"/>
      <c r="E57" s="1943">
        <v>0.5</v>
      </c>
      <c r="F57" s="1942"/>
      <c r="G57" s="1943">
        <f t="shared" si="3"/>
        <v>3</v>
      </c>
      <c r="H57" s="1943"/>
      <c r="I57" s="1943"/>
      <c r="J57" s="1943"/>
      <c r="K57" s="1943"/>
      <c r="L57" s="2521"/>
      <c r="M57" s="1943"/>
      <c r="N57" s="2521"/>
      <c r="O57" s="1943"/>
      <c r="P57" s="2521"/>
      <c r="Q57" s="1943"/>
      <c r="R57" s="2521"/>
      <c r="S57" s="1741"/>
      <c r="T57" s="2521"/>
      <c r="U57" s="1741"/>
      <c r="V57" s="2521"/>
      <c r="W57" s="1741"/>
      <c r="X57" s="2521"/>
      <c r="Y57" s="1741"/>
      <c r="Z57" s="2521"/>
      <c r="AA57" s="1741"/>
      <c r="AB57" s="1938"/>
      <c r="AC57" s="1982"/>
      <c r="AD57" s="1943">
        <v>3.5</v>
      </c>
      <c r="AE57" s="3083"/>
      <c r="AF57" s="1920"/>
      <c r="AG57" s="1943">
        <v>1.6</v>
      </c>
      <c r="AH57" s="1937"/>
      <c r="AI57" s="2525"/>
      <c r="AJ57" s="1938">
        <f t="shared" si="2"/>
        <v>1.9</v>
      </c>
      <c r="AK57" s="2522"/>
      <c r="AL57" s="3543">
        <f>ROUND(IF(AG57=0,1,AJ57/ABS(AG57)),3)</f>
        <v>1.1879999999999999</v>
      </c>
    </row>
    <row r="58" spans="1:41" ht="15.75">
      <c r="A58" s="2381"/>
      <c r="B58" s="2401" t="s">
        <v>975</v>
      </c>
      <c r="C58" s="2420"/>
      <c r="D58" s="2381"/>
      <c r="E58" s="1943">
        <v>7.3</v>
      </c>
      <c r="F58" s="1942"/>
      <c r="G58" s="1943">
        <f t="shared" si="3"/>
        <v>1.8999999999999995</v>
      </c>
      <c r="H58" s="1943"/>
      <c r="I58" s="1943"/>
      <c r="J58" s="1943"/>
      <c r="K58" s="1943"/>
      <c r="L58" s="2521"/>
      <c r="M58" s="1943"/>
      <c r="N58" s="2521"/>
      <c r="O58" s="1943"/>
      <c r="P58" s="2521"/>
      <c r="Q58" s="1943"/>
      <c r="R58" s="2521"/>
      <c r="S58" s="1741"/>
      <c r="T58" s="2521"/>
      <c r="U58" s="1741"/>
      <c r="V58" s="2521"/>
      <c r="W58" s="1741"/>
      <c r="X58" s="2521"/>
      <c r="Y58" s="1741"/>
      <c r="Z58" s="2521"/>
      <c r="AA58" s="1741"/>
      <c r="AB58" s="1938"/>
      <c r="AC58" s="1982"/>
      <c r="AD58" s="1758">
        <v>9.1999999999999993</v>
      </c>
      <c r="AE58" s="3083"/>
      <c r="AF58" s="1920"/>
      <c r="AG58" s="1758">
        <v>4.3</v>
      </c>
      <c r="AH58" s="1937"/>
      <c r="AI58" s="2525"/>
      <c r="AJ58" s="1938">
        <f t="shared" si="2"/>
        <v>4.9000000000000004</v>
      </c>
      <c r="AK58" s="2522"/>
      <c r="AL58" s="2135">
        <f>ROUND(IF(AG58=0,0,AJ58/ABS(AG58)),3)</f>
        <v>1.1399999999999999</v>
      </c>
    </row>
    <row r="59" spans="1:41" ht="15.75">
      <c r="A59" s="2381"/>
      <c r="B59" s="2401" t="s">
        <v>948</v>
      </c>
      <c r="C59" s="2420"/>
      <c r="D59" s="2381"/>
      <c r="E59" s="1943">
        <v>0</v>
      </c>
      <c r="F59" s="1942"/>
      <c r="G59" s="1943">
        <f t="shared" si="3"/>
        <v>0.2</v>
      </c>
      <c r="H59" s="1943"/>
      <c r="I59" s="1943"/>
      <c r="J59" s="1943"/>
      <c r="K59" s="1943"/>
      <c r="L59" s="2521"/>
      <c r="M59" s="1943"/>
      <c r="N59" s="2521"/>
      <c r="O59" s="1943"/>
      <c r="P59" s="2521"/>
      <c r="Q59" s="1943"/>
      <c r="R59" s="2521"/>
      <c r="S59" s="1741"/>
      <c r="T59" s="2521"/>
      <c r="U59" s="1741"/>
      <c r="V59" s="2521"/>
      <c r="W59" s="1741"/>
      <c r="X59" s="2521"/>
      <c r="Y59" s="1741"/>
      <c r="Z59" s="2521"/>
      <c r="AA59" s="1741"/>
      <c r="AB59" s="1938"/>
      <c r="AC59" s="1982"/>
      <c r="AD59" s="1758">
        <v>0.2</v>
      </c>
      <c r="AE59" s="3083"/>
      <c r="AF59" s="1920"/>
      <c r="AG59" s="1758">
        <v>0.1</v>
      </c>
      <c r="AH59" s="1937"/>
      <c r="AI59" s="2525"/>
      <c r="AJ59" s="1938">
        <f t="shared" si="2"/>
        <v>0.1</v>
      </c>
      <c r="AK59" s="2522"/>
      <c r="AL59" s="1746">
        <f>ROUND(IF(AG59=0,1,AJ59/ABS(AG59)),3)</f>
        <v>1</v>
      </c>
      <c r="AN59" s="2533"/>
    </row>
    <row r="60" spans="1:41" s="2536" customFormat="1" ht="15.75" collapsed="1">
      <c r="A60" s="2468"/>
      <c r="B60" s="2389" t="s">
        <v>1076</v>
      </c>
      <c r="C60" s="2468"/>
      <c r="D60" s="2468"/>
      <c r="E60" s="1428">
        <f>ROUND(SUM(E34:E59),1)</f>
        <v>972.9</v>
      </c>
      <c r="F60" s="1993"/>
      <c r="G60" s="1428">
        <f>ROUND(SUM(G34:G59),1)</f>
        <v>1067.4000000000001</v>
      </c>
      <c r="H60" s="2534"/>
      <c r="I60" s="1428">
        <f>ROUND(SUM(I34:I59),1)</f>
        <v>0</v>
      </c>
      <c r="J60" s="1993"/>
      <c r="K60" s="1428">
        <f>ROUND(SUM(K34:K59),1)</f>
        <v>0</v>
      </c>
      <c r="L60" s="1943"/>
      <c r="M60" s="1428">
        <f>ROUND(SUM(M34:M59),1)</f>
        <v>0</v>
      </c>
      <c r="N60" s="1943"/>
      <c r="O60" s="1428">
        <f>ROUND(SUM(O34:O59),1)</f>
        <v>0</v>
      </c>
      <c r="P60" s="1938"/>
      <c r="Q60" s="1428">
        <f>ROUND(SUM(Q34:Q59),1)</f>
        <v>0</v>
      </c>
      <c r="R60" s="1938"/>
      <c r="S60" s="1428">
        <f>ROUND(SUM(S34:S59),1)</f>
        <v>0</v>
      </c>
      <c r="T60" s="1938"/>
      <c r="U60" s="1428">
        <f>ROUND(SUM(U34:U59),1)</f>
        <v>0</v>
      </c>
      <c r="V60" s="1938"/>
      <c r="W60" s="1428">
        <f>ROUND(SUM(W34:W59),1)</f>
        <v>0</v>
      </c>
      <c r="X60" s="1938"/>
      <c r="Y60" s="1428">
        <f>ROUND(SUM(Y34:Y59),1)</f>
        <v>0</v>
      </c>
      <c r="Z60" s="1938"/>
      <c r="AA60" s="1428">
        <f>ROUND(SUM(AA34:AA59),1)</f>
        <v>0</v>
      </c>
      <c r="AB60" s="1993"/>
      <c r="AC60" s="2469"/>
      <c r="AD60" s="1428">
        <f>ROUND(SUM(AD34:AD59),1)</f>
        <v>2040.3</v>
      </c>
      <c r="AE60" s="3092"/>
      <c r="AF60" s="1430"/>
      <c r="AG60" s="1428">
        <f>ROUND(SUM(AG34:AG59),1)</f>
        <v>271.8</v>
      </c>
      <c r="AH60" s="2527"/>
      <c r="AI60" s="2525"/>
      <c r="AJ60" s="1428">
        <f>ROUND(SUM(AJ34:AJ59),1)</f>
        <v>1768.5</v>
      </c>
      <c r="AK60" s="2535"/>
      <c r="AL60" s="2136">
        <f>ROUND(IF(AG60=0,0,AJ60/ABS(AG60)),3)</f>
        <v>6.5069999999999997</v>
      </c>
    </row>
    <row r="61" spans="1:41" s="2536" customFormat="1" ht="15.75">
      <c r="A61" s="2468"/>
      <c r="B61" s="2389"/>
      <c r="C61" s="2468"/>
      <c r="D61" s="2468"/>
      <c r="E61" s="1430"/>
      <c r="F61" s="1993"/>
      <c r="G61" s="1430"/>
      <c r="H61" s="2534"/>
      <c r="I61" s="1430"/>
      <c r="J61" s="1993"/>
      <c r="K61" s="1430"/>
      <c r="L61" s="2521"/>
      <c r="M61" s="1741"/>
      <c r="N61" s="2521"/>
      <c r="O61" s="1741"/>
      <c r="P61" s="2521"/>
      <c r="Q61" s="1741"/>
      <c r="R61" s="2521"/>
      <c r="S61" s="1741"/>
      <c r="T61" s="2521"/>
      <c r="U61" s="1741"/>
      <c r="V61" s="2521"/>
      <c r="W61" s="1741"/>
      <c r="X61" s="2521"/>
      <c r="Y61" s="1741"/>
      <c r="Z61" s="2521"/>
      <c r="AA61" s="1741"/>
      <c r="AB61" s="1993"/>
      <c r="AC61" s="2469"/>
      <c r="AD61" s="1430"/>
      <c r="AE61" s="3093"/>
      <c r="AF61" s="1430"/>
      <c r="AG61" s="1430"/>
      <c r="AH61" s="2527"/>
      <c r="AI61" s="2525"/>
      <c r="AJ61" s="1430"/>
      <c r="AK61" s="2535"/>
      <c r="AL61" s="2537"/>
    </row>
    <row r="62" spans="1:41" ht="15.75">
      <c r="A62" s="2381"/>
      <c r="B62" s="2381" t="s">
        <v>146</v>
      </c>
      <c r="C62" s="2381"/>
      <c r="D62" s="2381"/>
      <c r="E62" s="1943">
        <v>0</v>
      </c>
      <c r="F62" s="1943"/>
      <c r="G62" s="1943">
        <f t="shared" ref="G62" si="4">$AD62-E62</f>
        <v>0</v>
      </c>
      <c r="H62" s="1943"/>
      <c r="I62" s="1943"/>
      <c r="J62" s="1943"/>
      <c r="K62" s="1943"/>
      <c r="L62" s="2521"/>
      <c r="M62" s="1943"/>
      <c r="N62" s="2521"/>
      <c r="O62" s="1943"/>
      <c r="P62" s="2521"/>
      <c r="Q62" s="1943"/>
      <c r="R62" s="2521"/>
      <c r="S62" s="1741"/>
      <c r="T62" s="2521"/>
      <c r="U62" s="1741"/>
      <c r="V62" s="2521"/>
      <c r="W62" s="1741"/>
      <c r="X62" s="2521"/>
      <c r="Y62" s="1741"/>
      <c r="Z62" s="2521"/>
      <c r="AA62" s="1741"/>
      <c r="AB62" s="1938"/>
      <c r="AC62" s="1982"/>
      <c r="AD62" s="1943">
        <v>0</v>
      </c>
      <c r="AE62" s="3080"/>
      <c r="AF62" s="1920"/>
      <c r="AG62" s="1943">
        <v>0</v>
      </c>
      <c r="AH62" s="1937"/>
      <c r="AI62" s="2515"/>
      <c r="AJ62" s="1938">
        <f>ROUND(AD62-AG62,1)</f>
        <v>0</v>
      </c>
      <c r="AK62" s="2522"/>
      <c r="AL62" s="1603">
        <f>ROUND(IF(AG62=0,0,AJ62/ABS(AG62)),3)</f>
        <v>0</v>
      </c>
    </row>
    <row r="63" spans="1:41" ht="15.75">
      <c r="A63" s="2381"/>
      <c r="B63" s="2381"/>
      <c r="C63" s="2381"/>
      <c r="D63" s="2381"/>
      <c r="E63" s="2409"/>
      <c r="F63" s="1943"/>
      <c r="G63" s="2409"/>
      <c r="H63" s="1943"/>
      <c r="I63" s="2409"/>
      <c r="J63" s="1943"/>
      <c r="K63" s="2538"/>
      <c r="L63" s="2521"/>
      <c r="M63" s="2539"/>
      <c r="N63" s="2540"/>
      <c r="O63" s="2539"/>
      <c r="P63" s="2540"/>
      <c r="Q63" s="2539"/>
      <c r="R63" s="2540"/>
      <c r="S63" s="2539"/>
      <c r="T63" s="2540"/>
      <c r="U63" s="2539"/>
      <c r="V63" s="2540"/>
      <c r="W63" s="2539"/>
      <c r="X63" s="2540"/>
      <c r="Y63" s="2539"/>
      <c r="Z63" s="2540"/>
      <c r="AA63" s="2539"/>
      <c r="AB63" s="1938"/>
      <c r="AC63" s="1982"/>
      <c r="AD63" s="1994"/>
      <c r="AE63" s="3080"/>
      <c r="AF63" s="1920"/>
      <c r="AG63" s="1994"/>
      <c r="AH63" s="1920"/>
      <c r="AI63" s="2515"/>
      <c r="AJ63" s="1994"/>
      <c r="AK63" s="2513"/>
      <c r="AL63" s="2109"/>
    </row>
    <row r="64" spans="1:41" ht="15.75">
      <c r="A64" s="2381"/>
      <c r="B64" s="2468" t="s">
        <v>193</v>
      </c>
      <c r="C64" s="2381"/>
      <c r="D64" s="2381"/>
      <c r="E64" s="1997">
        <f>ROUND(SUM(E32+E60+E62),1)</f>
        <v>1064.8</v>
      </c>
      <c r="F64" s="1993"/>
      <c r="G64" s="2541">
        <f>ROUND(SUM(G32+G60+G62),1)</f>
        <v>1157.7</v>
      </c>
      <c r="H64" s="1993"/>
      <c r="I64" s="2541">
        <f>ROUND(SUM(I32+I60+I62),1)</f>
        <v>0</v>
      </c>
      <c r="J64" s="1993"/>
      <c r="K64" s="2541">
        <f>ROUND(SUM(K32+K60+K62),1)</f>
        <v>0</v>
      </c>
      <c r="L64" s="1993"/>
      <c r="M64" s="1517">
        <f>ROUND(SUM(M32+M60+M62),1)</f>
        <v>0</v>
      </c>
      <c r="N64" s="1430"/>
      <c r="O64" s="1517">
        <f>ROUND(SUM(O32+O60+O62),1)</f>
        <v>0</v>
      </c>
      <c r="P64" s="1430"/>
      <c r="Q64" s="1517">
        <f>ROUND(SUM(Q32+Q60+Q62),1)</f>
        <v>0</v>
      </c>
      <c r="R64" s="1430"/>
      <c r="S64" s="1517">
        <f>ROUND(SUM(S32+S60+S62),1)</f>
        <v>0</v>
      </c>
      <c r="T64" s="1430"/>
      <c r="U64" s="1517">
        <f>ROUND(SUM(U32+U60+U62),1)</f>
        <v>0</v>
      </c>
      <c r="V64" s="1430"/>
      <c r="W64" s="1517">
        <f>ROUND(SUM(W32+W60+W62),1)</f>
        <v>0</v>
      </c>
      <c r="X64" s="1430"/>
      <c r="Y64" s="1517">
        <f>ROUND(SUM(Y32+Y60+Y62),1)</f>
        <v>0</v>
      </c>
      <c r="Z64" s="1430"/>
      <c r="AA64" s="1517">
        <f>ROUND(SUM(AA32+AA60+AA62),1)</f>
        <v>0</v>
      </c>
      <c r="AB64" s="1993"/>
      <c r="AC64" s="2469"/>
      <c r="AD64" s="1517">
        <f>ROUND(SUM(AD32+AD60+AD62),1)</f>
        <v>2222.5</v>
      </c>
      <c r="AE64" s="3092"/>
      <c r="AF64" s="1430"/>
      <c r="AG64" s="1517">
        <f>ROUND(SUM(AG32+AG60+AG62),1)</f>
        <v>449.2</v>
      </c>
      <c r="AH64" s="2527"/>
      <c r="AI64" s="2515"/>
      <c r="AJ64" s="1517">
        <f>ROUND(SUM(AJ32+AJ60+AJ62),1)</f>
        <v>1773.3</v>
      </c>
      <c r="AK64" s="2542"/>
      <c r="AL64" s="2543">
        <f>ROUND(IF(AG64=0,0,AJ64/ABS(AG64)),3)</f>
        <v>3.948</v>
      </c>
      <c r="AM64" s="2536"/>
      <c r="AO64" s="2560"/>
    </row>
    <row r="65" spans="1:41" ht="15.75">
      <c r="A65" s="2381"/>
      <c r="B65" s="2381"/>
      <c r="C65" s="2381"/>
      <c r="D65" s="2381"/>
      <c r="E65" s="1984"/>
      <c r="F65" s="1943"/>
      <c r="G65" s="2409"/>
      <c r="H65" s="1943"/>
      <c r="I65" s="2409"/>
      <c r="J65" s="1943"/>
      <c r="K65" s="2409"/>
      <c r="L65" s="2521"/>
      <c r="M65" s="1741"/>
      <c r="N65" s="2521"/>
      <c r="O65" s="1741"/>
      <c r="P65" s="2521"/>
      <c r="Q65" s="1741"/>
      <c r="R65" s="2521"/>
      <c r="S65" s="1741"/>
      <c r="T65" s="2521"/>
      <c r="U65" s="1741"/>
      <c r="V65" s="2521"/>
      <c r="W65" s="1741"/>
      <c r="X65" s="2521"/>
      <c r="Y65" s="1741"/>
      <c r="Z65" s="2521"/>
      <c r="AA65" s="1741"/>
      <c r="AB65" s="2121"/>
      <c r="AC65" s="1920"/>
      <c r="AD65" s="1994"/>
      <c r="AE65" s="2121"/>
      <c r="AF65" s="1920"/>
      <c r="AG65" s="1994"/>
      <c r="AH65" s="1920"/>
      <c r="AI65" s="2515"/>
      <c r="AJ65" s="2516"/>
      <c r="AK65" s="2513"/>
      <c r="AL65" s="1750"/>
    </row>
    <row r="66" spans="1:41" ht="15.75">
      <c r="A66" s="2381"/>
      <c r="B66" s="2468" t="s">
        <v>22</v>
      </c>
      <c r="C66" s="2381"/>
      <c r="D66" s="2381"/>
      <c r="E66" s="1943"/>
      <c r="F66" s="1943"/>
      <c r="G66" s="1943"/>
      <c r="H66" s="1943"/>
      <c r="I66" s="1943"/>
      <c r="J66" s="1943"/>
      <c r="K66" s="1943"/>
      <c r="L66" s="2521"/>
      <c r="M66" s="1741"/>
      <c r="N66" s="2521"/>
      <c r="O66" s="1741"/>
      <c r="P66" s="2521"/>
      <c r="Q66" s="1741"/>
      <c r="R66" s="2521"/>
      <c r="S66" s="1741"/>
      <c r="T66" s="2521"/>
      <c r="U66" s="1741"/>
      <c r="V66" s="2521"/>
      <c r="W66" s="1741"/>
      <c r="X66" s="2521"/>
      <c r="Y66" s="1741"/>
      <c r="Z66" s="2521"/>
      <c r="AA66" s="1741"/>
      <c r="AB66" s="2121"/>
      <c r="AC66" s="1920"/>
      <c r="AD66" s="1938"/>
      <c r="AE66" s="2121"/>
      <c r="AF66" s="1920"/>
      <c r="AG66" s="1938"/>
      <c r="AH66" s="1938"/>
      <c r="AI66" s="2515"/>
      <c r="AJ66" s="2516"/>
      <c r="AK66" s="2513"/>
      <c r="AL66" s="1750"/>
    </row>
    <row r="67" spans="1:41" ht="15.75">
      <c r="A67" s="2381"/>
      <c r="B67" s="2381" t="s">
        <v>148</v>
      </c>
      <c r="C67" s="2381"/>
      <c r="D67" s="2381"/>
      <c r="E67" s="1943"/>
      <c r="F67" s="1943"/>
      <c r="G67" s="1943"/>
      <c r="H67" s="1943"/>
      <c r="I67" s="1943"/>
      <c r="J67" s="1943"/>
      <c r="K67" s="1943"/>
      <c r="L67" s="2521"/>
      <c r="M67" s="1741"/>
      <c r="N67" s="2521"/>
      <c r="O67" s="1741"/>
      <c r="P67" s="2521"/>
      <c r="Q67" s="1741"/>
      <c r="R67" s="2521"/>
      <c r="S67" s="1741"/>
      <c r="T67" s="2521"/>
      <c r="U67" s="1741"/>
      <c r="V67" s="2521"/>
      <c r="W67" s="1741"/>
      <c r="X67" s="2521"/>
      <c r="Y67" s="1741"/>
      <c r="Z67" s="2521"/>
      <c r="AA67" s="1741"/>
      <c r="AB67" s="1938"/>
      <c r="AC67" s="1982"/>
      <c r="AD67" s="1938"/>
      <c r="AE67" s="3080"/>
      <c r="AF67" s="1920"/>
      <c r="AG67" s="1938"/>
      <c r="AH67" s="1938"/>
      <c r="AI67" s="2515"/>
      <c r="AJ67" s="2516"/>
      <c r="AK67" s="2513"/>
      <c r="AL67" s="1750"/>
    </row>
    <row r="68" spans="1:41" ht="15.75">
      <c r="A68" s="2381"/>
      <c r="B68" s="2381" t="s">
        <v>24</v>
      </c>
      <c r="C68" s="2381"/>
      <c r="D68" s="2381"/>
      <c r="E68" s="1943">
        <v>18.600000000000001</v>
      </c>
      <c r="F68" s="1943"/>
      <c r="G68" s="1943">
        <f t="shared" ref="G68:G77" si="5">$AD68-E68</f>
        <v>7.5999999999999979</v>
      </c>
      <c r="H68" s="1943"/>
      <c r="I68" s="1943"/>
      <c r="J68" s="1943"/>
      <c r="K68" s="1943"/>
      <c r="L68" s="2521"/>
      <c r="M68" s="1943"/>
      <c r="N68" s="2521"/>
      <c r="O68" s="1943"/>
      <c r="P68" s="2521"/>
      <c r="Q68" s="1943"/>
      <c r="R68" s="2521"/>
      <c r="S68" s="1741"/>
      <c r="T68" s="2521"/>
      <c r="U68" s="1741"/>
      <c r="V68" s="2521"/>
      <c r="W68" s="1741"/>
      <c r="X68" s="2521"/>
      <c r="Y68" s="1741"/>
      <c r="Z68" s="2521"/>
      <c r="AA68" s="1741"/>
      <c r="AB68" s="1938"/>
      <c r="AC68" s="1982"/>
      <c r="AD68" s="1943">
        <v>26.2</v>
      </c>
      <c r="AE68" s="3080"/>
      <c r="AF68" s="1920"/>
      <c r="AG68" s="1943">
        <v>38.5</v>
      </c>
      <c r="AH68" s="1937"/>
      <c r="AI68" s="2525"/>
      <c r="AJ68" s="1938">
        <f t="shared" ref="AJ68:AJ77" si="6">ROUND(AD68-AG68,1)</f>
        <v>-12.3</v>
      </c>
      <c r="AK68" s="2522"/>
      <c r="AL68" s="3543">
        <f>ROUND(IF(AG68=0,1,AJ68/ABS(AG68)),3)</f>
        <v>-0.31900000000000001</v>
      </c>
    </row>
    <row r="69" spans="1:41" ht="15.75">
      <c r="A69" s="2381"/>
      <c r="B69" s="2381" t="s">
        <v>25</v>
      </c>
      <c r="C69" s="2381"/>
      <c r="D69" s="2381"/>
      <c r="E69" s="1943">
        <v>4.3</v>
      </c>
      <c r="F69" s="1943"/>
      <c r="G69" s="1943">
        <f t="shared" si="5"/>
        <v>8.8999999999999986</v>
      </c>
      <c r="H69" s="1943"/>
      <c r="I69" s="1943"/>
      <c r="J69" s="1943"/>
      <c r="K69" s="1943"/>
      <c r="L69" s="2521"/>
      <c r="M69" s="1943"/>
      <c r="N69" s="2521"/>
      <c r="O69" s="1943"/>
      <c r="P69" s="2521"/>
      <c r="Q69" s="1943"/>
      <c r="R69" s="2521"/>
      <c r="S69" s="1741"/>
      <c r="T69" s="2521"/>
      <c r="U69" s="1741"/>
      <c r="V69" s="2521"/>
      <c r="W69" s="1741"/>
      <c r="X69" s="2521"/>
      <c r="Y69" s="1741"/>
      <c r="Z69" s="2521"/>
      <c r="AA69" s="1741"/>
      <c r="AB69" s="1938"/>
      <c r="AC69" s="1982"/>
      <c r="AD69" s="3727">
        <v>13.2</v>
      </c>
      <c r="AE69" s="3080"/>
      <c r="AF69" s="1920"/>
      <c r="AG69" s="1943">
        <v>36.6</v>
      </c>
      <c r="AH69" s="1937"/>
      <c r="AI69" s="2525"/>
      <c r="AJ69" s="1938">
        <f t="shared" si="6"/>
        <v>-23.4</v>
      </c>
      <c r="AK69" s="2522"/>
      <c r="AL69" s="1603">
        <f>ROUND(IF(AG69=0,0,AJ69/ABS(AG69)),3)</f>
        <v>-0.63900000000000001</v>
      </c>
    </row>
    <row r="70" spans="1:41" ht="15.75">
      <c r="A70" s="2381"/>
      <c r="B70" s="2381" t="s">
        <v>26</v>
      </c>
      <c r="C70" s="2381"/>
      <c r="D70" s="2381"/>
      <c r="E70" s="1943">
        <v>12.3</v>
      </c>
      <c r="F70" s="1943"/>
      <c r="G70" s="1943">
        <f t="shared" si="5"/>
        <v>116.7</v>
      </c>
      <c r="H70" s="1943"/>
      <c r="I70" s="1943"/>
      <c r="J70" s="1943"/>
      <c r="K70" s="1943"/>
      <c r="L70" s="2521"/>
      <c r="M70" s="1943"/>
      <c r="N70" s="2521"/>
      <c r="O70" s="1943"/>
      <c r="P70" s="2521"/>
      <c r="Q70" s="1943"/>
      <c r="R70" s="2521"/>
      <c r="S70" s="1741"/>
      <c r="T70" s="2521"/>
      <c r="U70" s="1741"/>
      <c r="V70" s="2521"/>
      <c r="W70" s="1741"/>
      <c r="X70" s="2521"/>
      <c r="Y70" s="1741"/>
      <c r="Z70" s="2521"/>
      <c r="AA70" s="1741"/>
      <c r="AB70" s="1938"/>
      <c r="AC70" s="1982"/>
      <c r="AD70" s="3727">
        <v>129</v>
      </c>
      <c r="AE70" s="3080"/>
      <c r="AF70" s="1920"/>
      <c r="AG70" s="1943">
        <v>54.4</v>
      </c>
      <c r="AH70" s="1937"/>
      <c r="AI70" s="2525"/>
      <c r="AJ70" s="1938">
        <f t="shared" si="6"/>
        <v>74.599999999999994</v>
      </c>
      <c r="AK70" s="2522"/>
      <c r="AL70" s="1603">
        <f>ROUND(IF(AG70=0,0,AJ70/ABS(AG70)),3)</f>
        <v>1.371</v>
      </c>
      <c r="AM70" s="2513"/>
    </row>
    <row r="71" spans="1:41" ht="15.75">
      <c r="A71" s="2381"/>
      <c r="B71" s="2381" t="s">
        <v>27</v>
      </c>
      <c r="C71" s="2381"/>
      <c r="D71" s="2381"/>
      <c r="E71" s="1943" t="s">
        <v>14</v>
      </c>
      <c r="F71" s="1943"/>
      <c r="G71" s="1943"/>
      <c r="H71" s="1943"/>
      <c r="I71" s="1943"/>
      <c r="J71" s="1943"/>
      <c r="K71" s="1943"/>
      <c r="L71" s="2521"/>
      <c r="M71" s="1943"/>
      <c r="N71" s="2521"/>
      <c r="O71" s="1943"/>
      <c r="P71" s="2521"/>
      <c r="Q71" s="1741"/>
      <c r="R71" s="2521"/>
      <c r="S71" s="1741"/>
      <c r="T71" s="2521"/>
      <c r="U71" s="1741"/>
      <c r="V71" s="2521"/>
      <c r="W71" s="1741"/>
      <c r="X71" s="2521"/>
      <c r="Y71" s="1741"/>
      <c r="Z71" s="2521"/>
      <c r="AA71" s="1741"/>
      <c r="AB71" s="1938"/>
      <c r="AC71" s="1982"/>
      <c r="AD71" s="3727"/>
      <c r="AE71" s="3080"/>
      <c r="AF71" s="1920"/>
      <c r="AG71" s="1943"/>
      <c r="AH71" s="1938"/>
      <c r="AI71" s="2515"/>
      <c r="AJ71" s="1943"/>
      <c r="AK71" s="2522"/>
      <c r="AL71" s="1750"/>
      <c r="AM71" s="2513"/>
    </row>
    <row r="72" spans="1:41" ht="15.75">
      <c r="A72" s="2381"/>
      <c r="B72" s="2381" t="s">
        <v>28</v>
      </c>
      <c r="C72" s="2468"/>
      <c r="D72" s="2381"/>
      <c r="E72" s="1943">
        <v>0</v>
      </c>
      <c r="F72" s="1943"/>
      <c r="G72" s="1943">
        <f t="shared" si="5"/>
        <v>0</v>
      </c>
      <c r="H72" s="1943"/>
      <c r="I72" s="1943"/>
      <c r="J72" s="1943"/>
      <c r="K72" s="1943"/>
      <c r="L72" s="2521"/>
      <c r="M72" s="1943"/>
      <c r="N72" s="2521"/>
      <c r="O72" s="1943"/>
      <c r="P72" s="2521"/>
      <c r="Q72" s="1943"/>
      <c r="R72" s="2521"/>
      <c r="S72" s="1741"/>
      <c r="T72" s="2521"/>
      <c r="U72" s="1741"/>
      <c r="V72" s="2521"/>
      <c r="W72" s="1741"/>
      <c r="X72" s="2521"/>
      <c r="Y72" s="1741"/>
      <c r="Z72" s="2521"/>
      <c r="AA72" s="1741"/>
      <c r="AB72" s="1938"/>
      <c r="AC72" s="1982"/>
      <c r="AD72" s="3727">
        <v>0</v>
      </c>
      <c r="AE72" s="3080"/>
      <c r="AF72" s="1920"/>
      <c r="AG72" s="1943">
        <v>0</v>
      </c>
      <c r="AH72" s="1938"/>
      <c r="AI72" s="2515"/>
      <c r="AJ72" s="1938">
        <f t="shared" si="6"/>
        <v>0</v>
      </c>
      <c r="AK72" s="2513"/>
      <c r="AL72" s="2135">
        <f>ROUND(IF(AG72=0,0,AJ72/ABS(AG72)),3)</f>
        <v>0</v>
      </c>
      <c r="AM72" s="2513"/>
    </row>
    <row r="73" spans="1:41" ht="15.75">
      <c r="A73" s="2381"/>
      <c r="B73" s="2381" t="s">
        <v>29</v>
      </c>
      <c r="C73" s="2381"/>
      <c r="D73" s="2381"/>
      <c r="E73" s="1943">
        <v>43.9</v>
      </c>
      <c r="F73" s="1943"/>
      <c r="G73" s="1943">
        <f t="shared" si="5"/>
        <v>16.399999999999999</v>
      </c>
      <c r="H73" s="1943"/>
      <c r="I73" s="1943"/>
      <c r="J73" s="1943"/>
      <c r="K73" s="1943"/>
      <c r="L73" s="2521"/>
      <c r="M73" s="1943"/>
      <c r="N73" s="2521"/>
      <c r="O73" s="1943"/>
      <c r="P73" s="2521"/>
      <c r="Q73" s="1943"/>
      <c r="R73" s="2521"/>
      <c r="S73" s="1741"/>
      <c r="T73" s="2521"/>
      <c r="U73" s="1741"/>
      <c r="V73" s="2521"/>
      <c r="W73" s="1741"/>
      <c r="X73" s="2521"/>
      <c r="Y73" s="1741"/>
      <c r="Z73" s="2521"/>
      <c r="AA73" s="1741"/>
      <c r="AB73" s="1938"/>
      <c r="AC73" s="1982"/>
      <c r="AD73" s="3727">
        <v>60.3</v>
      </c>
      <c r="AE73" s="3080"/>
      <c r="AF73" s="1920"/>
      <c r="AG73" s="1943">
        <v>74.8</v>
      </c>
      <c r="AH73" s="1937"/>
      <c r="AI73" s="2525"/>
      <c r="AJ73" s="1938">
        <f t="shared" si="6"/>
        <v>-14.5</v>
      </c>
      <c r="AK73" s="2522"/>
      <c r="AL73" s="1603">
        <f>ROUND(IF(AG73=0,0,AJ73/ABS(AG73)),3)</f>
        <v>-0.19400000000000001</v>
      </c>
    </row>
    <row r="74" spans="1:41" ht="15.75">
      <c r="A74" s="2381"/>
      <c r="B74" s="2381" t="s">
        <v>30</v>
      </c>
      <c r="C74" s="2381"/>
      <c r="D74" s="2381"/>
      <c r="E74" s="1943">
        <v>0.1</v>
      </c>
      <c r="F74" s="1943"/>
      <c r="G74" s="1943">
        <f t="shared" si="5"/>
        <v>1</v>
      </c>
      <c r="H74" s="1943"/>
      <c r="I74" s="1943"/>
      <c r="J74" s="1943"/>
      <c r="K74" s="1943"/>
      <c r="L74" s="2521"/>
      <c r="M74" s="1943"/>
      <c r="N74" s="2521"/>
      <c r="O74" s="1943"/>
      <c r="P74" s="2521"/>
      <c r="Q74" s="1943"/>
      <c r="R74" s="2521"/>
      <c r="S74" s="1741"/>
      <c r="T74" s="2521"/>
      <c r="U74" s="1741"/>
      <c r="V74" s="2521"/>
      <c r="W74" s="1741"/>
      <c r="X74" s="2521"/>
      <c r="Y74" s="1741"/>
      <c r="Z74" s="2521"/>
      <c r="AA74" s="1741"/>
      <c r="AB74" s="1938"/>
      <c r="AC74" s="1982"/>
      <c r="AD74" s="3727">
        <v>1.1000000000000001</v>
      </c>
      <c r="AE74" s="3080"/>
      <c r="AF74" s="1920"/>
      <c r="AG74" s="1943">
        <v>2.2000000000000002</v>
      </c>
      <c r="AH74" s="1937"/>
      <c r="AI74" s="2525"/>
      <c r="AJ74" s="1938">
        <f t="shared" si="6"/>
        <v>-1.1000000000000001</v>
      </c>
      <c r="AK74" s="2522"/>
      <c r="AL74" s="1682">
        <f>ROUND(IF(AG74=0,1,AJ74/ABS(AG74)),3)</f>
        <v>-0.5</v>
      </c>
      <c r="AM74" s="2513"/>
    </row>
    <row r="75" spans="1:41" ht="15.75">
      <c r="A75" s="2381"/>
      <c r="B75" s="2381" t="s">
        <v>31</v>
      </c>
      <c r="C75" s="2381"/>
      <c r="D75" s="2381"/>
      <c r="E75" s="1943">
        <v>48.7</v>
      </c>
      <c r="F75" s="1943"/>
      <c r="G75" s="1943">
        <f t="shared" si="5"/>
        <v>40.799999999999997</v>
      </c>
      <c r="H75" s="1943"/>
      <c r="I75" s="1943"/>
      <c r="J75" s="1943"/>
      <c r="K75" s="1943"/>
      <c r="L75" s="2521"/>
      <c r="M75" s="1943"/>
      <c r="N75" s="2521"/>
      <c r="O75" s="1943"/>
      <c r="P75" s="2521"/>
      <c r="Q75" s="1943"/>
      <c r="R75" s="2521"/>
      <c r="S75" s="1741"/>
      <c r="T75" s="2521"/>
      <c r="U75" s="1741"/>
      <c r="V75" s="2521"/>
      <c r="W75" s="1741"/>
      <c r="X75" s="2521"/>
      <c r="Y75" s="1741"/>
      <c r="Z75" s="2521"/>
      <c r="AA75" s="1741"/>
      <c r="AB75" s="1938"/>
      <c r="AC75" s="1982"/>
      <c r="AD75" s="3727">
        <v>89.5</v>
      </c>
      <c r="AE75" s="3080"/>
      <c r="AF75" s="1920"/>
      <c r="AG75" s="1943">
        <v>84</v>
      </c>
      <c r="AH75" s="1938"/>
      <c r="AI75" s="2515"/>
      <c r="AJ75" s="1938">
        <f t="shared" si="6"/>
        <v>5.5</v>
      </c>
      <c r="AK75" s="2522"/>
      <c r="AL75" s="1746">
        <f>ROUND(IF(AG75=0,1,AJ75/ABS(AG75)),3)</f>
        <v>6.5000000000000002E-2</v>
      </c>
      <c r="AM75" s="2513"/>
    </row>
    <row r="76" spans="1:41" ht="15.75">
      <c r="A76" s="2381"/>
      <c r="B76" s="2381" t="s">
        <v>32</v>
      </c>
      <c r="C76" s="2468"/>
      <c r="D76" s="2381"/>
      <c r="E76" s="1943">
        <v>17.100000000000001</v>
      </c>
      <c r="F76" s="1943"/>
      <c r="G76" s="1943">
        <f t="shared" si="5"/>
        <v>19.199999999999996</v>
      </c>
      <c r="H76" s="1943"/>
      <c r="I76" s="1943"/>
      <c r="J76" s="1943"/>
      <c r="K76" s="1943"/>
      <c r="L76" s="2521"/>
      <c r="M76" s="1943"/>
      <c r="N76" s="2521"/>
      <c r="O76" s="1943"/>
      <c r="P76" s="2521"/>
      <c r="Q76" s="1943"/>
      <c r="R76" s="2521"/>
      <c r="S76" s="1741"/>
      <c r="T76" s="2521"/>
      <c r="U76" s="1741"/>
      <c r="V76" s="2521"/>
      <c r="W76" s="1741"/>
      <c r="X76" s="2521"/>
      <c r="Y76" s="1741"/>
      <c r="Z76" s="2521"/>
      <c r="AA76" s="1741"/>
      <c r="AB76" s="1938"/>
      <c r="AC76" s="1982"/>
      <c r="AD76" s="3727">
        <v>36.299999999999997</v>
      </c>
      <c r="AE76" s="3080"/>
      <c r="AF76" s="1920"/>
      <c r="AG76" s="1943">
        <v>75.5</v>
      </c>
      <c r="AH76" s="1938"/>
      <c r="AI76" s="2515"/>
      <c r="AJ76" s="1938">
        <f t="shared" si="6"/>
        <v>-39.200000000000003</v>
      </c>
      <c r="AK76" s="2513"/>
      <c r="AL76" s="1746">
        <f>ROUND(IF(AG76=0,0,AJ76/ABS(AG76)),3)</f>
        <v>-0.51900000000000002</v>
      </c>
      <c r="AM76" s="2513"/>
    </row>
    <row r="77" spans="1:41" ht="15.75">
      <c r="A77" s="2381"/>
      <c r="B77" s="2381" t="s">
        <v>33</v>
      </c>
      <c r="C77" s="2381"/>
      <c r="D77" s="2381"/>
      <c r="E77" s="1943">
        <v>4.0999999999999996</v>
      </c>
      <c r="F77" s="1943"/>
      <c r="G77" s="1943">
        <f t="shared" si="5"/>
        <v>16.899999999999999</v>
      </c>
      <c r="H77" s="1943"/>
      <c r="I77" s="1943"/>
      <c r="J77" s="1943"/>
      <c r="K77" s="1943"/>
      <c r="L77" s="2521"/>
      <c r="M77" s="1943"/>
      <c r="N77" s="2521"/>
      <c r="O77" s="1943"/>
      <c r="P77" s="2521"/>
      <c r="Q77" s="1943"/>
      <c r="R77" s="2521"/>
      <c r="S77" s="1741"/>
      <c r="T77" s="2521"/>
      <c r="U77" s="1741"/>
      <c r="V77" s="2521"/>
      <c r="W77" s="1741"/>
      <c r="X77" s="2521"/>
      <c r="Y77" s="1741"/>
      <c r="Z77" s="2521"/>
      <c r="AA77" s="1741"/>
      <c r="AB77" s="1938"/>
      <c r="AC77" s="1982"/>
      <c r="AD77" s="3727">
        <v>21</v>
      </c>
      <c r="AE77" s="3080"/>
      <c r="AF77" s="1920"/>
      <c r="AG77" s="1943">
        <v>196.8</v>
      </c>
      <c r="AH77" s="1920"/>
      <c r="AI77" s="2515"/>
      <c r="AJ77" s="1938">
        <f t="shared" si="6"/>
        <v>-175.8</v>
      </c>
      <c r="AK77" s="2522"/>
      <c r="AL77" s="2135">
        <f>ROUND(IF(AG77=0,0,AJ77/ABS(AG77)),3)</f>
        <v>-0.89300000000000002</v>
      </c>
      <c r="AM77" s="2513" t="s">
        <v>14</v>
      </c>
      <c r="AN77" s="2495" t="s">
        <v>14</v>
      </c>
      <c r="AO77" s="2495" t="s">
        <v>14</v>
      </c>
    </row>
    <row r="78" spans="1:41" ht="15.75">
      <c r="A78" s="2381"/>
      <c r="B78" s="2468" t="s">
        <v>194</v>
      </c>
      <c r="C78" s="2381"/>
      <c r="D78" s="2381"/>
      <c r="E78" s="2110">
        <f>ROUND(SUM(E68:E77),1)</f>
        <v>149.1</v>
      </c>
      <c r="F78" s="1993"/>
      <c r="G78" s="2110">
        <f>ROUND(SUM(G68:G77),1)</f>
        <v>227.5</v>
      </c>
      <c r="H78" s="1993"/>
      <c r="I78" s="2110">
        <f>ROUND(SUM(I68:I77),1)</f>
        <v>0</v>
      </c>
      <c r="J78" s="1430"/>
      <c r="K78" s="2110">
        <f>ROUND(SUM(K68:K77),1)</f>
        <v>0</v>
      </c>
      <c r="L78" s="1993"/>
      <c r="M78" s="2110">
        <f>ROUND(SUM(M68:M77),1)</f>
        <v>0</v>
      </c>
      <c r="N78" s="1430"/>
      <c r="O78" s="2110">
        <f>ROUND(SUM(O68:O77),1)</f>
        <v>0</v>
      </c>
      <c r="P78" s="1993"/>
      <c r="Q78" s="2110">
        <f>ROUND(SUM(Q68:Q77),1)</f>
        <v>0</v>
      </c>
      <c r="R78" s="1993"/>
      <c r="S78" s="2110">
        <f>ROUND(SUM(S68:S77),1)</f>
        <v>0</v>
      </c>
      <c r="T78" s="1993"/>
      <c r="U78" s="2110">
        <f>ROUND(SUM(U68:U77),1)</f>
        <v>0</v>
      </c>
      <c r="V78" s="1993"/>
      <c r="W78" s="2110">
        <f>ROUND(SUM(W68:W77),1)</f>
        <v>0</v>
      </c>
      <c r="X78" s="1993"/>
      <c r="Y78" s="2110">
        <f>ROUND(SUM(Y68:Y77),1)</f>
        <v>0</v>
      </c>
      <c r="Z78" s="1993"/>
      <c r="AA78" s="2110">
        <f>ROUND(SUM(AA68:AA77),1)</f>
        <v>0</v>
      </c>
      <c r="AB78" s="1993"/>
      <c r="AC78" s="2469"/>
      <c r="AD78" s="2110">
        <f>ROUND(SUM(AD68:AD77),1)</f>
        <v>376.6</v>
      </c>
      <c r="AE78" s="3092"/>
      <c r="AF78" s="1430"/>
      <c r="AG78" s="2110">
        <f>ROUND(SUM(AG68:AG77),1)</f>
        <v>562.79999999999995</v>
      </c>
      <c r="AH78" s="1430"/>
      <c r="AI78" s="2515"/>
      <c r="AJ78" s="2110">
        <f>ROUND(SUM(AJ68:AJ77),1)</f>
        <v>-186.2</v>
      </c>
      <c r="AK78" s="2544"/>
      <c r="AL78" s="2136">
        <f>ROUND(IF(AG78=0,0,AJ78/ABS(AG78)),3)</f>
        <v>-0.33100000000000002</v>
      </c>
      <c r="AO78" s="2560"/>
    </row>
    <row r="79" spans="1:41" ht="15.75">
      <c r="A79" s="2381"/>
      <c r="B79" s="2381" t="s">
        <v>195</v>
      </c>
      <c r="C79" s="2381"/>
      <c r="D79" s="2381"/>
      <c r="E79" s="1943"/>
      <c r="F79" s="1943"/>
      <c r="G79" s="1943"/>
      <c r="H79" s="1943"/>
      <c r="I79" s="1943"/>
      <c r="J79" s="1943"/>
      <c r="K79" s="1943"/>
      <c r="L79" s="1938"/>
      <c r="M79" s="1938"/>
      <c r="N79" s="1938"/>
      <c r="O79" s="1938"/>
      <c r="P79" s="1938"/>
      <c r="Q79" s="1938"/>
      <c r="R79" s="1938"/>
      <c r="S79" s="1938"/>
      <c r="T79" s="1938"/>
      <c r="U79" s="1938"/>
      <c r="V79" s="1938"/>
      <c r="W79" s="1938"/>
      <c r="X79" s="1938"/>
      <c r="Y79" s="1938"/>
      <c r="Z79" s="1938"/>
      <c r="AA79" s="1938"/>
      <c r="AB79" s="1938"/>
      <c r="AC79" s="1982"/>
      <c r="AD79" s="1938"/>
      <c r="AE79" s="3080"/>
      <c r="AF79" s="1920"/>
      <c r="AG79" s="1938"/>
      <c r="AH79" s="1938"/>
      <c r="AI79" s="2515"/>
      <c r="AJ79" s="2516"/>
      <c r="AK79" s="2513"/>
      <c r="AL79" s="1750"/>
    </row>
    <row r="80" spans="1:41" ht="15.75">
      <c r="A80" s="2381"/>
      <c r="B80" s="2381" t="s">
        <v>196</v>
      </c>
      <c r="C80" s="2381"/>
      <c r="D80" s="2381"/>
      <c r="E80" s="1943">
        <v>0</v>
      </c>
      <c r="F80" s="1943"/>
      <c r="G80" s="1943">
        <f t="shared" ref="G80:G83" si="7">$AD80-E80</f>
        <v>0</v>
      </c>
      <c r="H80" s="1943"/>
      <c r="I80" s="1943"/>
      <c r="J80" s="1943"/>
      <c r="K80" s="1943"/>
      <c r="L80" s="2521"/>
      <c r="M80" s="1943"/>
      <c r="N80" s="2521"/>
      <c r="O80" s="1943"/>
      <c r="P80" s="2521"/>
      <c r="Q80" s="1943"/>
      <c r="R80" s="2521"/>
      <c r="S80" s="1741"/>
      <c r="T80" s="2521"/>
      <c r="U80" s="1741"/>
      <c r="V80" s="2521"/>
      <c r="W80" s="1741"/>
      <c r="X80" s="2521"/>
      <c r="Y80" s="1741"/>
      <c r="Z80" s="2521"/>
      <c r="AA80" s="1741"/>
      <c r="AB80" s="1938"/>
      <c r="AC80" s="1982"/>
      <c r="AD80" s="1943">
        <v>0</v>
      </c>
      <c r="AE80" s="3080"/>
      <c r="AF80" s="1920"/>
      <c r="AG80" s="1943">
        <v>0</v>
      </c>
      <c r="AH80" s="2545"/>
      <c r="AI80" s="2546"/>
      <c r="AJ80" s="1938">
        <f>ROUND(AD80-AG80,1)</f>
        <v>0</v>
      </c>
      <c r="AK80" s="2513"/>
      <c r="AL80" s="1603">
        <f>ROUND(IF(AG80=0,0,AJ80/ABS(AG80)),3)</f>
        <v>0</v>
      </c>
    </row>
    <row r="81" spans="1:41" ht="15.75">
      <c r="A81" s="2381"/>
      <c r="B81" s="2381" t="s">
        <v>197</v>
      </c>
      <c r="C81" s="2381"/>
      <c r="D81" s="2381"/>
      <c r="E81" s="1943">
        <v>0</v>
      </c>
      <c r="F81" s="1943"/>
      <c r="G81" s="1943">
        <f t="shared" si="7"/>
        <v>0</v>
      </c>
      <c r="H81" s="1943"/>
      <c r="I81" s="1943"/>
      <c r="J81" s="1943"/>
      <c r="K81" s="1943"/>
      <c r="L81" s="2521"/>
      <c r="M81" s="1943"/>
      <c r="N81" s="2521"/>
      <c r="O81" s="1943"/>
      <c r="P81" s="2521"/>
      <c r="Q81" s="1943"/>
      <c r="R81" s="2521"/>
      <c r="S81" s="1741"/>
      <c r="T81" s="2521"/>
      <c r="U81" s="1741"/>
      <c r="V81" s="2521"/>
      <c r="W81" s="1741"/>
      <c r="X81" s="2521"/>
      <c r="Y81" s="1741"/>
      <c r="Z81" s="2521"/>
      <c r="AA81" s="1741"/>
      <c r="AB81" s="1938"/>
      <c r="AC81" s="1982"/>
      <c r="AD81" s="3727">
        <v>0</v>
      </c>
      <c r="AE81" s="3080"/>
      <c r="AF81" s="1920"/>
      <c r="AG81" s="3727">
        <v>0</v>
      </c>
      <c r="AH81" s="2545"/>
      <c r="AI81" s="2546"/>
      <c r="AJ81" s="1938">
        <f>ROUND(AD81-AG81,1)</f>
        <v>0</v>
      </c>
      <c r="AK81" s="2513"/>
      <c r="AL81" s="1603">
        <f>ROUND(IF(AG81=0,0,AJ81/ABS(AG81)),3)</f>
        <v>0</v>
      </c>
    </row>
    <row r="82" spans="1:41" ht="15.75">
      <c r="A82" s="2381"/>
      <c r="B82" s="2381" t="s">
        <v>198</v>
      </c>
      <c r="C82" s="2381"/>
      <c r="D82" s="2381"/>
      <c r="E82" s="1943">
        <v>0</v>
      </c>
      <c r="F82" s="1943"/>
      <c r="G82" s="1943">
        <f t="shared" si="7"/>
        <v>0</v>
      </c>
      <c r="H82" s="1943"/>
      <c r="I82" s="1943"/>
      <c r="J82" s="1943"/>
      <c r="K82" s="1943"/>
      <c r="L82" s="2521"/>
      <c r="M82" s="1943"/>
      <c r="N82" s="2521"/>
      <c r="O82" s="1943"/>
      <c r="P82" s="2521"/>
      <c r="Q82" s="1943"/>
      <c r="R82" s="2521"/>
      <c r="S82" s="1741"/>
      <c r="T82" s="2521"/>
      <c r="U82" s="1741"/>
      <c r="V82" s="2521"/>
      <c r="W82" s="1741"/>
      <c r="X82" s="2521"/>
      <c r="Y82" s="1741"/>
      <c r="Z82" s="2521"/>
      <c r="AA82" s="1741"/>
      <c r="AB82" s="2547"/>
      <c r="AC82" s="2548"/>
      <c r="AD82" s="1943">
        <v>0</v>
      </c>
      <c r="AE82" s="3080"/>
      <c r="AF82" s="1920"/>
      <c r="AG82" s="1943">
        <v>0</v>
      </c>
      <c r="AH82" s="2545"/>
      <c r="AI82" s="2546"/>
      <c r="AJ82" s="1938">
        <f>ROUND(AD82-AG82,1)</f>
        <v>0</v>
      </c>
      <c r="AK82" s="2513"/>
      <c r="AL82" s="1603">
        <f>ROUND(IF(AG82=0,0,AJ82/ABS(AG82)),3)</f>
        <v>0</v>
      </c>
    </row>
    <row r="83" spans="1:41" ht="15.75">
      <c r="A83" s="2381"/>
      <c r="B83" s="3545" t="s">
        <v>169</v>
      </c>
      <c r="C83" s="2381"/>
      <c r="D83" s="2381"/>
      <c r="E83" s="1943">
        <v>374.4</v>
      </c>
      <c r="F83" s="1943"/>
      <c r="G83" s="1943">
        <f t="shared" si="7"/>
        <v>769.00000000000011</v>
      </c>
      <c r="H83" s="1943"/>
      <c r="I83" s="1943"/>
      <c r="J83" s="1943"/>
      <c r="K83" s="1943"/>
      <c r="L83" s="2521"/>
      <c r="M83" s="1943"/>
      <c r="N83" s="2521"/>
      <c r="O83" s="1943"/>
      <c r="P83" s="2521"/>
      <c r="Q83" s="1943"/>
      <c r="R83" s="2521"/>
      <c r="S83" s="1741"/>
      <c r="T83" s="2521"/>
      <c r="U83" s="1741"/>
      <c r="V83" s="2521"/>
      <c r="W83" s="1741"/>
      <c r="X83" s="2521"/>
      <c r="Y83" s="1741"/>
      <c r="Z83" s="2521"/>
      <c r="AA83" s="1741"/>
      <c r="AB83" s="1938"/>
      <c r="AC83" s="1982"/>
      <c r="AD83" s="3094">
        <v>1143.4000000000001</v>
      </c>
      <c r="AE83" s="3080"/>
      <c r="AF83" s="1920"/>
      <c r="AG83" s="3094">
        <v>758.2</v>
      </c>
      <c r="AH83" s="2549"/>
      <c r="AI83" s="2525"/>
      <c r="AJ83" s="2550">
        <f>ROUND(AD83-AG83,1)</f>
        <v>385.2</v>
      </c>
      <c r="AK83" s="2513"/>
      <c r="AL83" s="2523">
        <f>ROUND(IF(AG83=0,0,AJ83/ABS(AG83)),3)</f>
        <v>0.50800000000000001</v>
      </c>
      <c r="AM83" s="2495" t="s">
        <v>14</v>
      </c>
      <c r="AN83" s="3079" t="s">
        <v>14</v>
      </c>
    </row>
    <row r="84" spans="1:41" ht="15.75">
      <c r="A84" s="2381"/>
      <c r="B84" s="2381"/>
      <c r="C84" s="2381"/>
      <c r="D84" s="2381"/>
      <c r="E84" s="2409"/>
      <c r="F84" s="1943"/>
      <c r="G84" s="2409"/>
      <c r="H84" s="1943"/>
      <c r="I84" s="2409"/>
      <c r="J84" s="1943"/>
      <c r="K84" s="2409"/>
      <c r="L84" s="1938"/>
      <c r="M84" s="1994"/>
      <c r="N84" s="1938"/>
      <c r="O84" s="1994"/>
      <c r="P84" s="1938"/>
      <c r="Q84" s="1994"/>
      <c r="R84" s="1938"/>
      <c r="S84" s="1994"/>
      <c r="T84" s="1938"/>
      <c r="U84" s="1994"/>
      <c r="V84" s="1938"/>
      <c r="W84" s="1994"/>
      <c r="X84" s="1938"/>
      <c r="Y84" s="1994"/>
      <c r="Z84" s="1938"/>
      <c r="AA84" s="1994"/>
      <c r="AB84" s="1938"/>
      <c r="AC84" s="1982"/>
      <c r="AD84" s="2516"/>
      <c r="AE84" s="3080"/>
      <c r="AF84" s="1920"/>
      <c r="AG84" s="2516"/>
      <c r="AH84" s="2516"/>
      <c r="AI84" s="2551"/>
      <c r="AJ84" s="2516"/>
      <c r="AK84" s="2513"/>
      <c r="AL84" s="1750"/>
    </row>
    <row r="85" spans="1:41" ht="15.75">
      <c r="A85" s="2381"/>
      <c r="B85" s="2468" t="s">
        <v>199</v>
      </c>
      <c r="C85" s="2381"/>
      <c r="D85" s="2381"/>
      <c r="E85" s="1993">
        <f>ROUND(SUM(E78:E83),1)</f>
        <v>523.5</v>
      </c>
      <c r="F85" s="1993"/>
      <c r="G85" s="1993">
        <f>ROUND(SUM(G78:G83),1)</f>
        <v>996.5</v>
      </c>
      <c r="H85" s="1993"/>
      <c r="I85" s="1993">
        <f>ROUND(SUM(I78:I83),1)</f>
        <v>0</v>
      </c>
      <c r="J85" s="1993"/>
      <c r="K85" s="1993">
        <f>ROUND(SUM(K78:K83),1)</f>
        <v>0</v>
      </c>
      <c r="L85" s="1993"/>
      <c r="M85" s="1993">
        <f>ROUND(SUM(M78:M83),1)</f>
        <v>0</v>
      </c>
      <c r="N85" s="1993"/>
      <c r="O85" s="1993">
        <f>ROUND(SUM(O78:O83),1)</f>
        <v>0</v>
      </c>
      <c r="P85" s="1993"/>
      <c r="Q85" s="1993">
        <f>ROUND(SUM(Q78:Q83),1)</f>
        <v>0</v>
      </c>
      <c r="R85" s="1993"/>
      <c r="S85" s="1993">
        <f>ROUND(SUM(S78:S83),1)</f>
        <v>0</v>
      </c>
      <c r="T85" s="1993"/>
      <c r="U85" s="1993">
        <f>ROUND(SUM(U78:U83),1)</f>
        <v>0</v>
      </c>
      <c r="V85" s="1993"/>
      <c r="W85" s="1993">
        <f>ROUND(SUM(W78:W83),1)</f>
        <v>0</v>
      </c>
      <c r="X85" s="1993"/>
      <c r="Y85" s="1993">
        <f>ROUND(SUM(Y78:Y83),1)</f>
        <v>0</v>
      </c>
      <c r="Z85" s="1993"/>
      <c r="AA85" s="1993">
        <f>ROUND(SUM(AA78:AA83),1)</f>
        <v>0</v>
      </c>
      <c r="AB85" s="1993"/>
      <c r="AC85" s="2469"/>
      <c r="AD85" s="1993">
        <f>ROUND(SUM(AD78:AD83),1)</f>
        <v>1520</v>
      </c>
      <c r="AE85" s="3092"/>
      <c r="AF85" s="1430"/>
      <c r="AG85" s="1993">
        <f>ROUND(SUM(AG78:AG83),1)</f>
        <v>1321</v>
      </c>
      <c r="AH85" s="1430"/>
      <c r="AI85" s="2515"/>
      <c r="AJ85" s="1997">
        <f>ROUND(AD85-AG85,1)</f>
        <v>199</v>
      </c>
      <c r="AK85" s="2544"/>
      <c r="AL85" s="2543">
        <f>ROUND(IF(AG85=0,0,AJ85/ABS(AG85)),3)</f>
        <v>0.151</v>
      </c>
      <c r="AM85" s="2536"/>
      <c r="AN85" s="2536"/>
      <c r="AO85" s="2536"/>
    </row>
    <row r="86" spans="1:41" ht="15.75">
      <c r="A86" s="2381"/>
      <c r="B86" s="2381"/>
      <c r="C86" s="2381"/>
      <c r="D86" s="2381"/>
      <c r="E86" s="2409"/>
      <c r="F86" s="1943"/>
      <c r="G86" s="2409"/>
      <c r="H86" s="1943"/>
      <c r="I86" s="2409"/>
      <c r="J86" s="1943"/>
      <c r="K86" s="2409"/>
      <c r="L86" s="1938"/>
      <c r="M86" s="1994"/>
      <c r="N86" s="1938"/>
      <c r="O86" s="1994"/>
      <c r="P86" s="1938"/>
      <c r="Q86" s="1994"/>
      <c r="R86" s="1938"/>
      <c r="S86" s="1994"/>
      <c r="T86" s="1938"/>
      <c r="U86" s="1994"/>
      <c r="V86" s="1938"/>
      <c r="W86" s="1994"/>
      <c r="X86" s="1938"/>
      <c r="Y86" s="1994"/>
      <c r="Z86" s="1938"/>
      <c r="AA86" s="1994"/>
      <c r="AB86" s="1938"/>
      <c r="AC86" s="1982"/>
      <c r="AD86" s="1994"/>
      <c r="AE86" s="3080"/>
      <c r="AF86" s="1920"/>
      <c r="AG86" s="1994"/>
      <c r="AH86" s="1920"/>
      <c r="AI86" s="2515"/>
      <c r="AJ86" s="2516"/>
      <c r="AK86" s="2513"/>
      <c r="AL86" s="1750"/>
    </row>
    <row r="87" spans="1:41" ht="15.75">
      <c r="A87" s="2381"/>
      <c r="B87" s="2468" t="s">
        <v>200</v>
      </c>
      <c r="C87" s="2381"/>
      <c r="D87" s="2381"/>
      <c r="E87" s="1943"/>
      <c r="F87" s="1943"/>
      <c r="G87" s="1943"/>
      <c r="H87" s="1943"/>
      <c r="I87" s="1943"/>
      <c r="J87" s="1943"/>
      <c r="K87" s="1943"/>
      <c r="L87" s="1938"/>
      <c r="M87" s="1938"/>
      <c r="N87" s="1938"/>
      <c r="O87" s="1938"/>
      <c r="P87" s="1938"/>
      <c r="Q87" s="1938"/>
      <c r="R87" s="1938"/>
      <c r="S87" s="1938"/>
      <c r="T87" s="1938"/>
      <c r="U87" s="1938"/>
      <c r="V87" s="1938"/>
      <c r="W87" s="1938"/>
      <c r="X87" s="1938"/>
      <c r="Y87" s="1938"/>
      <c r="Z87" s="1938"/>
      <c r="AA87" s="1938"/>
      <c r="AB87" s="1938"/>
      <c r="AC87" s="1982"/>
      <c r="AD87" s="2516"/>
      <c r="AE87" s="3080"/>
      <c r="AF87" s="1920"/>
      <c r="AG87" s="2516"/>
      <c r="AH87" s="2516"/>
      <c r="AI87" s="2551"/>
      <c r="AJ87" s="2516"/>
      <c r="AK87" s="2513"/>
      <c r="AL87" s="1750"/>
    </row>
    <row r="88" spans="1:41" ht="15.75">
      <c r="A88" s="2381"/>
      <c r="B88" s="2468" t="s">
        <v>201</v>
      </c>
      <c r="C88" s="2381"/>
      <c r="D88" s="2381"/>
      <c r="E88" s="1993">
        <f>ROUND(SUM(E64-E85),1)</f>
        <v>541.29999999999995</v>
      </c>
      <c r="F88" s="1993"/>
      <c r="G88" s="1993">
        <f>ROUND(SUM(G64-G85),1)</f>
        <v>161.19999999999999</v>
      </c>
      <c r="H88" s="1993"/>
      <c r="I88" s="1993">
        <f>ROUND(SUM(I64-I85),1)</f>
        <v>0</v>
      </c>
      <c r="J88" s="1993"/>
      <c r="K88" s="1993">
        <f>ROUND(SUM(K64-K85),1)</f>
        <v>0</v>
      </c>
      <c r="L88" s="1993"/>
      <c r="M88" s="1993">
        <f>ROUND(SUM(M64-M85),1)</f>
        <v>0</v>
      </c>
      <c r="N88" s="1993"/>
      <c r="O88" s="1993">
        <f>ROUND(SUM(O64-O85),1)</f>
        <v>0</v>
      </c>
      <c r="P88" s="1993"/>
      <c r="Q88" s="1993">
        <f>ROUND(SUM(Q64-Q85),1)</f>
        <v>0</v>
      </c>
      <c r="R88" s="1993"/>
      <c r="S88" s="1993">
        <f>ROUND(SUM(S64-S85),1)</f>
        <v>0</v>
      </c>
      <c r="T88" s="1993"/>
      <c r="U88" s="1993">
        <f>ROUND(SUM(U64-U85),1)</f>
        <v>0</v>
      </c>
      <c r="V88" s="1993"/>
      <c r="W88" s="1993">
        <f>ROUND(SUM(W64-W85),1)</f>
        <v>0</v>
      </c>
      <c r="X88" s="1993"/>
      <c r="Y88" s="1993">
        <f>ROUND(SUM(Y64-Y85),1)</f>
        <v>0</v>
      </c>
      <c r="Z88" s="1993"/>
      <c r="AA88" s="1993">
        <f>ROUND(SUM(AA64-AA85),1)</f>
        <v>0</v>
      </c>
      <c r="AB88" s="1993"/>
      <c r="AC88" s="2469"/>
      <c r="AD88" s="1993">
        <f>ROUND(SUM(AD64-AD85),1)</f>
        <v>702.5</v>
      </c>
      <c r="AE88" s="3092"/>
      <c r="AF88" s="1430"/>
      <c r="AG88" s="1993">
        <f>ROUND(SUM(AG64-AG85),1)</f>
        <v>-871.8</v>
      </c>
      <c r="AH88" s="1430"/>
      <c r="AI88" s="2515"/>
      <c r="AJ88" s="1997">
        <f>ROUND(AD88-AG88,1)</f>
        <v>1574.3</v>
      </c>
      <c r="AK88" s="2544"/>
      <c r="AL88" s="3546">
        <f>ROUND(IF(AG88=0,0,AJ88/ABS(AG88)),3)</f>
        <v>1.806</v>
      </c>
      <c r="AM88" s="2536"/>
      <c r="AN88" s="3547"/>
    </row>
    <row r="89" spans="1:41" ht="15.75">
      <c r="A89" s="2381"/>
      <c r="B89" s="2381"/>
      <c r="C89" s="2381"/>
      <c r="D89" s="2381"/>
      <c r="E89" s="2409"/>
      <c r="F89" s="1943"/>
      <c r="G89" s="2409"/>
      <c r="H89" s="1943"/>
      <c r="I89" s="2409"/>
      <c r="J89" s="1943"/>
      <c r="K89" s="2409"/>
      <c r="L89" s="1938"/>
      <c r="M89" s="1994"/>
      <c r="N89" s="1938"/>
      <c r="O89" s="1994"/>
      <c r="P89" s="1938"/>
      <c r="Q89" s="1994"/>
      <c r="R89" s="1938"/>
      <c r="S89" s="1994"/>
      <c r="T89" s="1938"/>
      <c r="U89" s="1994"/>
      <c r="V89" s="1938"/>
      <c r="W89" s="1994"/>
      <c r="X89" s="1938"/>
      <c r="Y89" s="1994"/>
      <c r="Z89" s="1938"/>
      <c r="AA89" s="1994"/>
      <c r="AB89" s="1938"/>
      <c r="AC89" s="1982"/>
      <c r="AD89" s="1994"/>
      <c r="AE89" s="3080"/>
      <c r="AF89" s="1920"/>
      <c r="AG89" s="1994"/>
      <c r="AH89" s="1920"/>
      <c r="AI89" s="2515"/>
      <c r="AJ89" s="2516"/>
      <c r="AK89" s="2513"/>
      <c r="AL89" s="1750"/>
    </row>
    <row r="90" spans="1:41" ht="15.75">
      <c r="A90" s="2381"/>
      <c r="B90" s="2468" t="s">
        <v>202</v>
      </c>
      <c r="C90" s="2381"/>
      <c r="D90" s="2381"/>
      <c r="E90" s="1943"/>
      <c r="F90" s="1943"/>
      <c r="G90" s="1943"/>
      <c r="H90" s="1943"/>
      <c r="I90" s="1943"/>
      <c r="J90" s="1943"/>
      <c r="K90" s="1943"/>
      <c r="L90" s="1938"/>
      <c r="M90" s="1938"/>
      <c r="N90" s="1938"/>
      <c r="O90" s="1938"/>
      <c r="P90" s="1938"/>
      <c r="Q90" s="1938"/>
      <c r="R90" s="1938"/>
      <c r="S90" s="1938"/>
      <c r="T90" s="1938"/>
      <c r="U90" s="1938"/>
      <c r="V90" s="1938"/>
      <c r="W90" s="1938"/>
      <c r="X90" s="1938"/>
      <c r="Y90" s="1938"/>
      <c r="Z90" s="1938"/>
      <c r="AA90" s="1938"/>
      <c r="AB90" s="1938"/>
      <c r="AC90" s="1982"/>
      <c r="AD90" s="2545"/>
      <c r="AE90" s="3080"/>
      <c r="AF90" s="1920"/>
      <c r="AG90" s="2545"/>
      <c r="AH90" s="2545"/>
      <c r="AI90" s="2546"/>
      <c r="AJ90" s="2516"/>
      <c r="AK90" s="2513"/>
      <c r="AL90" s="1750"/>
    </row>
    <row r="91" spans="1:41" ht="15.75">
      <c r="A91" s="2381"/>
      <c r="B91" s="2420" t="s">
        <v>1339</v>
      </c>
      <c r="C91" s="2381"/>
      <c r="D91" s="2381"/>
      <c r="E91" s="1943">
        <v>0</v>
      </c>
      <c r="F91" s="1943"/>
      <c r="G91" s="1943">
        <f t="shared" ref="G91:G93" si="8">$AD91-E91</f>
        <v>0</v>
      </c>
      <c r="H91" s="1943"/>
      <c r="I91" s="1943"/>
      <c r="J91" s="1943"/>
      <c r="K91" s="1943"/>
      <c r="L91" s="2521"/>
      <c r="M91" s="1943"/>
      <c r="N91" s="2521"/>
      <c r="O91" s="1943"/>
      <c r="P91" s="2521"/>
      <c r="Q91" s="1943"/>
      <c r="R91" s="2521"/>
      <c r="S91" s="1741"/>
      <c r="T91" s="2521"/>
      <c r="U91" s="1741"/>
      <c r="V91" s="2521"/>
      <c r="W91" s="1741"/>
      <c r="X91" s="2521"/>
      <c r="Y91" s="1741"/>
      <c r="Z91" s="2521"/>
      <c r="AA91" s="1741"/>
      <c r="AB91" s="1938"/>
      <c r="AC91" s="1982"/>
      <c r="AD91" s="1943">
        <v>0</v>
      </c>
      <c r="AE91" s="3080"/>
      <c r="AF91" s="1920"/>
      <c r="AG91" s="1943">
        <v>0</v>
      </c>
      <c r="AH91" s="2545"/>
      <c r="AI91" s="2546"/>
      <c r="AJ91" s="1938">
        <f>ROUND(AD91-AG91,1)</f>
        <v>0</v>
      </c>
      <c r="AK91" s="2522"/>
      <c r="AL91" s="1677">
        <f>ROUND(IF(AG91=0,0,AJ91/ABS(AG91)),3)</f>
        <v>0</v>
      </c>
    </row>
    <row r="92" spans="1:41" ht="15.75">
      <c r="A92" s="2381"/>
      <c r="B92" s="3545" t="s">
        <v>170</v>
      </c>
      <c r="C92" s="2381"/>
      <c r="D92" s="2381"/>
      <c r="E92" s="1943">
        <v>-611.1</v>
      </c>
      <c r="F92" s="1943"/>
      <c r="G92" s="1943">
        <f t="shared" si="8"/>
        <v>-172.10000000000002</v>
      </c>
      <c r="H92" s="1943"/>
      <c r="I92" s="1943"/>
      <c r="J92" s="1943"/>
      <c r="K92" s="1943"/>
      <c r="L92" s="2521"/>
      <c r="M92" s="1943"/>
      <c r="N92" s="2521"/>
      <c r="O92" s="1943"/>
      <c r="P92" s="2521"/>
      <c r="Q92" s="1943"/>
      <c r="R92" s="2521"/>
      <c r="S92" s="1741"/>
      <c r="T92" s="2521"/>
      <c r="U92" s="1741"/>
      <c r="V92" s="2521"/>
      <c r="W92" s="1741"/>
      <c r="X92" s="2521"/>
      <c r="Y92" s="1741"/>
      <c r="Z92" s="2521"/>
      <c r="AA92" s="1741"/>
      <c r="AB92" s="1938"/>
      <c r="AC92" s="1982"/>
      <c r="AD92" s="1943">
        <v>-783.2</v>
      </c>
      <c r="AE92" s="3080"/>
      <c r="AF92" s="1920"/>
      <c r="AG92" s="1943">
        <v>833.2</v>
      </c>
      <c r="AH92" s="1937"/>
      <c r="AI92" s="2525"/>
      <c r="AJ92" s="1938">
        <f>ROUND(AD92-AG92,1)</f>
        <v>-1616.4</v>
      </c>
      <c r="AK92" s="2513"/>
      <c r="AL92" s="1603">
        <f>ROUND(IF(AG92=0,0,AJ92/ABS(AG92)),3)</f>
        <v>-1.94</v>
      </c>
      <c r="AM92" s="2513"/>
    </row>
    <row r="93" spans="1:41" ht="15.75">
      <c r="A93" s="2381"/>
      <c r="B93" s="3545" t="s">
        <v>203</v>
      </c>
      <c r="C93" s="2381"/>
      <c r="D93" s="2381"/>
      <c r="E93" s="1943">
        <v>-9.1</v>
      </c>
      <c r="F93" s="1943"/>
      <c r="G93" s="1943">
        <f t="shared" si="8"/>
        <v>-9.5000000000000018</v>
      </c>
      <c r="H93" s="1943"/>
      <c r="I93" s="1943"/>
      <c r="J93" s="1943"/>
      <c r="K93" s="1943"/>
      <c r="L93" s="2521"/>
      <c r="M93" s="1943"/>
      <c r="N93" s="2521"/>
      <c r="O93" s="1943"/>
      <c r="P93" s="2521"/>
      <c r="Q93" s="1943"/>
      <c r="R93" s="2521"/>
      <c r="S93" s="1741"/>
      <c r="T93" s="2521"/>
      <c r="U93" s="1741"/>
      <c r="V93" s="2521"/>
      <c r="W93" s="1741"/>
      <c r="X93" s="2521"/>
      <c r="Y93" s="1741"/>
      <c r="Z93" s="2521"/>
      <c r="AA93" s="1741"/>
      <c r="AB93" s="1938"/>
      <c r="AC93" s="1982"/>
      <c r="AD93" s="3094">
        <v>-18.600000000000001</v>
      </c>
      <c r="AE93" s="3080"/>
      <c r="AF93" s="1920"/>
      <c r="AG93" s="3094">
        <v>-16.5</v>
      </c>
      <c r="AH93" s="1920"/>
      <c r="AI93" s="2515"/>
      <c r="AJ93" s="2550">
        <f>ROUND(-AD93+AG93,1)</f>
        <v>2.1</v>
      </c>
      <c r="AK93" s="2513"/>
      <c r="AL93" s="2523">
        <f>ROUND(IF(AG93=0,0,AJ93/ABS(AG93)),3)</f>
        <v>0.127</v>
      </c>
      <c r="AM93" s="2513"/>
    </row>
    <row r="94" spans="1:41" ht="15.75">
      <c r="A94" s="2381"/>
      <c r="B94" s="2381"/>
      <c r="C94" s="2381"/>
      <c r="D94" s="2381"/>
      <c r="E94" s="1994"/>
      <c r="F94" s="1938"/>
      <c r="G94" s="1994"/>
      <c r="H94" s="1938"/>
      <c r="I94" s="1994"/>
      <c r="J94" s="1938"/>
      <c r="K94" s="1994"/>
      <c r="L94" s="1938"/>
      <c r="M94" s="1994"/>
      <c r="N94" s="1938"/>
      <c r="O94" s="1994"/>
      <c r="P94" s="1938"/>
      <c r="Q94" s="1994"/>
      <c r="R94" s="1938"/>
      <c r="S94" s="1994"/>
      <c r="T94" s="1938"/>
      <c r="U94" s="1994"/>
      <c r="V94" s="1938"/>
      <c r="W94" s="1994"/>
      <c r="X94" s="1938"/>
      <c r="Y94" s="1994"/>
      <c r="Z94" s="1938"/>
      <c r="AA94" s="1994"/>
      <c r="AB94" s="1938"/>
      <c r="AC94" s="1982"/>
      <c r="AD94" s="2516"/>
      <c r="AE94" s="3080"/>
      <c r="AF94" s="1920"/>
      <c r="AG94" s="2516"/>
      <c r="AH94" s="2516"/>
      <c r="AI94" s="2551"/>
      <c r="AJ94" s="2516"/>
      <c r="AK94" s="2513"/>
      <c r="AL94" s="1750"/>
    </row>
    <row r="95" spans="1:41" ht="15.75">
      <c r="A95" s="2381"/>
      <c r="B95" s="2468" t="s">
        <v>1085</v>
      </c>
      <c r="C95" s="2381"/>
      <c r="D95" s="2381"/>
      <c r="E95" s="1993">
        <f>ROUND(SUM(E91:E93),1)</f>
        <v>-620.20000000000005</v>
      </c>
      <c r="F95" s="1993"/>
      <c r="G95" s="1993">
        <f>ROUND(SUM(G91:G93),1)</f>
        <v>-181.6</v>
      </c>
      <c r="H95" s="1993"/>
      <c r="I95" s="1993">
        <f>ROUND(SUM(I91:I93),1)</f>
        <v>0</v>
      </c>
      <c r="J95" s="1993"/>
      <c r="K95" s="1993">
        <f>ROUND(SUM(K91:K93),1)</f>
        <v>0</v>
      </c>
      <c r="L95" s="1993"/>
      <c r="M95" s="1993">
        <f>ROUND(SUM(M91:M93),1)</f>
        <v>0</v>
      </c>
      <c r="N95" s="1993"/>
      <c r="O95" s="1993">
        <f>ROUND(SUM(O91:O93),1)</f>
        <v>0</v>
      </c>
      <c r="P95" s="1993"/>
      <c r="Q95" s="1993">
        <f>ROUND(SUM(Q91:Q93),1)</f>
        <v>0</v>
      </c>
      <c r="R95" s="1993"/>
      <c r="S95" s="1993">
        <f>ROUND(SUM(S91:S93),1)</f>
        <v>0</v>
      </c>
      <c r="T95" s="1993"/>
      <c r="U95" s="1993">
        <f>ROUND(SUM(U91:U93),1)</f>
        <v>0</v>
      </c>
      <c r="V95" s="1993"/>
      <c r="W95" s="1993">
        <f>ROUND(SUM(W91:W93),1)</f>
        <v>0</v>
      </c>
      <c r="X95" s="1993"/>
      <c r="Y95" s="1993">
        <f>ROUND(SUM(Y91:Y93),1)</f>
        <v>0</v>
      </c>
      <c r="Z95" s="1993"/>
      <c r="AA95" s="1993">
        <f>ROUND(SUM(AA91:AA93),1)</f>
        <v>0</v>
      </c>
      <c r="AB95" s="1993"/>
      <c r="AC95" s="2469"/>
      <c r="AD95" s="1430">
        <f>ROUND(SUM(AD91:AD93),1)</f>
        <v>-801.8</v>
      </c>
      <c r="AE95" s="3092"/>
      <c r="AF95" s="1430"/>
      <c r="AG95" s="1430">
        <f>ROUND(SUM(AG91:AG93),1)</f>
        <v>816.7</v>
      </c>
      <c r="AH95" s="1430"/>
      <c r="AI95" s="2515"/>
      <c r="AJ95" s="1997">
        <f>ROUND(AD95-AG95,1)</f>
        <v>-1618.5</v>
      </c>
      <c r="AK95" s="2544"/>
      <c r="AL95" s="3546">
        <f>ROUND(IF(AG95=0,0,AJ95/ABS(AG95)),3)</f>
        <v>-1.982</v>
      </c>
      <c r="AM95" s="2536"/>
      <c r="AN95" s="2536"/>
      <c r="AO95" s="3547"/>
    </row>
    <row r="96" spans="1:41" ht="15.75">
      <c r="A96" s="2381"/>
      <c r="B96" s="2381"/>
      <c r="C96" s="2381"/>
      <c r="D96" s="2381"/>
      <c r="E96" s="1994"/>
      <c r="F96" s="1938"/>
      <c r="G96" s="1994"/>
      <c r="H96" s="1938"/>
      <c r="I96" s="1994"/>
      <c r="J96" s="1938"/>
      <c r="K96" s="1994"/>
      <c r="L96" s="1938"/>
      <c r="M96" s="1994"/>
      <c r="N96" s="1938"/>
      <c r="O96" s="1994"/>
      <c r="P96" s="1938"/>
      <c r="Q96" s="1994"/>
      <c r="R96" s="1938"/>
      <c r="S96" s="1994"/>
      <c r="T96" s="1938"/>
      <c r="U96" s="1994"/>
      <c r="V96" s="1938"/>
      <c r="W96" s="1994"/>
      <c r="X96" s="1938"/>
      <c r="Y96" s="1994"/>
      <c r="Z96" s="1938"/>
      <c r="AA96" s="1994"/>
      <c r="AB96" s="1938"/>
      <c r="AC96" s="1982"/>
      <c r="AD96" s="1994"/>
      <c r="AE96" s="3080"/>
      <c r="AF96" s="1920"/>
      <c r="AG96" s="1994"/>
      <c r="AH96" s="1920"/>
      <c r="AI96" s="2515"/>
      <c r="AJ96" s="2516"/>
      <c r="AK96" s="2513"/>
      <c r="AL96" s="1750"/>
      <c r="AO96" s="2560"/>
    </row>
    <row r="97" spans="1:41" ht="15.75">
      <c r="A97" s="2381"/>
      <c r="B97" s="2381"/>
      <c r="C97" s="2381"/>
      <c r="D97" s="2381"/>
      <c r="E97" s="1938" t="s">
        <v>14</v>
      </c>
      <c r="F97" s="1938" t="s">
        <v>14</v>
      </c>
      <c r="G97" s="1938" t="s">
        <v>14</v>
      </c>
      <c r="H97" s="1938"/>
      <c r="I97" s="1938" t="s">
        <v>14</v>
      </c>
      <c r="J97" s="1938"/>
      <c r="K97" s="1938" t="s">
        <v>14</v>
      </c>
      <c r="L97" s="1938"/>
      <c r="M97" s="1938" t="s">
        <v>14</v>
      </c>
      <c r="N97" s="1938"/>
      <c r="O97" s="1938" t="s">
        <v>14</v>
      </c>
      <c r="P97" s="1938"/>
      <c r="Q97" s="1938" t="s">
        <v>14</v>
      </c>
      <c r="R97" s="1938"/>
      <c r="S97" s="1938" t="s">
        <v>14</v>
      </c>
      <c r="T97" s="1938"/>
      <c r="U97" s="1938" t="s">
        <v>14</v>
      </c>
      <c r="V97" s="1938"/>
      <c r="W97" s="1938" t="s">
        <v>14</v>
      </c>
      <c r="X97" s="1938"/>
      <c r="Y97" s="1938" t="s">
        <v>14</v>
      </c>
      <c r="Z97" s="1938"/>
      <c r="AA97" s="1938" t="s">
        <v>14</v>
      </c>
      <c r="AB97" s="1938"/>
      <c r="AC97" s="1982"/>
      <c r="AD97" s="1938"/>
      <c r="AE97" s="3080"/>
      <c r="AF97" s="1920"/>
      <c r="AG97" s="1938"/>
      <c r="AH97" s="1938"/>
      <c r="AI97" s="2515"/>
      <c r="AJ97" s="2516" t="s">
        <v>14</v>
      </c>
      <c r="AK97" s="2513"/>
      <c r="AL97" s="1750"/>
    </row>
    <row r="98" spans="1:41" ht="15.75">
      <c r="A98" s="2381"/>
      <c r="B98" s="2468" t="s">
        <v>205</v>
      </c>
      <c r="C98" s="2381"/>
      <c r="D98" s="2381"/>
      <c r="E98" s="1938"/>
      <c r="F98" s="1938"/>
      <c r="G98" s="1938" t="s">
        <v>14</v>
      </c>
      <c r="H98" s="1938"/>
      <c r="I98" s="1938" t="s">
        <v>14</v>
      </c>
      <c r="J98" s="1938"/>
      <c r="K98" s="1938" t="s">
        <v>14</v>
      </c>
      <c r="L98" s="1938"/>
      <c r="M98" s="1938" t="s">
        <v>14</v>
      </c>
      <c r="N98" s="1938"/>
      <c r="O98" s="1938" t="s">
        <v>14</v>
      </c>
      <c r="P98" s="1938"/>
      <c r="Q98" s="1938" t="s">
        <v>14</v>
      </c>
      <c r="R98" s="1938"/>
      <c r="S98" s="1938" t="s">
        <v>14</v>
      </c>
      <c r="T98" s="1938"/>
      <c r="U98" s="1938" t="s">
        <v>14</v>
      </c>
      <c r="V98" s="1938"/>
      <c r="W98" s="1938" t="s">
        <v>14</v>
      </c>
      <c r="X98" s="1938"/>
      <c r="Y98" s="1938" t="s">
        <v>14</v>
      </c>
      <c r="Z98" s="1938"/>
      <c r="AA98" s="1938" t="s">
        <v>14</v>
      </c>
      <c r="AB98" s="1938"/>
      <c r="AC98" s="1982"/>
      <c r="AD98" s="1938"/>
      <c r="AE98" s="3080"/>
      <c r="AF98" s="1920"/>
      <c r="AG98" s="1938"/>
      <c r="AH98" s="1938"/>
      <c r="AI98" s="2515"/>
      <c r="AJ98" s="2516"/>
      <c r="AK98" s="2513"/>
      <c r="AL98" s="1750"/>
    </row>
    <row r="99" spans="1:41" ht="15.75">
      <c r="A99" s="2381"/>
      <c r="B99" s="2468" t="s">
        <v>206</v>
      </c>
      <c r="C99" s="2381"/>
      <c r="D99" s="2381"/>
      <c r="E99" s="1938" t="s">
        <v>14</v>
      </c>
      <c r="F99" s="1938"/>
      <c r="G99" s="1938"/>
      <c r="H99" s="1938"/>
      <c r="I99" s="1938"/>
      <c r="J99" s="1938"/>
      <c r="K99" s="1938"/>
      <c r="L99" s="1938"/>
      <c r="M99" s="1938"/>
      <c r="N99" s="1938"/>
      <c r="O99" s="1938"/>
      <c r="P99" s="1938"/>
      <c r="Q99" s="1938"/>
      <c r="R99" s="1938"/>
      <c r="S99" s="1938"/>
      <c r="T99" s="1938"/>
      <c r="U99" s="1938"/>
      <c r="V99" s="1938"/>
      <c r="W99" s="1938"/>
      <c r="X99" s="1938"/>
      <c r="Y99" s="1938"/>
      <c r="Z99" s="1938"/>
      <c r="AA99" s="1938"/>
      <c r="AB99" s="1938"/>
      <c r="AC99" s="1982"/>
      <c r="AD99" s="2516"/>
      <c r="AE99" s="3080"/>
      <c r="AF99" s="1920"/>
      <c r="AG99" s="2516"/>
      <c r="AH99" s="2516"/>
      <c r="AI99" s="2551"/>
      <c r="AJ99" s="2516"/>
      <c r="AK99" s="2513"/>
      <c r="AL99" s="1750"/>
      <c r="AO99" s="3548"/>
    </row>
    <row r="100" spans="1:41" s="3079" customFormat="1" ht="15.75">
      <c r="A100" s="1938"/>
      <c r="B100" s="1993" t="s">
        <v>1086</v>
      </c>
      <c r="C100" s="1938"/>
      <c r="D100" s="1938"/>
      <c r="E100" s="2552">
        <f>ROUND(SUM(E88+E95),1)</f>
        <v>-78.900000000000006</v>
      </c>
      <c r="F100" s="2553"/>
      <c r="G100" s="2552">
        <f>ROUND(SUM(G88+G95),1)</f>
        <v>-20.399999999999999</v>
      </c>
      <c r="H100" s="2553"/>
      <c r="I100" s="2552">
        <f>ROUND(SUM(I88+I95),1)</f>
        <v>0</v>
      </c>
      <c r="J100" s="2553"/>
      <c r="K100" s="2552">
        <f>ROUND(SUM(K88+K95),1)</f>
        <v>0</v>
      </c>
      <c r="L100" s="2553"/>
      <c r="M100" s="2552">
        <f>ROUND(SUM(M88+M95),1)</f>
        <v>0</v>
      </c>
      <c r="N100" s="2553"/>
      <c r="O100" s="2552">
        <f>ROUND(SUM(O88+O95),1)</f>
        <v>0</v>
      </c>
      <c r="P100" s="2553"/>
      <c r="Q100" s="2552">
        <f>ROUND(SUM(Q88+Q95),1)</f>
        <v>0</v>
      </c>
      <c r="R100" s="2553"/>
      <c r="S100" s="2552">
        <f>ROUND(SUM(S88+S95),1)</f>
        <v>0</v>
      </c>
      <c r="T100" s="2553"/>
      <c r="U100" s="2552">
        <f>ROUND(SUM(U88+U95),1)</f>
        <v>0</v>
      </c>
      <c r="V100" s="2553"/>
      <c r="W100" s="2552">
        <f>ROUND(SUM(W88+W95),1)</f>
        <v>0</v>
      </c>
      <c r="X100" s="3549"/>
      <c r="Y100" s="2552">
        <f>ROUND(SUM(Y88+Y95),1)</f>
        <v>0</v>
      </c>
      <c r="Z100" s="2553"/>
      <c r="AA100" s="2552">
        <f>ROUND(SUM(AA88+AA95),1)</f>
        <v>0</v>
      </c>
      <c r="AB100" s="2553"/>
      <c r="AC100" s="2554"/>
      <c r="AD100" s="2552">
        <f>ROUND(SUM(AD88+AD95),1)</f>
        <v>-99.3</v>
      </c>
      <c r="AE100" s="3095"/>
      <c r="AF100" s="1430"/>
      <c r="AG100" s="2552">
        <f>ROUND(SUM(AG88+AG95),1)</f>
        <v>-55.1</v>
      </c>
      <c r="AH100" s="2555"/>
      <c r="AI100" s="2551"/>
      <c r="AJ100" s="2552">
        <f>ROUND(SUM(AJ88+AJ95),1)</f>
        <v>-44.2</v>
      </c>
      <c r="AK100" s="2555"/>
      <c r="AL100" s="3546">
        <f>ROUND(IF(AG100=0,0,AJ100/ABS(AG100)),3)</f>
        <v>-0.80200000000000005</v>
      </c>
      <c r="AM100" s="3550"/>
    </row>
    <row r="101" spans="1:41">
      <c r="B101" s="3551"/>
      <c r="X101" s="3552"/>
      <c r="AC101" s="2556"/>
      <c r="AF101" s="2556"/>
      <c r="AI101" s="2557"/>
    </row>
    <row r="102" spans="1:41" ht="16.5" thickBot="1">
      <c r="B102" s="2468" t="s">
        <v>1084</v>
      </c>
      <c r="C102" s="3553"/>
      <c r="D102" s="3553"/>
      <c r="E102" s="2558">
        <f>ROUND(SUM(E14+E100),1)</f>
        <v>-835.7</v>
      </c>
      <c r="F102" s="2559"/>
      <c r="G102" s="2558">
        <f>ROUND(SUM(G14+G100),1)</f>
        <v>-856.1</v>
      </c>
      <c r="I102" s="2558">
        <f>ROUND(SUM(I14+I100),1)</f>
        <v>0</v>
      </c>
      <c r="K102" s="2558">
        <f>ROUND(SUM(K14+K100),1)</f>
        <v>0</v>
      </c>
      <c r="M102" s="2558">
        <f>ROUND(SUM(M14+M100),1)</f>
        <v>0</v>
      </c>
      <c r="O102" s="2558">
        <f>ROUND(SUM(O14+O100),1)</f>
        <v>0</v>
      </c>
      <c r="Q102" s="2558">
        <f>ROUND(SUM(Q14+Q100),1)</f>
        <v>0</v>
      </c>
      <c r="S102" s="2558">
        <f>ROUND(SUM(S14+S100),1)</f>
        <v>0</v>
      </c>
      <c r="U102" s="2558">
        <f>ROUND(SUM(U14+U100),1)</f>
        <v>0</v>
      </c>
      <c r="W102" s="2558">
        <f>ROUND(SUM(W14+W100),1)</f>
        <v>0</v>
      </c>
      <c r="Y102" s="2558">
        <f>ROUND(SUM(Y14+Y100),1)</f>
        <v>0</v>
      </c>
      <c r="AA102" s="2558">
        <f>ROUND(SUM(AA14+AA100),1)</f>
        <v>0</v>
      </c>
      <c r="AC102" s="2556"/>
      <c r="AD102" s="2558">
        <f>ROUND(SUM(AD14+AD100),1)</f>
        <v>-856.1</v>
      </c>
      <c r="AF102" s="2556"/>
      <c r="AG102" s="2558">
        <f>ROUND(SUM(AG14+AG100),1)</f>
        <v>-618.79999999999995</v>
      </c>
      <c r="AI102" s="2557"/>
      <c r="AJ102" s="2558">
        <f>ROUND(SUM(AJ14+AJ100),1)</f>
        <v>-237.3</v>
      </c>
      <c r="AL102" s="3554">
        <f>ROUND(IF(AG102=0,0,AJ102/ABS(AG102)),3)</f>
        <v>-0.38300000000000001</v>
      </c>
    </row>
    <row r="103" spans="1:41" ht="15.75" thickTop="1">
      <c r="B103" s="3555"/>
      <c r="C103" s="3553"/>
      <c r="D103" s="3553"/>
      <c r="E103" s="2559"/>
      <c r="F103" s="2559"/>
      <c r="G103" s="2559"/>
      <c r="AG103" s="3346"/>
      <c r="AJ103" s="2560"/>
    </row>
    <row r="104" spans="1:41">
      <c r="B104" s="3556"/>
    </row>
    <row r="105" spans="1:41">
      <c r="B105" s="3556"/>
      <c r="AD105" s="3079"/>
    </row>
    <row r="106" spans="1:41">
      <c r="B106" s="3557"/>
    </row>
    <row r="107" spans="1:41">
      <c r="B107" s="3556"/>
    </row>
    <row r="108" spans="1:41">
      <c r="B108" s="3556"/>
    </row>
    <row r="109" spans="1:41">
      <c r="B109" s="3557"/>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3 AL72:AL73 AL69:AL70 AL71 AL65:AL67 AL61 AL52" formula="1" unlockedFormula="1"/>
    <ignoredError sqref="AL49:AL50 AL53:AL54 AL51 AL60 AL57:AL58 AL56 AL59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55" workbookViewId="0"/>
  </sheetViews>
  <sheetFormatPr defaultColWidth="8.6640625" defaultRowHeight="15"/>
  <cols>
    <col min="1" max="1" width="2.5546875" style="1067" customWidth="1"/>
    <col min="2" max="2" width="14.109375" style="1067" customWidth="1"/>
    <col min="3" max="3" width="26.5546875" style="1067" customWidth="1"/>
    <col min="4" max="4" width="2.109375" style="1067" customWidth="1"/>
    <col min="5" max="5" width="11.109375" style="1067" customWidth="1"/>
    <col min="6" max="6" width="1.6640625" style="1067" customWidth="1"/>
    <col min="7" max="7" width="11" style="1067" bestFit="1" customWidth="1"/>
    <col min="8" max="8" width="1.6640625" style="1067" customWidth="1"/>
    <col min="9" max="9" width="11" style="1067" bestFit="1" customWidth="1"/>
    <col min="10" max="10" width="1.6640625" style="1067" customWidth="1"/>
    <col min="11" max="11" width="12.109375" style="1067" customWidth="1"/>
    <col min="12" max="12" width="1.6640625" style="1067" customWidth="1"/>
    <col min="13" max="13" width="11" style="1067" customWidth="1"/>
    <col min="14" max="14" width="1.6640625" style="1067" customWidth="1"/>
    <col min="15" max="15" width="13.6640625" style="1067" customWidth="1"/>
    <col min="16" max="16" width="1.6640625" style="1067" customWidth="1"/>
    <col min="17" max="17" width="12.44140625" style="1067" customWidth="1"/>
    <col min="18" max="18" width="1.6640625" style="1067" customWidth="1"/>
    <col min="19" max="19" width="12.5546875" style="1067" customWidth="1"/>
    <col min="20" max="20" width="1.6640625" style="1067" customWidth="1"/>
    <col min="21" max="21" width="10.6640625" style="1067" customWidth="1"/>
    <col min="22" max="22" width="1.6640625" style="1067" customWidth="1"/>
    <col min="23" max="23" width="10.5546875" style="1067" customWidth="1"/>
    <col min="24" max="24" width="1.6640625" style="1067" customWidth="1"/>
    <col min="25" max="25" width="10.6640625" style="1067" customWidth="1"/>
    <col min="26" max="26" width="1.6640625" style="1067" customWidth="1"/>
    <col min="27" max="27" width="11.6640625" style="1067" customWidth="1"/>
    <col min="28" max="29" width="1.6640625" style="1067" customWidth="1"/>
    <col min="30" max="30" width="10.5546875" style="1067" customWidth="1"/>
    <col min="31" max="32" width="1" style="1067" customWidth="1"/>
    <col min="33" max="33" width="12.6640625" style="1067" customWidth="1"/>
    <col min="34" max="35" width="1" style="1067" customWidth="1"/>
    <col min="36" max="36" width="13.109375" style="1067" bestFit="1" customWidth="1"/>
    <col min="37" max="37" width="1.109375" style="1067" customWidth="1"/>
    <col min="38" max="38" width="11.5546875" style="1067" customWidth="1"/>
    <col min="39" max="16384" width="8.6640625" style="1067"/>
  </cols>
  <sheetData>
    <row r="1" spans="1:39">
      <c r="B1" s="1462" t="s">
        <v>870</v>
      </c>
    </row>
    <row r="2" spans="1:39">
      <c r="B2" s="3567"/>
    </row>
    <row r="3" spans="1:39" ht="19.5" customHeight="1">
      <c r="A3" s="3568"/>
      <c r="B3" s="185" t="s">
        <v>0</v>
      </c>
      <c r="C3" s="1068"/>
      <c r="D3" s="1068"/>
      <c r="E3" s="1068"/>
      <c r="F3" s="1069"/>
      <c r="G3" s="1069"/>
      <c r="H3" s="1069"/>
      <c r="I3" s="1069"/>
      <c r="J3" s="1069"/>
      <c r="K3" s="1069"/>
      <c r="L3" s="1069"/>
      <c r="M3" s="1069"/>
      <c r="N3" s="1069"/>
      <c r="O3" s="1069"/>
      <c r="P3" s="1069"/>
      <c r="Q3" s="1069"/>
      <c r="R3" s="1069"/>
      <c r="S3" s="3569"/>
      <c r="T3" s="1069"/>
      <c r="U3" s="1069"/>
      <c r="V3" s="1069"/>
      <c r="W3" s="1069"/>
      <c r="X3" s="1069"/>
      <c r="Y3" s="1069"/>
      <c r="Z3" s="1069"/>
      <c r="AA3" s="1069"/>
      <c r="AB3" s="1069"/>
      <c r="AC3" s="1069"/>
      <c r="AD3" s="1069"/>
      <c r="AE3" s="1069"/>
      <c r="AF3" s="1069"/>
      <c r="AG3" s="1069"/>
      <c r="AH3" s="1069"/>
      <c r="AI3" s="1069"/>
      <c r="AL3" s="3140" t="s">
        <v>191</v>
      </c>
    </row>
    <row r="4" spans="1:39" ht="19.5" customHeight="1">
      <c r="A4" s="3568"/>
      <c r="B4" s="185" t="s">
        <v>208</v>
      </c>
      <c r="C4" s="1068"/>
      <c r="D4" s="1068"/>
      <c r="E4" s="1068"/>
      <c r="F4" s="1069"/>
      <c r="G4" s="1069"/>
      <c r="H4" s="1069"/>
      <c r="I4" s="1069"/>
      <c r="J4" s="1069"/>
      <c r="K4" s="1069"/>
      <c r="L4" s="1069"/>
      <c r="M4" s="1069"/>
      <c r="N4" s="1069"/>
      <c r="O4" s="1069"/>
      <c r="P4" s="1069"/>
      <c r="Q4" s="1069"/>
      <c r="R4" s="1069"/>
      <c r="S4" s="1069"/>
      <c r="T4" s="1069"/>
      <c r="U4" s="1069"/>
      <c r="V4" s="1069"/>
      <c r="W4" s="1069"/>
      <c r="X4" s="1069"/>
      <c r="Y4" s="1069"/>
      <c r="Z4" s="1069"/>
      <c r="AA4" s="1069"/>
      <c r="AB4" s="1069"/>
      <c r="AC4" s="1069"/>
      <c r="AE4" s="3096"/>
      <c r="AF4" s="3096"/>
    </row>
    <row r="5" spans="1:39" ht="19.5" customHeight="1">
      <c r="A5" s="3568"/>
      <c r="B5" s="3570" t="s">
        <v>145</v>
      </c>
      <c r="C5" s="1068"/>
      <c r="D5" s="1068"/>
      <c r="E5" s="1068"/>
      <c r="F5" s="1069"/>
      <c r="G5" s="1069"/>
      <c r="H5" s="1069"/>
      <c r="I5" s="1069"/>
      <c r="J5" s="1069"/>
      <c r="K5" s="1069"/>
      <c r="L5" s="1069"/>
      <c r="M5" s="1069"/>
      <c r="N5" s="1069"/>
      <c r="O5" s="1069"/>
      <c r="P5" s="1069"/>
      <c r="Q5" s="1069"/>
      <c r="R5" s="1069"/>
      <c r="S5" s="1069"/>
      <c r="T5" s="1069"/>
      <c r="U5" s="1069"/>
      <c r="V5" s="1069"/>
      <c r="W5" s="1069"/>
      <c r="X5" s="1069"/>
      <c r="Y5" s="1069"/>
      <c r="Z5" s="1069"/>
      <c r="AA5" s="1069"/>
      <c r="AB5" s="1069"/>
      <c r="AC5" s="1069"/>
      <c r="AD5" s="1069"/>
      <c r="AE5" s="1069"/>
      <c r="AF5" s="1069"/>
      <c r="AG5" s="1069"/>
      <c r="AH5" s="1069"/>
      <c r="AI5" s="1069"/>
      <c r="AL5" s="3140"/>
    </row>
    <row r="6" spans="1:39" ht="19.5" customHeight="1">
      <c r="A6" s="3568"/>
      <c r="B6" s="3570" t="str">
        <f>'Cashflow Governmental'!A6</f>
        <v xml:space="preserve">FISCAL YEAR 2022-2023   </v>
      </c>
      <c r="C6" s="3571"/>
      <c r="D6" s="1068"/>
      <c r="E6" s="1068"/>
      <c r="F6" s="1069"/>
      <c r="G6" s="1069"/>
      <c r="H6" s="1070"/>
      <c r="I6" s="1069"/>
      <c r="J6" s="1069"/>
      <c r="K6" s="1069"/>
      <c r="L6" s="1069"/>
      <c r="M6" s="1069"/>
      <c r="N6" s="1069"/>
      <c r="O6" s="1069"/>
      <c r="P6" s="1069"/>
      <c r="Q6" s="1069"/>
      <c r="R6" s="1069"/>
      <c r="S6" s="1069"/>
      <c r="T6" s="1069"/>
      <c r="U6" s="1069"/>
      <c r="V6" s="1069"/>
      <c r="W6" s="1069"/>
      <c r="X6" s="1069"/>
      <c r="Y6" s="1069"/>
      <c r="Z6" s="1069"/>
      <c r="AA6" s="1069"/>
      <c r="AB6" s="1069"/>
      <c r="AC6" s="1069"/>
      <c r="AD6" s="1069"/>
      <c r="AE6" s="1074"/>
      <c r="AF6" s="1074"/>
      <c r="AG6" s="1074"/>
      <c r="AH6" s="1074"/>
      <c r="AI6" s="1074"/>
    </row>
    <row r="7" spans="1:39" ht="19.5" customHeight="1">
      <c r="A7" s="3568"/>
      <c r="B7" s="185" t="s">
        <v>1251</v>
      </c>
      <c r="C7" s="1068"/>
      <c r="D7" s="1068"/>
      <c r="E7" s="1068"/>
      <c r="F7" s="1069"/>
      <c r="G7" s="1069"/>
      <c r="H7" s="1070"/>
      <c r="I7" s="1069"/>
      <c r="J7" s="1069"/>
      <c r="K7" s="1069"/>
      <c r="L7" s="1069"/>
      <c r="M7" s="1069"/>
      <c r="N7" s="1069"/>
      <c r="O7" s="1069"/>
      <c r="P7" s="1069"/>
      <c r="Q7" s="1069"/>
      <c r="R7" s="1069"/>
      <c r="S7" s="1069"/>
      <c r="T7" s="1069"/>
      <c r="U7" s="1069"/>
      <c r="V7" s="1069"/>
      <c r="W7" s="1069"/>
      <c r="X7" s="1069"/>
      <c r="Y7" s="1069"/>
      <c r="Z7" s="1069"/>
      <c r="AA7" s="1069"/>
      <c r="AB7" s="1069"/>
      <c r="AC7" s="1069"/>
      <c r="AD7" s="1069"/>
      <c r="AE7" s="1074"/>
      <c r="AF7" s="1074"/>
      <c r="AG7" s="1074"/>
      <c r="AH7" s="1074"/>
      <c r="AI7" s="1074"/>
    </row>
    <row r="8" spans="1:39" ht="19.5" customHeight="1">
      <c r="A8" s="3568"/>
      <c r="B8" s="3572"/>
      <c r="C8" s="1068"/>
      <c r="D8" s="1068"/>
      <c r="E8" s="1068"/>
      <c r="F8" s="1069"/>
      <c r="G8" s="1069"/>
      <c r="H8" s="1070"/>
      <c r="I8" s="1069"/>
      <c r="J8" s="1069"/>
      <c r="K8" s="1069"/>
      <c r="L8" s="1069"/>
      <c r="M8" s="1069"/>
      <c r="N8" s="1069"/>
      <c r="O8" s="1069"/>
      <c r="P8" s="1069"/>
      <c r="Q8" s="1069"/>
      <c r="R8" s="1069"/>
      <c r="S8" s="1069"/>
      <c r="T8" s="1069"/>
      <c r="U8" s="1069"/>
      <c r="V8" s="1069"/>
      <c r="W8" s="1069"/>
      <c r="X8" s="1069"/>
      <c r="Y8" s="1069"/>
      <c r="Z8" s="1069"/>
      <c r="AA8" s="1069"/>
      <c r="AB8" s="1069"/>
      <c r="AC8" s="1069"/>
      <c r="AD8" s="1069"/>
      <c r="AE8" s="1074"/>
      <c r="AF8" s="1074"/>
      <c r="AG8" s="1074"/>
      <c r="AH8" s="1074"/>
      <c r="AI8" s="1074"/>
    </row>
    <row r="9" spans="1:39" ht="15.75" customHeight="1">
      <c r="A9" s="3568"/>
      <c r="B9" s="185"/>
      <c r="C9" s="1068"/>
      <c r="D9" s="1068"/>
      <c r="E9" s="1068"/>
      <c r="F9" s="1069"/>
      <c r="G9" s="1069"/>
      <c r="H9" s="1069"/>
      <c r="I9" s="1069"/>
      <c r="J9" s="1069"/>
      <c r="K9" s="1069"/>
      <c r="L9" s="1069"/>
      <c r="M9" s="1069"/>
      <c r="N9" s="1069"/>
      <c r="O9" s="1069"/>
      <c r="P9" s="1069"/>
      <c r="Q9" s="1069"/>
      <c r="R9" s="1069"/>
      <c r="S9" s="1069"/>
      <c r="T9" s="1069"/>
      <c r="U9" s="1069"/>
      <c r="V9" s="1069"/>
      <c r="W9" s="1069"/>
      <c r="X9" s="1069"/>
      <c r="Y9" s="1069"/>
      <c r="Z9" s="1069"/>
      <c r="AA9" s="1069"/>
      <c r="AB9" s="1069"/>
      <c r="AC9" s="1075"/>
    </row>
    <row r="10" spans="1:39" ht="23.25">
      <c r="A10" s="3568"/>
      <c r="B10" s="185"/>
      <c r="C10" s="1068"/>
      <c r="D10" s="1068"/>
      <c r="E10" s="1068"/>
      <c r="F10" s="1069"/>
      <c r="G10" s="1069"/>
      <c r="H10" s="1069"/>
      <c r="I10" s="1069"/>
      <c r="J10" s="1069"/>
      <c r="K10" s="1069"/>
      <c r="L10" s="1069"/>
      <c r="M10" s="1069"/>
      <c r="N10" s="1069"/>
      <c r="O10" s="1069"/>
      <c r="P10" s="1069"/>
      <c r="Q10" s="1069"/>
      <c r="R10" s="1069"/>
      <c r="S10" s="1069"/>
      <c r="T10" s="1069"/>
      <c r="U10" s="1069"/>
      <c r="V10" s="1069"/>
      <c r="W10" s="1069"/>
      <c r="X10" s="1069"/>
      <c r="Y10" s="1069"/>
      <c r="Z10" s="1069"/>
      <c r="AA10" s="1069"/>
      <c r="AB10" s="1069"/>
      <c r="AC10" s="1075"/>
      <c r="AD10" s="3960" t="s">
        <v>1518</v>
      </c>
      <c r="AE10" s="3961"/>
      <c r="AF10" s="3961"/>
      <c r="AG10" s="3961"/>
      <c r="AH10" s="3961"/>
      <c r="AI10" s="3961"/>
      <c r="AJ10" s="3961"/>
      <c r="AK10" s="3961"/>
      <c r="AL10" s="3961"/>
    </row>
    <row r="11" spans="1:39" ht="15.75">
      <c r="A11" s="1087"/>
      <c r="B11" s="1087"/>
      <c r="C11" s="1087"/>
      <c r="D11" s="1087"/>
      <c r="E11" s="720" t="str">
        <f>'Cashflow Governmental'!C13</f>
        <v>2022</v>
      </c>
      <c r="F11" s="1071"/>
      <c r="G11" s="1071"/>
      <c r="H11" s="1071"/>
      <c r="I11" s="1071"/>
      <c r="J11" s="1071"/>
      <c r="K11" s="1071"/>
      <c r="L11" s="1071"/>
      <c r="M11" s="1071"/>
      <c r="N11" s="1071"/>
      <c r="O11" s="1071"/>
      <c r="P11" s="1071"/>
      <c r="Q11" s="1071"/>
      <c r="R11" s="1071"/>
      <c r="S11" s="1071"/>
      <c r="T11" s="1071"/>
      <c r="U11" s="1071"/>
      <c r="V11" s="1071"/>
      <c r="W11" s="720">
        <f>'Cashflow Governmental'!U13</f>
        <v>2023</v>
      </c>
      <c r="X11" s="1071"/>
      <c r="Y11" s="1071"/>
      <c r="Z11" s="1071"/>
      <c r="AA11" s="1071"/>
      <c r="AB11" s="1071"/>
      <c r="AC11" s="1071"/>
      <c r="AD11" s="1076"/>
      <c r="AE11" s="1076"/>
      <c r="AF11" s="1076"/>
      <c r="AG11" s="1076"/>
      <c r="AH11" s="1076"/>
      <c r="AI11" s="1076"/>
      <c r="AJ11" s="1077" t="s">
        <v>7</v>
      </c>
      <c r="AK11" s="1077"/>
      <c r="AL11" s="3573" t="s">
        <v>8</v>
      </c>
      <c r="AM11" s="3574"/>
    </row>
    <row r="12" spans="1:39" ht="15.75">
      <c r="A12" s="101"/>
      <c r="B12" s="101"/>
      <c r="C12" s="101"/>
      <c r="D12" s="101"/>
      <c r="E12" s="740" t="s">
        <v>122</v>
      </c>
      <c r="F12" s="99"/>
      <c r="G12" s="740" t="s">
        <v>123</v>
      </c>
      <c r="H12" s="99"/>
      <c r="I12" s="740" t="s">
        <v>124</v>
      </c>
      <c r="J12" s="99"/>
      <c r="K12" s="740" t="s">
        <v>125</v>
      </c>
      <c r="L12" s="99"/>
      <c r="M12" s="740" t="s">
        <v>126</v>
      </c>
      <c r="N12" s="99"/>
      <c r="O12" s="740" t="s">
        <v>141</v>
      </c>
      <c r="P12" s="99"/>
      <c r="Q12" s="740" t="s">
        <v>142</v>
      </c>
      <c r="R12" s="99"/>
      <c r="S12" s="740" t="s">
        <v>129</v>
      </c>
      <c r="T12" s="99"/>
      <c r="U12" s="740" t="s">
        <v>130</v>
      </c>
      <c r="V12" s="99"/>
      <c r="W12" s="740" t="s">
        <v>131</v>
      </c>
      <c r="X12" s="99"/>
      <c r="Y12" s="740" t="s">
        <v>132</v>
      </c>
      <c r="Z12" s="99"/>
      <c r="AA12" s="740" t="s">
        <v>182</v>
      </c>
      <c r="AB12" s="99"/>
      <c r="AC12" s="99"/>
      <c r="AD12" s="740">
        <f>'Cashflow Governmental'!AB14</f>
        <v>2022</v>
      </c>
      <c r="AE12" s="99" t="s">
        <v>14</v>
      </c>
      <c r="AF12" s="99"/>
      <c r="AG12" s="740">
        <f>'Cashflow Governmental'!AE14</f>
        <v>2021</v>
      </c>
      <c r="AH12" s="741"/>
      <c r="AI12" s="741"/>
      <c r="AJ12" s="1078" t="s">
        <v>11</v>
      </c>
      <c r="AK12" s="3575"/>
      <c r="AL12" s="1078" t="s">
        <v>12</v>
      </c>
      <c r="AM12" s="3574"/>
    </row>
    <row r="13" spans="1:39" ht="5.25" customHeight="1">
      <c r="A13" s="101"/>
      <c r="B13" s="99"/>
      <c r="C13" s="99"/>
      <c r="D13" s="101"/>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048"/>
      <c r="AD13" s="134"/>
      <c r="AE13" s="134"/>
      <c r="AF13" s="3073"/>
      <c r="AG13" s="134"/>
      <c r="AH13" s="134"/>
      <c r="AI13" s="967"/>
      <c r="AJ13" s="1079"/>
      <c r="AK13" s="1079"/>
      <c r="AL13" s="1079"/>
    </row>
    <row r="14" spans="1:39" ht="15.75">
      <c r="A14" s="101"/>
      <c r="B14" s="255" t="s">
        <v>1119</v>
      </c>
      <c r="C14" s="99"/>
      <c r="D14" s="1799"/>
      <c r="E14" s="300">
        <v>-787.1</v>
      </c>
      <c r="F14" s="134"/>
      <c r="G14" s="300">
        <f>E82</f>
        <v>-808</v>
      </c>
      <c r="H14" s="134"/>
      <c r="I14" s="300"/>
      <c r="J14" s="134"/>
      <c r="K14" s="300"/>
      <c r="L14" s="134"/>
      <c r="M14" s="300"/>
      <c r="N14" s="134"/>
      <c r="O14" s="300"/>
      <c r="P14" s="134"/>
      <c r="Q14" s="300"/>
      <c r="R14" s="871"/>
      <c r="S14" s="129"/>
      <c r="T14" s="1830"/>
      <c r="U14" s="129"/>
      <c r="V14" s="871"/>
      <c r="W14" s="129"/>
      <c r="X14" s="871"/>
      <c r="Y14" s="129"/>
      <c r="Z14" s="1830"/>
      <c r="AA14" s="129"/>
      <c r="AB14" s="134"/>
      <c r="AC14" s="1048"/>
      <c r="AD14" s="1804">
        <f>E14</f>
        <v>-787.1</v>
      </c>
      <c r="AE14" s="134"/>
      <c r="AF14" s="3073"/>
      <c r="AG14" s="1804">
        <v>-580.29999999999995</v>
      </c>
      <c r="AH14" s="134"/>
      <c r="AI14" s="967"/>
      <c r="AJ14" s="1805">
        <f>+AD14-AG14</f>
        <v>-206.80000000000007</v>
      </c>
      <c r="AK14" s="1079"/>
      <c r="AL14" s="3576">
        <f>-ROUND((+AJ14/AG14),3)</f>
        <v>-0.35599999999999998</v>
      </c>
    </row>
    <row r="15" spans="1:39" ht="15.75">
      <c r="A15" s="101"/>
      <c r="B15" s="99"/>
      <c r="C15" s="99"/>
      <c r="D15" s="101"/>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34"/>
      <c r="AC15" s="1048"/>
      <c r="AD15" s="134"/>
      <c r="AE15" s="134"/>
      <c r="AF15" s="3073"/>
      <c r="AG15" s="134"/>
      <c r="AH15" s="134"/>
      <c r="AI15" s="967"/>
      <c r="AJ15" s="1079"/>
      <c r="AK15" s="1079"/>
      <c r="AL15" s="1079"/>
    </row>
    <row r="16" spans="1:39" ht="15.75">
      <c r="A16" s="101"/>
      <c r="B16" s="99" t="s">
        <v>192</v>
      </c>
      <c r="C16" s="101"/>
      <c r="D16" s="101"/>
      <c r="E16" s="134"/>
      <c r="F16" s="134"/>
      <c r="G16" s="134"/>
      <c r="H16" s="134"/>
      <c r="I16" s="134"/>
      <c r="J16" s="134"/>
      <c r="K16" s="134"/>
      <c r="L16" s="134"/>
      <c r="M16" s="134"/>
      <c r="N16" s="134"/>
      <c r="O16" s="134"/>
      <c r="P16" s="134"/>
      <c r="Q16" s="134"/>
      <c r="R16" s="134"/>
      <c r="S16" s="134"/>
      <c r="T16" s="134"/>
      <c r="U16" s="134"/>
      <c r="V16" s="134"/>
      <c r="W16" s="134"/>
      <c r="X16" s="134"/>
      <c r="Y16" s="134"/>
      <c r="Z16" s="134"/>
      <c r="AA16" s="134"/>
      <c r="AB16" s="134"/>
      <c r="AC16" s="1048"/>
      <c r="AD16" s="134"/>
      <c r="AE16" s="111"/>
      <c r="AF16" s="3073"/>
      <c r="AG16" s="134"/>
      <c r="AH16" s="134"/>
      <c r="AI16" s="967"/>
      <c r="AJ16" s="1079"/>
      <c r="AK16" s="1079"/>
      <c r="AL16" s="1079"/>
    </row>
    <row r="17" spans="1:38" ht="15.75">
      <c r="A17" s="101"/>
      <c r="B17" s="869" t="s">
        <v>918</v>
      </c>
      <c r="C17" s="101"/>
      <c r="D17" s="101"/>
      <c r="E17" s="1057"/>
      <c r="F17" s="112"/>
      <c r="G17" s="1057"/>
      <c r="H17" s="112"/>
      <c r="I17" s="1057"/>
      <c r="J17" s="112"/>
      <c r="K17" s="1057"/>
      <c r="L17" s="112"/>
      <c r="M17" s="112"/>
      <c r="N17" s="112"/>
      <c r="O17" s="1057"/>
      <c r="P17" s="112"/>
      <c r="Q17" s="1057"/>
      <c r="R17" s="112"/>
      <c r="S17" s="1057"/>
      <c r="T17" s="112"/>
      <c r="U17" s="1057"/>
      <c r="V17" s="112"/>
      <c r="W17" s="1057"/>
      <c r="X17" s="112"/>
      <c r="Y17" s="1057"/>
      <c r="Z17" s="112"/>
      <c r="AA17" s="1057"/>
      <c r="AB17" s="112"/>
      <c r="AC17" s="658"/>
      <c r="AD17" s="3097"/>
      <c r="AE17" s="1058"/>
      <c r="AF17" s="62"/>
      <c r="AG17" s="112"/>
      <c r="AH17" s="113"/>
      <c r="AI17" s="1059"/>
      <c r="AJ17" s="113"/>
      <c r="AK17" s="1060"/>
      <c r="AL17" s="1061"/>
    </row>
    <row r="18" spans="1:38" ht="15.75">
      <c r="A18" s="101"/>
      <c r="B18" s="869" t="s">
        <v>1033</v>
      </c>
      <c r="C18" s="101"/>
      <c r="D18" s="101"/>
      <c r="E18" s="1057"/>
      <c r="F18" s="112"/>
      <c r="G18" s="1057"/>
      <c r="H18" s="112"/>
      <c r="I18" s="1057"/>
      <c r="J18" s="112"/>
      <c r="K18" s="1057"/>
      <c r="L18" s="112"/>
      <c r="M18" s="112"/>
      <c r="N18" s="112"/>
      <c r="O18" s="1057"/>
      <c r="P18" s="112"/>
      <c r="Q18" s="1057"/>
      <c r="R18" s="112"/>
      <c r="S18" s="1057"/>
      <c r="T18" s="112"/>
      <c r="U18" s="1057"/>
      <c r="V18" s="112"/>
      <c r="W18" s="1057"/>
      <c r="X18" s="112"/>
      <c r="Y18" s="1057"/>
      <c r="Z18" s="112"/>
      <c r="AA18" s="1057"/>
      <c r="AB18" s="112"/>
      <c r="AC18" s="658"/>
      <c r="AD18" s="3097"/>
      <c r="AE18" s="1062"/>
      <c r="AF18" s="62"/>
      <c r="AG18" s="112"/>
      <c r="AH18" s="113"/>
      <c r="AI18" s="1059"/>
      <c r="AJ18" s="113"/>
      <c r="AK18" s="1060"/>
      <c r="AL18" s="1680"/>
    </row>
    <row r="19" spans="1:38" s="970" customFormat="1">
      <c r="A19" s="971"/>
      <c r="B19" s="869" t="s">
        <v>951</v>
      </c>
      <c r="C19" s="971"/>
      <c r="D19" s="971"/>
      <c r="E19" s="1498">
        <v>0</v>
      </c>
      <c r="F19" s="872"/>
      <c r="G19" s="1498">
        <f>$AD19-E19</f>
        <v>0</v>
      </c>
      <c r="H19" s="872"/>
      <c r="I19" s="1498"/>
      <c r="J19" s="872"/>
      <c r="K19" s="1498"/>
      <c r="L19" s="872"/>
      <c r="M19" s="1498"/>
      <c r="N19" s="872"/>
      <c r="O19" s="1498"/>
      <c r="P19" s="872"/>
      <c r="Q19" s="1498"/>
      <c r="R19" s="872"/>
      <c r="S19" s="1498"/>
      <c r="T19" s="1384"/>
      <c r="U19" s="1498"/>
      <c r="V19" s="872"/>
      <c r="W19" s="1498"/>
      <c r="X19" s="872"/>
      <c r="Y19" s="1498"/>
      <c r="Z19" s="872"/>
      <c r="AA19" s="1498"/>
      <c r="AB19" s="872"/>
      <c r="AC19" s="1385"/>
      <c r="AD19" s="1498">
        <v>0</v>
      </c>
      <c r="AE19" s="3098"/>
      <c r="AF19" s="1001"/>
      <c r="AG19" s="1498">
        <v>0</v>
      </c>
      <c r="AH19" s="663"/>
      <c r="AI19" s="1883"/>
      <c r="AJ19" s="663">
        <f>ROUND(AD19-AG19,1)</f>
        <v>0</v>
      </c>
      <c r="AK19" s="1676"/>
      <c r="AL19" s="1677">
        <f>ROUND(IF(AG19=0,0,AJ19/ABS(AG19)),3)</f>
        <v>0</v>
      </c>
    </row>
    <row r="20" spans="1:38" s="970" customFormat="1" ht="15.75">
      <c r="A20" s="971"/>
      <c r="B20" s="869" t="s">
        <v>1034</v>
      </c>
      <c r="C20" s="971"/>
      <c r="D20" s="971"/>
      <c r="E20" s="1498" t="s">
        <v>14</v>
      </c>
      <c r="F20" s="872"/>
      <c r="G20" s="1498"/>
      <c r="H20" s="872"/>
      <c r="I20" s="1498"/>
      <c r="J20" s="872"/>
      <c r="K20" s="1498"/>
      <c r="L20" s="872"/>
      <c r="M20" s="1498"/>
      <c r="N20" s="872"/>
      <c r="O20" s="1498"/>
      <c r="P20" s="872"/>
      <c r="Q20" s="1498"/>
      <c r="R20" s="872"/>
      <c r="S20" s="1498"/>
      <c r="T20" s="872"/>
      <c r="U20" s="1498"/>
      <c r="V20" s="872"/>
      <c r="W20" s="1498"/>
      <c r="X20" s="872"/>
      <c r="Y20" s="1498"/>
      <c r="Z20" s="872"/>
      <c r="AA20" s="1498"/>
      <c r="AB20" s="872"/>
      <c r="AC20" s="1385"/>
      <c r="AD20" s="872"/>
      <c r="AE20" s="3098"/>
      <c r="AF20" s="1001"/>
      <c r="AG20" s="872"/>
      <c r="AH20" s="663"/>
      <c r="AI20" s="1059"/>
      <c r="AJ20" s="663" t="s">
        <v>14</v>
      </c>
      <c r="AK20" s="1676"/>
      <c r="AL20" s="1678" t="s">
        <v>14</v>
      </c>
    </row>
    <row r="21" spans="1:38" s="970" customFormat="1" ht="15.75">
      <c r="A21" s="971"/>
      <c r="B21" s="869" t="s">
        <v>952</v>
      </c>
      <c r="C21" s="971"/>
      <c r="D21" s="971"/>
      <c r="E21" s="1498">
        <v>0</v>
      </c>
      <c r="F21" s="872"/>
      <c r="G21" s="1498">
        <f>$AD21-E21</f>
        <v>0</v>
      </c>
      <c r="H21" s="872"/>
      <c r="I21" s="1498"/>
      <c r="J21" s="872"/>
      <c r="K21" s="1498"/>
      <c r="L21" s="872"/>
      <c r="M21" s="1498"/>
      <c r="N21" s="872"/>
      <c r="O21" s="1498"/>
      <c r="P21" s="872"/>
      <c r="Q21" s="1498"/>
      <c r="R21" s="872"/>
      <c r="S21" s="1498"/>
      <c r="T21" s="1498"/>
      <c r="U21" s="1498"/>
      <c r="V21" s="872"/>
      <c r="W21" s="1498"/>
      <c r="X21" s="872"/>
      <c r="Y21" s="1498"/>
      <c r="Z21" s="872"/>
      <c r="AA21" s="1498"/>
      <c r="AB21" s="872"/>
      <c r="AC21" s="1385"/>
      <c r="AD21" s="1498">
        <v>0</v>
      </c>
      <c r="AE21" s="3098"/>
      <c r="AF21" s="1001"/>
      <c r="AG21" s="1498">
        <v>0</v>
      </c>
      <c r="AH21" s="663"/>
      <c r="AI21" s="1059"/>
      <c r="AJ21" s="663">
        <f t="shared" ref="AJ21:AJ41" si="0">ROUND(AD21-AG21,1)</f>
        <v>0</v>
      </c>
      <c r="AK21" s="1676"/>
      <c r="AL21" s="1678">
        <f>ROUND(IF(AG21=0,0,AJ21/ABS(AG21)),3)</f>
        <v>0</v>
      </c>
    </row>
    <row r="22" spans="1:38" s="970" customFormat="1" ht="15.75">
      <c r="A22" s="971"/>
      <c r="B22" s="869" t="s">
        <v>1038</v>
      </c>
      <c r="C22" s="971"/>
      <c r="D22" s="971"/>
      <c r="E22" s="1498" t="s">
        <v>14</v>
      </c>
      <c r="F22" s="872"/>
      <c r="G22" s="1498"/>
      <c r="H22" s="872"/>
      <c r="I22" s="1498"/>
      <c r="J22" s="872"/>
      <c r="K22" s="1498"/>
      <c r="L22" s="872"/>
      <c r="M22" s="1498"/>
      <c r="N22" s="872"/>
      <c r="O22" s="1498"/>
      <c r="P22" s="872"/>
      <c r="Q22" s="1498"/>
      <c r="R22" s="872"/>
      <c r="S22" s="1498"/>
      <c r="T22" s="872"/>
      <c r="U22" s="1498"/>
      <c r="V22" s="872"/>
      <c r="W22" s="1498"/>
      <c r="X22" s="872"/>
      <c r="Y22" s="1498"/>
      <c r="Z22" s="872"/>
      <c r="AA22" s="1498"/>
      <c r="AB22" s="872"/>
      <c r="AC22" s="1385"/>
      <c r="AD22" s="872"/>
      <c r="AE22" s="3098"/>
      <c r="AF22" s="1001"/>
      <c r="AG22" s="872"/>
      <c r="AH22" s="663"/>
      <c r="AI22" s="1059"/>
      <c r="AJ22" s="663" t="s">
        <v>14</v>
      </c>
      <c r="AK22" s="1676"/>
      <c r="AL22" s="1678" t="s">
        <v>14</v>
      </c>
    </row>
    <row r="23" spans="1:38" s="970" customFormat="1" ht="15.75">
      <c r="A23" s="971"/>
      <c r="B23" s="869" t="s">
        <v>956</v>
      </c>
      <c r="C23" s="971"/>
      <c r="D23" s="971"/>
      <c r="E23" s="1498">
        <v>0</v>
      </c>
      <c r="F23" s="872"/>
      <c r="G23" s="1498">
        <f t="shared" ref="G23:G29" si="1">$AD23-E23</f>
        <v>0</v>
      </c>
      <c r="H23" s="872"/>
      <c r="I23" s="1498"/>
      <c r="J23" s="872"/>
      <c r="K23" s="1498"/>
      <c r="L23" s="872"/>
      <c r="M23" s="1498"/>
      <c r="N23" s="872"/>
      <c r="O23" s="1498"/>
      <c r="P23" s="872"/>
      <c r="Q23" s="1498"/>
      <c r="R23" s="872"/>
      <c r="S23" s="1498"/>
      <c r="T23" s="1498"/>
      <c r="U23" s="1498"/>
      <c r="V23" s="872"/>
      <c r="W23" s="1498"/>
      <c r="X23" s="872"/>
      <c r="Y23" s="1498"/>
      <c r="Z23" s="872"/>
      <c r="AA23" s="1498"/>
      <c r="AB23" s="872"/>
      <c r="AC23" s="1385"/>
      <c r="AD23" s="1498">
        <v>0</v>
      </c>
      <c r="AE23" s="3098"/>
      <c r="AF23" s="1001"/>
      <c r="AG23" s="1498">
        <v>0</v>
      </c>
      <c r="AH23" s="663"/>
      <c r="AI23" s="1059"/>
      <c r="AJ23" s="663">
        <f t="shared" si="0"/>
        <v>0</v>
      </c>
      <c r="AK23" s="1676"/>
      <c r="AL23" s="1678">
        <f t="shared" ref="AL23:AL28" si="2">ROUND(IF(AG23=0,0,AJ23/ABS(AG23)),3)</f>
        <v>0</v>
      </c>
    </row>
    <row r="24" spans="1:38" s="970" customFormat="1" ht="15.75">
      <c r="A24" s="971"/>
      <c r="B24" s="869" t="s">
        <v>1093</v>
      </c>
      <c r="C24" s="971"/>
      <c r="D24" s="971"/>
      <c r="E24" s="1498">
        <v>0</v>
      </c>
      <c r="F24" s="872"/>
      <c r="G24" s="1498">
        <f t="shared" si="1"/>
        <v>0</v>
      </c>
      <c r="H24" s="872"/>
      <c r="I24" s="1498"/>
      <c r="J24" s="872"/>
      <c r="K24" s="1498"/>
      <c r="L24" s="872"/>
      <c r="M24" s="1498"/>
      <c r="N24" s="872"/>
      <c r="O24" s="1498"/>
      <c r="P24" s="872"/>
      <c r="Q24" s="1498"/>
      <c r="R24" s="872"/>
      <c r="S24" s="1498"/>
      <c r="T24" s="1498"/>
      <c r="U24" s="1498"/>
      <c r="V24" s="872"/>
      <c r="W24" s="1498"/>
      <c r="X24" s="872"/>
      <c r="Y24" s="1498"/>
      <c r="Z24" s="872"/>
      <c r="AA24" s="1498"/>
      <c r="AB24" s="872"/>
      <c r="AC24" s="1385"/>
      <c r="AD24" s="1498">
        <v>0</v>
      </c>
      <c r="AE24" s="3098"/>
      <c r="AF24" s="1001"/>
      <c r="AG24" s="1498">
        <v>0</v>
      </c>
      <c r="AH24" s="663"/>
      <c r="AI24" s="1059"/>
      <c r="AJ24" s="663">
        <f>ROUND(AD24-AG24,1)</f>
        <v>0</v>
      </c>
      <c r="AK24" s="1676"/>
      <c r="AL24" s="1678">
        <f t="shared" si="2"/>
        <v>0</v>
      </c>
    </row>
    <row r="25" spans="1:38" s="970" customFormat="1" ht="15.75">
      <c r="A25" s="971"/>
      <c r="B25" s="869" t="s">
        <v>959</v>
      </c>
      <c r="C25" s="971"/>
      <c r="D25" s="971"/>
      <c r="E25" s="1498">
        <v>0</v>
      </c>
      <c r="F25" s="872"/>
      <c r="G25" s="1498">
        <f t="shared" si="1"/>
        <v>0</v>
      </c>
      <c r="H25" s="872"/>
      <c r="I25" s="1498"/>
      <c r="J25" s="872"/>
      <c r="K25" s="1498"/>
      <c r="L25" s="872"/>
      <c r="M25" s="1498"/>
      <c r="N25" s="872"/>
      <c r="O25" s="1498"/>
      <c r="P25" s="872"/>
      <c r="Q25" s="1498"/>
      <c r="R25" s="872"/>
      <c r="S25" s="1498"/>
      <c r="T25" s="1498"/>
      <c r="U25" s="1498"/>
      <c r="V25" s="872"/>
      <c r="W25" s="1498"/>
      <c r="X25" s="872"/>
      <c r="Y25" s="1498"/>
      <c r="Z25" s="872"/>
      <c r="AA25" s="1498"/>
      <c r="AB25" s="872"/>
      <c r="AC25" s="1385"/>
      <c r="AD25" s="1498">
        <v>0</v>
      </c>
      <c r="AE25" s="3098"/>
      <c r="AF25" s="1001"/>
      <c r="AG25" s="1498">
        <v>0</v>
      </c>
      <c r="AH25" s="663"/>
      <c r="AI25" s="1059"/>
      <c r="AJ25" s="663">
        <f t="shared" si="0"/>
        <v>0</v>
      </c>
      <c r="AK25" s="1676"/>
      <c r="AL25" s="1678">
        <f t="shared" si="2"/>
        <v>0</v>
      </c>
    </row>
    <row r="26" spans="1:38" s="970" customFormat="1" ht="15.75">
      <c r="A26" s="971"/>
      <c r="B26" s="869" t="s">
        <v>960</v>
      </c>
      <c r="C26" s="971"/>
      <c r="D26" s="971"/>
      <c r="E26" s="1498">
        <v>0</v>
      </c>
      <c r="F26" s="872"/>
      <c r="G26" s="1498">
        <f t="shared" si="1"/>
        <v>0</v>
      </c>
      <c r="H26" s="872"/>
      <c r="I26" s="1498"/>
      <c r="J26" s="872"/>
      <c r="K26" s="1498"/>
      <c r="L26" s="872"/>
      <c r="M26" s="1498"/>
      <c r="N26" s="872"/>
      <c r="O26" s="1498"/>
      <c r="P26" s="872"/>
      <c r="Q26" s="1498"/>
      <c r="R26" s="872"/>
      <c r="S26" s="1498"/>
      <c r="T26" s="1498"/>
      <c r="U26" s="1498"/>
      <c r="V26" s="872"/>
      <c r="W26" s="1498"/>
      <c r="X26" s="872"/>
      <c r="Y26" s="1498"/>
      <c r="Z26" s="872"/>
      <c r="AA26" s="1498"/>
      <c r="AB26" s="872"/>
      <c r="AC26" s="1385"/>
      <c r="AD26" s="1498">
        <v>0</v>
      </c>
      <c r="AE26" s="3098"/>
      <c r="AF26" s="1001"/>
      <c r="AG26" s="1498">
        <v>0</v>
      </c>
      <c r="AH26" s="663"/>
      <c r="AI26" s="1059"/>
      <c r="AJ26" s="663">
        <f t="shared" si="0"/>
        <v>0</v>
      </c>
      <c r="AK26" s="1676"/>
      <c r="AL26" s="1678">
        <f t="shared" si="2"/>
        <v>0</v>
      </c>
    </row>
    <row r="27" spans="1:38" s="970" customFormat="1" ht="15.75">
      <c r="A27" s="971"/>
      <c r="B27" s="869" t="s">
        <v>919</v>
      </c>
      <c r="C27" s="971"/>
      <c r="D27" s="971"/>
      <c r="E27" s="1498">
        <v>0</v>
      </c>
      <c r="F27" s="872"/>
      <c r="G27" s="1498">
        <f t="shared" si="1"/>
        <v>0</v>
      </c>
      <c r="H27" s="872"/>
      <c r="I27" s="1498"/>
      <c r="J27" s="872"/>
      <c r="K27" s="1498"/>
      <c r="L27" s="872"/>
      <c r="M27" s="1498"/>
      <c r="N27" s="872"/>
      <c r="O27" s="1498"/>
      <c r="P27" s="872"/>
      <c r="Q27" s="1498"/>
      <c r="R27" s="872"/>
      <c r="S27" s="1498"/>
      <c r="T27" s="1498"/>
      <c r="U27" s="1498"/>
      <c r="V27" s="872"/>
      <c r="W27" s="1498"/>
      <c r="X27" s="872"/>
      <c r="Y27" s="1498"/>
      <c r="Z27" s="872"/>
      <c r="AA27" s="1498"/>
      <c r="AB27" s="872"/>
      <c r="AC27" s="1385"/>
      <c r="AD27" s="1498">
        <v>0</v>
      </c>
      <c r="AE27" s="3098"/>
      <c r="AF27" s="1001"/>
      <c r="AG27" s="1498">
        <v>0</v>
      </c>
      <c r="AH27" s="663"/>
      <c r="AI27" s="1059"/>
      <c r="AJ27" s="663">
        <f t="shared" si="0"/>
        <v>0</v>
      </c>
      <c r="AK27" s="1676"/>
      <c r="AL27" s="1678">
        <f t="shared" si="2"/>
        <v>0</v>
      </c>
    </row>
    <row r="28" spans="1:38" s="970" customFormat="1" ht="15.75">
      <c r="A28" s="971"/>
      <c r="B28" s="869" t="s">
        <v>920</v>
      </c>
      <c r="C28" s="971"/>
      <c r="D28" s="971"/>
      <c r="E28" s="1498">
        <v>0</v>
      </c>
      <c r="F28" s="872"/>
      <c r="G28" s="1498">
        <f t="shared" si="1"/>
        <v>0</v>
      </c>
      <c r="H28" s="872"/>
      <c r="I28" s="1498"/>
      <c r="J28" s="872"/>
      <c r="K28" s="1498"/>
      <c r="L28" s="872"/>
      <c r="M28" s="1498"/>
      <c r="N28" s="872"/>
      <c r="O28" s="1498"/>
      <c r="P28" s="872"/>
      <c r="Q28" s="1498"/>
      <c r="R28" s="872"/>
      <c r="S28" s="1498"/>
      <c r="T28" s="1498"/>
      <c r="U28" s="1498"/>
      <c r="V28" s="872"/>
      <c r="W28" s="1498"/>
      <c r="X28" s="872"/>
      <c r="Y28" s="1498"/>
      <c r="Z28" s="872"/>
      <c r="AA28" s="1498"/>
      <c r="AB28" s="872"/>
      <c r="AC28" s="1385"/>
      <c r="AD28" s="1498">
        <v>0</v>
      </c>
      <c r="AE28" s="3098"/>
      <c r="AF28" s="1001"/>
      <c r="AG28" s="1498">
        <v>0</v>
      </c>
      <c r="AH28" s="663"/>
      <c r="AI28" s="1059"/>
      <c r="AJ28" s="663">
        <f t="shared" si="0"/>
        <v>0</v>
      </c>
      <c r="AK28" s="1676"/>
      <c r="AL28" s="1678">
        <f t="shared" si="2"/>
        <v>0</v>
      </c>
    </row>
    <row r="29" spans="1:38" ht="15.75">
      <c r="A29" s="101"/>
      <c r="B29" s="869" t="s">
        <v>937</v>
      </c>
      <c r="C29" s="101"/>
      <c r="D29" s="101"/>
      <c r="E29" s="1498">
        <v>0</v>
      </c>
      <c r="F29" s="872"/>
      <c r="G29" s="1498">
        <f t="shared" si="1"/>
        <v>0</v>
      </c>
      <c r="H29" s="872"/>
      <c r="I29" s="1498"/>
      <c r="J29" s="872"/>
      <c r="K29" s="1498"/>
      <c r="L29" s="872"/>
      <c r="M29" s="1498"/>
      <c r="N29" s="872"/>
      <c r="O29" s="1498"/>
      <c r="P29" s="872"/>
      <c r="Q29" s="1498"/>
      <c r="R29" s="872"/>
      <c r="S29" s="1498"/>
      <c r="T29" s="1498"/>
      <c r="U29" s="1498"/>
      <c r="V29" s="872"/>
      <c r="W29" s="1498"/>
      <c r="X29" s="872"/>
      <c r="Y29" s="1498"/>
      <c r="Z29" s="872"/>
      <c r="AA29" s="1498"/>
      <c r="AB29" s="872"/>
      <c r="AC29" s="1385"/>
      <c r="AD29" s="1498">
        <v>0</v>
      </c>
      <c r="AE29" s="3098"/>
      <c r="AF29" s="1001"/>
      <c r="AG29" s="1498">
        <v>0</v>
      </c>
      <c r="AH29" s="113"/>
      <c r="AI29" s="1059"/>
      <c r="AJ29" s="113">
        <f>ROUND(AD29-AG29,1)</f>
        <v>0</v>
      </c>
      <c r="AK29" s="1060"/>
      <c r="AL29" s="1603">
        <f>ROUND(IF(AG29=0,0,AJ29/ABS(AG29)),3)</f>
        <v>0</v>
      </c>
    </row>
    <row r="30" spans="1:38" s="970" customFormat="1" ht="15.75">
      <c r="A30" s="971"/>
      <c r="B30" s="869" t="s">
        <v>1036</v>
      </c>
      <c r="C30" s="971"/>
      <c r="D30" s="971"/>
      <c r="E30" s="1498" t="s">
        <v>14</v>
      </c>
      <c r="F30" s="872"/>
      <c r="G30" s="1498"/>
      <c r="H30" s="872"/>
      <c r="I30" s="1498"/>
      <c r="J30" s="872"/>
      <c r="K30" s="1498"/>
      <c r="L30" s="872"/>
      <c r="M30" s="1498"/>
      <c r="N30" s="872"/>
      <c r="O30" s="1498"/>
      <c r="P30" s="872"/>
      <c r="Q30" s="1498"/>
      <c r="R30" s="872"/>
      <c r="S30" s="1498"/>
      <c r="T30" s="872"/>
      <c r="U30" s="1498"/>
      <c r="V30" s="872"/>
      <c r="W30" s="1498"/>
      <c r="X30" s="872"/>
      <c r="Y30" s="1498"/>
      <c r="Z30" s="872"/>
      <c r="AA30" s="1498"/>
      <c r="AB30" s="872"/>
      <c r="AC30" s="1385"/>
      <c r="AD30" s="872"/>
      <c r="AE30" s="3098"/>
      <c r="AF30" s="1001"/>
      <c r="AG30" s="872"/>
      <c r="AH30" s="663"/>
      <c r="AI30" s="1059"/>
      <c r="AJ30" s="663" t="s">
        <v>14</v>
      </c>
      <c r="AK30" s="1676"/>
      <c r="AL30" s="1678" t="s">
        <v>14</v>
      </c>
    </row>
    <row r="31" spans="1:38" s="970" customFormat="1" ht="15.75">
      <c r="A31" s="971"/>
      <c r="B31" s="869" t="s">
        <v>963</v>
      </c>
      <c r="C31" s="971"/>
      <c r="D31" s="971"/>
      <c r="E31" s="1498">
        <v>0</v>
      </c>
      <c r="F31" s="872"/>
      <c r="G31" s="1498">
        <f t="shared" ref="G31:G34" si="3">$AD31-E31</f>
        <v>0</v>
      </c>
      <c r="H31" s="872"/>
      <c r="I31" s="1498"/>
      <c r="J31" s="872"/>
      <c r="K31" s="1498"/>
      <c r="L31" s="872"/>
      <c r="M31" s="1498"/>
      <c r="N31" s="872"/>
      <c r="O31" s="1498"/>
      <c r="P31" s="872"/>
      <c r="Q31" s="1498"/>
      <c r="R31" s="872"/>
      <c r="S31" s="1498"/>
      <c r="T31" s="1498"/>
      <c r="U31" s="1498"/>
      <c r="V31" s="872"/>
      <c r="W31" s="1498"/>
      <c r="X31" s="872"/>
      <c r="Y31" s="1498"/>
      <c r="Z31" s="872"/>
      <c r="AA31" s="1498"/>
      <c r="AB31" s="872"/>
      <c r="AC31" s="1385"/>
      <c r="AD31" s="1498">
        <v>0</v>
      </c>
      <c r="AE31" s="3098"/>
      <c r="AF31" s="1001"/>
      <c r="AG31" s="1498">
        <v>0</v>
      </c>
      <c r="AH31" s="663"/>
      <c r="AI31" s="1059"/>
      <c r="AJ31" s="663">
        <f t="shared" si="0"/>
        <v>0</v>
      </c>
      <c r="AK31" s="1676"/>
      <c r="AL31" s="1678">
        <f>ROUND(IF(AG31=0,0,AJ31/ABS(AG31)),3)</f>
        <v>0</v>
      </c>
    </row>
    <row r="32" spans="1:38" s="970" customFormat="1" ht="15.75">
      <c r="A32" s="971"/>
      <c r="B32" s="869" t="s">
        <v>965</v>
      </c>
      <c r="C32" s="971"/>
      <c r="D32" s="971"/>
      <c r="E32" s="1498">
        <v>0</v>
      </c>
      <c r="F32" s="1498"/>
      <c r="G32" s="1498">
        <f t="shared" si="3"/>
        <v>0</v>
      </c>
      <c r="H32" s="1498"/>
      <c r="I32" s="1498"/>
      <c r="J32" s="1498"/>
      <c r="K32" s="1498"/>
      <c r="L32" s="1498"/>
      <c r="M32" s="1498"/>
      <c r="N32" s="872"/>
      <c r="O32" s="1498"/>
      <c r="P32" s="872"/>
      <c r="Q32" s="1498"/>
      <c r="R32" s="872"/>
      <c r="S32" s="1498"/>
      <c r="T32" s="1498"/>
      <c r="U32" s="1498"/>
      <c r="V32" s="872"/>
      <c r="W32" s="1498"/>
      <c r="X32" s="872"/>
      <c r="Y32" s="1498"/>
      <c r="Z32" s="872"/>
      <c r="AA32" s="1498"/>
      <c r="AB32" s="872"/>
      <c r="AC32" s="1385"/>
      <c r="AD32" s="1498">
        <v>0</v>
      </c>
      <c r="AE32" s="3098"/>
      <c r="AF32" s="1001"/>
      <c r="AG32" s="1498">
        <v>0</v>
      </c>
      <c r="AH32" s="663"/>
      <c r="AI32" s="1059"/>
      <c r="AJ32" s="663">
        <f t="shared" si="0"/>
        <v>0</v>
      </c>
      <c r="AK32" s="1676"/>
      <c r="AL32" s="1678">
        <f>ROUND(IF(AG32=0,0,AJ32/ABS(AG32)),3)</f>
        <v>0</v>
      </c>
    </row>
    <row r="33" spans="1:39" s="970" customFormat="1" ht="15.75">
      <c r="A33" s="971"/>
      <c r="B33" s="869" t="s">
        <v>966</v>
      </c>
      <c r="C33" s="971"/>
      <c r="D33" s="971"/>
      <c r="E33" s="1498">
        <v>0</v>
      </c>
      <c r="F33" s="872"/>
      <c r="G33" s="1498">
        <f t="shared" si="3"/>
        <v>0</v>
      </c>
      <c r="H33" s="872"/>
      <c r="I33" s="1498"/>
      <c r="J33" s="872"/>
      <c r="K33" s="1498"/>
      <c r="L33" s="872"/>
      <c r="M33" s="1498"/>
      <c r="N33" s="872"/>
      <c r="O33" s="1498"/>
      <c r="P33" s="872"/>
      <c r="Q33" s="1498"/>
      <c r="R33" s="872"/>
      <c r="S33" s="1498"/>
      <c r="T33" s="1498"/>
      <c r="U33" s="1498"/>
      <c r="V33" s="872"/>
      <c r="W33" s="1498"/>
      <c r="X33" s="872"/>
      <c r="Y33" s="1498"/>
      <c r="Z33" s="872"/>
      <c r="AA33" s="1498"/>
      <c r="AB33" s="872"/>
      <c r="AC33" s="1385"/>
      <c r="AD33" s="1498">
        <v>0</v>
      </c>
      <c r="AE33" s="3098"/>
      <c r="AF33" s="1001"/>
      <c r="AG33" s="1498">
        <v>0</v>
      </c>
      <c r="AH33" s="663"/>
      <c r="AI33" s="1059"/>
      <c r="AJ33" s="663">
        <f>ROUND(AD33-AG33,1)</f>
        <v>0</v>
      </c>
      <c r="AK33" s="1676"/>
      <c r="AL33" s="1678">
        <f>ROUND(IF(AG33=0,0,AJ33/ABS(AG33)),3)</f>
        <v>0</v>
      </c>
    </row>
    <row r="34" spans="1:39" ht="15.75">
      <c r="A34" s="101"/>
      <c r="B34" s="869" t="s">
        <v>938</v>
      </c>
      <c r="C34" s="101"/>
      <c r="D34" s="101"/>
      <c r="E34" s="1498">
        <v>0</v>
      </c>
      <c r="F34" s="872"/>
      <c r="G34" s="1498">
        <f t="shared" si="3"/>
        <v>0</v>
      </c>
      <c r="H34" s="872"/>
      <c r="I34" s="1498"/>
      <c r="J34" s="872"/>
      <c r="K34" s="1498"/>
      <c r="L34" s="872"/>
      <c r="M34" s="1498"/>
      <c r="N34" s="872"/>
      <c r="O34" s="1498"/>
      <c r="P34" s="872"/>
      <c r="Q34" s="1498"/>
      <c r="R34" s="872"/>
      <c r="S34" s="1498"/>
      <c r="T34" s="1498"/>
      <c r="U34" s="1498"/>
      <c r="V34" s="872"/>
      <c r="W34" s="1498"/>
      <c r="X34" s="872"/>
      <c r="Y34" s="1498"/>
      <c r="Z34" s="872"/>
      <c r="AA34" s="1498"/>
      <c r="AB34" s="872"/>
      <c r="AC34" s="1385"/>
      <c r="AD34" s="1498">
        <v>0</v>
      </c>
      <c r="AE34" s="3098"/>
      <c r="AF34" s="1001"/>
      <c r="AG34" s="1498">
        <v>0</v>
      </c>
      <c r="AH34" s="113"/>
      <c r="AI34" s="1059"/>
      <c r="AJ34" s="113">
        <f t="shared" si="0"/>
        <v>0</v>
      </c>
      <c r="AK34" s="1060"/>
      <c r="AL34" s="1603">
        <f>ROUND(IF(AG34=0,0,AJ34/ABS(AG34)),3)</f>
        <v>0</v>
      </c>
    </row>
    <row r="35" spans="1:39" ht="15.75">
      <c r="A35" s="101"/>
      <c r="B35" s="869" t="s">
        <v>1037</v>
      </c>
      <c r="C35" s="101"/>
      <c r="D35" s="101"/>
      <c r="E35" s="1498" t="s">
        <v>14</v>
      </c>
      <c r="F35" s="872"/>
      <c r="G35" s="1498"/>
      <c r="H35" s="872"/>
      <c r="I35" s="1498"/>
      <c r="J35" s="872"/>
      <c r="K35" s="1498"/>
      <c r="L35" s="872"/>
      <c r="M35" s="1498"/>
      <c r="N35" s="112"/>
      <c r="O35" s="1498"/>
      <c r="P35" s="112"/>
      <c r="Q35" s="1498"/>
      <c r="R35" s="112"/>
      <c r="S35" s="1498"/>
      <c r="T35" s="112"/>
      <c r="U35" s="1498"/>
      <c r="V35" s="112"/>
      <c r="W35" s="1498"/>
      <c r="X35" s="112"/>
      <c r="Y35" s="1498"/>
      <c r="Z35" s="112"/>
      <c r="AA35" s="1498"/>
      <c r="AB35" s="112"/>
      <c r="AC35" s="658"/>
      <c r="AD35" s="112"/>
      <c r="AE35" s="1062"/>
      <c r="AF35" s="62"/>
      <c r="AG35" s="112"/>
      <c r="AH35" s="113"/>
      <c r="AI35" s="1059"/>
      <c r="AJ35" s="663" t="s">
        <v>14</v>
      </c>
      <c r="AK35" s="1060"/>
      <c r="AL35" s="1678" t="s">
        <v>14</v>
      </c>
    </row>
    <row r="36" spans="1:39" ht="15.75">
      <c r="A36" s="101"/>
      <c r="B36" s="869" t="s">
        <v>967</v>
      </c>
      <c r="C36" s="101"/>
      <c r="D36" s="101"/>
      <c r="E36" s="1498">
        <v>0</v>
      </c>
      <c r="F36" s="872"/>
      <c r="G36" s="1498">
        <f t="shared" ref="G36:G41" si="4">$AD36-E36</f>
        <v>0</v>
      </c>
      <c r="H36" s="872"/>
      <c r="I36" s="1498"/>
      <c r="J36" s="872"/>
      <c r="K36" s="1498"/>
      <c r="L36" s="872"/>
      <c r="M36" s="1498"/>
      <c r="N36" s="872"/>
      <c r="O36" s="1498"/>
      <c r="P36" s="872"/>
      <c r="Q36" s="1498"/>
      <c r="R36" s="872"/>
      <c r="S36" s="1498"/>
      <c r="T36" s="1498"/>
      <c r="U36" s="1498"/>
      <c r="V36" s="872"/>
      <c r="W36" s="1498"/>
      <c r="X36" s="872"/>
      <c r="Y36" s="1498"/>
      <c r="Z36" s="872"/>
      <c r="AA36" s="1498"/>
      <c r="AB36" s="872"/>
      <c r="AC36" s="1385"/>
      <c r="AD36" s="1498">
        <v>0</v>
      </c>
      <c r="AE36" s="3098"/>
      <c r="AF36" s="1001"/>
      <c r="AG36" s="1498">
        <v>0</v>
      </c>
      <c r="AH36" s="113"/>
      <c r="AI36" s="1059"/>
      <c r="AJ36" s="113">
        <f t="shared" si="0"/>
        <v>0</v>
      </c>
      <c r="AK36" s="1060"/>
      <c r="AL36" s="1680">
        <f t="shared" ref="AL36:AL42" si="5">ROUND(IF(AG36=0,0,AJ36/ABS(AG36)),3)</f>
        <v>0</v>
      </c>
    </row>
    <row r="37" spans="1:39" ht="15.75">
      <c r="A37" s="101"/>
      <c r="B37" s="869" t="s">
        <v>969</v>
      </c>
      <c r="C37" s="101"/>
      <c r="D37" s="101"/>
      <c r="E37" s="1498">
        <v>0</v>
      </c>
      <c r="F37" s="872"/>
      <c r="G37" s="1498">
        <f t="shared" si="4"/>
        <v>0</v>
      </c>
      <c r="H37" s="872"/>
      <c r="I37" s="1498"/>
      <c r="J37" s="872"/>
      <c r="K37" s="1498"/>
      <c r="L37" s="872"/>
      <c r="M37" s="1498"/>
      <c r="N37" s="872"/>
      <c r="O37" s="1498"/>
      <c r="P37" s="872"/>
      <c r="Q37" s="1498"/>
      <c r="R37" s="872"/>
      <c r="S37" s="1498"/>
      <c r="T37" s="1498"/>
      <c r="U37" s="1498"/>
      <c r="V37" s="872"/>
      <c r="W37" s="1498"/>
      <c r="X37" s="872"/>
      <c r="Y37" s="1498"/>
      <c r="Z37" s="872"/>
      <c r="AA37" s="1498"/>
      <c r="AB37" s="872"/>
      <c r="AC37" s="1385"/>
      <c r="AD37" s="1498">
        <v>0</v>
      </c>
      <c r="AE37" s="3098"/>
      <c r="AF37" s="1001"/>
      <c r="AG37" s="1498">
        <v>0</v>
      </c>
      <c r="AH37" s="113"/>
      <c r="AI37" s="1059"/>
      <c r="AJ37" s="113">
        <f t="shared" si="0"/>
        <v>0</v>
      </c>
      <c r="AK37" s="1060"/>
      <c r="AL37" s="1680">
        <f t="shared" si="5"/>
        <v>0</v>
      </c>
    </row>
    <row r="38" spans="1:39" ht="15.75">
      <c r="A38" s="101"/>
      <c r="B38" s="869" t="s">
        <v>970</v>
      </c>
      <c r="C38" s="101"/>
      <c r="D38" s="101"/>
      <c r="E38" s="1498">
        <v>0</v>
      </c>
      <c r="F38" s="872"/>
      <c r="G38" s="1498">
        <f t="shared" si="4"/>
        <v>0</v>
      </c>
      <c r="H38" s="872"/>
      <c r="I38" s="1498"/>
      <c r="J38" s="872"/>
      <c r="K38" s="1498"/>
      <c r="L38" s="872"/>
      <c r="M38" s="1498"/>
      <c r="N38" s="872"/>
      <c r="O38" s="1498"/>
      <c r="P38" s="872"/>
      <c r="Q38" s="1498"/>
      <c r="R38" s="872"/>
      <c r="S38" s="1498"/>
      <c r="T38" s="1498"/>
      <c r="U38" s="1498"/>
      <c r="V38" s="872"/>
      <c r="W38" s="1498"/>
      <c r="X38" s="872"/>
      <c r="Y38" s="1498"/>
      <c r="Z38" s="872"/>
      <c r="AA38" s="1498"/>
      <c r="AB38" s="872"/>
      <c r="AC38" s="1385"/>
      <c r="AD38" s="1498">
        <v>0</v>
      </c>
      <c r="AE38" s="3098"/>
      <c r="AF38" s="1001"/>
      <c r="AG38" s="1498">
        <v>0</v>
      </c>
      <c r="AH38" s="113"/>
      <c r="AI38" s="1059"/>
      <c r="AJ38" s="113">
        <f t="shared" si="0"/>
        <v>0</v>
      </c>
      <c r="AK38" s="1060"/>
      <c r="AL38" s="1603">
        <f>-ROUND(IF(AG38=0,0,AJ38/ABS(AG38)),3)</f>
        <v>0</v>
      </c>
    </row>
    <row r="39" spans="1:39" ht="15.75">
      <c r="A39" s="101"/>
      <c r="B39" s="869" t="s">
        <v>973</v>
      </c>
      <c r="C39" s="101"/>
      <c r="D39" s="101"/>
      <c r="E39" s="1498">
        <v>0</v>
      </c>
      <c r="F39" s="872"/>
      <c r="G39" s="1498">
        <f t="shared" si="4"/>
        <v>0</v>
      </c>
      <c r="H39" s="872"/>
      <c r="I39" s="1498"/>
      <c r="J39" s="872"/>
      <c r="K39" s="1498"/>
      <c r="L39" s="872"/>
      <c r="M39" s="1498"/>
      <c r="N39" s="872"/>
      <c r="O39" s="1498"/>
      <c r="P39" s="872"/>
      <c r="Q39" s="1498"/>
      <c r="R39" s="872"/>
      <c r="S39" s="1498"/>
      <c r="T39" s="1498"/>
      <c r="U39" s="1498"/>
      <c r="V39" s="872"/>
      <c r="W39" s="1498"/>
      <c r="X39" s="872"/>
      <c r="Y39" s="1498"/>
      <c r="Z39" s="872"/>
      <c r="AA39" s="1498"/>
      <c r="AB39" s="872"/>
      <c r="AC39" s="1385"/>
      <c r="AD39" s="1498">
        <v>0</v>
      </c>
      <c r="AE39" s="3098"/>
      <c r="AF39" s="1001"/>
      <c r="AG39" s="1498">
        <v>0</v>
      </c>
      <c r="AH39" s="113"/>
      <c r="AI39" s="1059"/>
      <c r="AJ39" s="113">
        <f t="shared" si="0"/>
        <v>0</v>
      </c>
      <c r="AK39" s="1060"/>
      <c r="AL39" s="1680">
        <f t="shared" si="5"/>
        <v>0</v>
      </c>
    </row>
    <row r="40" spans="1:39" ht="15.75">
      <c r="A40" s="101"/>
      <c r="B40" s="869" t="s">
        <v>975</v>
      </c>
      <c r="C40" s="101"/>
      <c r="D40" s="101"/>
      <c r="E40" s="1498">
        <v>0</v>
      </c>
      <c r="F40" s="872"/>
      <c r="G40" s="1498">
        <f t="shared" si="4"/>
        <v>0</v>
      </c>
      <c r="H40" s="872"/>
      <c r="I40" s="1498"/>
      <c r="J40" s="872"/>
      <c r="K40" s="1498"/>
      <c r="L40" s="872"/>
      <c r="M40" s="1498"/>
      <c r="N40" s="872"/>
      <c r="O40" s="1498"/>
      <c r="P40" s="872"/>
      <c r="Q40" s="1498"/>
      <c r="R40" s="872"/>
      <c r="S40" s="1498"/>
      <c r="T40" s="1498"/>
      <c r="U40" s="1498"/>
      <c r="V40" s="872"/>
      <c r="W40" s="1498"/>
      <c r="X40" s="872"/>
      <c r="Y40" s="1498"/>
      <c r="Z40" s="872"/>
      <c r="AA40" s="1498"/>
      <c r="AB40" s="872"/>
      <c r="AC40" s="1385"/>
      <c r="AD40" s="1498">
        <v>0</v>
      </c>
      <c r="AE40" s="3098"/>
      <c r="AF40" s="1001"/>
      <c r="AG40" s="1498">
        <v>0</v>
      </c>
      <c r="AH40" s="113"/>
      <c r="AI40" s="1059"/>
      <c r="AJ40" s="113">
        <f t="shared" si="0"/>
        <v>0</v>
      </c>
      <c r="AK40" s="1060"/>
      <c r="AL40" s="1680">
        <f t="shared" si="5"/>
        <v>0</v>
      </c>
    </row>
    <row r="41" spans="1:39" ht="15.75">
      <c r="A41" s="101"/>
      <c r="B41" s="869" t="s">
        <v>948</v>
      </c>
      <c r="C41" s="101"/>
      <c r="D41" s="101"/>
      <c r="E41" s="1498">
        <v>0</v>
      </c>
      <c r="F41" s="872"/>
      <c r="G41" s="1498">
        <f t="shared" si="4"/>
        <v>0</v>
      </c>
      <c r="H41" s="872"/>
      <c r="I41" s="1498"/>
      <c r="J41" s="872"/>
      <c r="K41" s="1498"/>
      <c r="L41" s="872"/>
      <c r="M41" s="1498"/>
      <c r="N41" s="1494"/>
      <c r="O41" s="1498"/>
      <c r="P41" s="1494"/>
      <c r="Q41" s="1498"/>
      <c r="R41" s="1494"/>
      <c r="S41" s="1498"/>
      <c r="T41" s="1494"/>
      <c r="U41" s="1498"/>
      <c r="V41" s="1494"/>
      <c r="W41" s="1498"/>
      <c r="X41" s="1494"/>
      <c r="Y41" s="1498"/>
      <c r="Z41" s="1494"/>
      <c r="AA41" s="1498"/>
      <c r="AB41" s="112"/>
      <c r="AC41" s="658"/>
      <c r="AD41" s="1741">
        <v>0</v>
      </c>
      <c r="AE41" s="3083"/>
      <c r="AF41" s="1920"/>
      <c r="AG41" s="1758">
        <v>0</v>
      </c>
      <c r="AH41" s="113"/>
      <c r="AI41" s="1059"/>
      <c r="AJ41" s="113">
        <f t="shared" si="0"/>
        <v>0</v>
      </c>
      <c r="AK41" s="1060"/>
      <c r="AL41" s="1677">
        <f>ROUND(IF(AG41=0,0,AJ41/ABS(AG41)),3)</f>
        <v>0</v>
      </c>
    </row>
    <row r="42" spans="1:39" s="3578" customFormat="1" ht="15.75" collapsed="1">
      <c r="A42" s="99"/>
      <c r="B42" s="304" t="s">
        <v>982</v>
      </c>
      <c r="C42" s="99"/>
      <c r="D42" s="99"/>
      <c r="E42" s="1497">
        <f>ROUND(SUM(E19:E41),1)</f>
        <v>0</v>
      </c>
      <c r="F42" s="106"/>
      <c r="G42" s="1497">
        <f>ROUND(SUM(G19:G41),1)</f>
        <v>0</v>
      </c>
      <c r="H42" s="1072"/>
      <c r="I42" s="1497">
        <f>ROUND(SUM(I19:I41),1)</f>
        <v>0</v>
      </c>
      <c r="J42" s="106"/>
      <c r="K42" s="1497">
        <f>ROUND(SUM(K19:K41),1)</f>
        <v>0</v>
      </c>
      <c r="L42" s="106"/>
      <c r="M42" s="1497">
        <f>ROUND(SUM(M19:M41),1)</f>
        <v>0</v>
      </c>
      <c r="N42" s="106"/>
      <c r="O42" s="1497">
        <f>ROUND(SUM(O19:O41),1)</f>
        <v>0</v>
      </c>
      <c r="P42" s="106"/>
      <c r="Q42" s="1497">
        <f>ROUND(SUM(Q19:Q41),1)</f>
        <v>0</v>
      </c>
      <c r="R42" s="106"/>
      <c r="S42" s="1497">
        <f>ROUND(SUM(S19:S41),1)</f>
        <v>0</v>
      </c>
      <c r="T42" s="106"/>
      <c r="U42" s="1497">
        <f>ROUND(SUM(U19:U41),1)</f>
        <v>0</v>
      </c>
      <c r="V42" s="106"/>
      <c r="W42" s="1497">
        <f>ROUND(SUM(W19:W41),1)</f>
        <v>0</v>
      </c>
      <c r="X42" s="106"/>
      <c r="Y42" s="1497">
        <f>ROUND(SUM(Y19:Y41),1)</f>
        <v>0</v>
      </c>
      <c r="Z42" s="106"/>
      <c r="AA42" s="1497">
        <f>ROUND(SUM(AA19:AA41),1)</f>
        <v>0</v>
      </c>
      <c r="AB42" s="106"/>
      <c r="AC42" s="659"/>
      <c r="AD42" s="1497">
        <f>ROUND(SUM(AD19:AD41),1)</f>
        <v>0</v>
      </c>
      <c r="AE42" s="1063"/>
      <c r="AF42" s="109"/>
      <c r="AG42" s="1497">
        <f>ROUND(SUM(AG19:AG41),1)</f>
        <v>0</v>
      </c>
      <c r="AH42" s="1082"/>
      <c r="AI42" s="1059"/>
      <c r="AJ42" s="1497">
        <f>ROUND(SUM(AJ19:AJ41),1)</f>
        <v>0</v>
      </c>
      <c r="AK42" s="3577"/>
      <c r="AL42" s="3220">
        <f t="shared" si="5"/>
        <v>0</v>
      </c>
    </row>
    <row r="43" spans="1:39" s="3102" customFormat="1" ht="15.75">
      <c r="A43" s="112"/>
      <c r="B43" s="3579"/>
      <c r="C43" s="112"/>
      <c r="D43" s="112"/>
      <c r="E43" s="1498"/>
      <c r="F43" s="872"/>
      <c r="G43" s="1099"/>
      <c r="H43" s="872"/>
      <c r="I43" s="1498"/>
      <c r="J43" s="872"/>
      <c r="K43" s="1099"/>
      <c r="L43" s="112"/>
      <c r="M43" s="1057"/>
      <c r="N43" s="112"/>
      <c r="O43" s="656"/>
      <c r="P43" s="112"/>
      <c r="Q43" s="1057"/>
      <c r="R43" s="112"/>
      <c r="S43" s="656"/>
      <c r="T43" s="112"/>
      <c r="U43" s="656"/>
      <c r="V43" s="112"/>
      <c r="W43" s="1057"/>
      <c r="X43" s="112"/>
      <c r="Y43" s="1057"/>
      <c r="Z43" s="112"/>
      <c r="AA43" s="1057"/>
      <c r="AB43" s="112"/>
      <c r="AC43" s="658"/>
      <c r="AD43" s="1057"/>
      <c r="AE43" s="1058"/>
      <c r="AF43" s="658"/>
      <c r="AG43" s="1057"/>
      <c r="AH43" s="113"/>
      <c r="AI43" s="1059"/>
      <c r="AJ43" s="351"/>
      <c r="AK43" s="351"/>
      <c r="AL43" s="1061"/>
      <c r="AM43" s="351"/>
    </row>
    <row r="44" spans="1:39" ht="15.75">
      <c r="A44" s="101"/>
      <c r="B44" s="101" t="s">
        <v>146</v>
      </c>
      <c r="C44" s="101"/>
      <c r="D44" s="101"/>
      <c r="E44" s="1498">
        <v>134.4</v>
      </c>
      <c r="F44" s="872"/>
      <c r="G44" s="1498">
        <f>$AD44-E44</f>
        <v>166.20000000000002</v>
      </c>
      <c r="H44" s="872"/>
      <c r="I44" s="1498"/>
      <c r="J44" s="872"/>
      <c r="K44" s="1498"/>
      <c r="L44" s="872"/>
      <c r="M44" s="1498"/>
      <c r="N44" s="872"/>
      <c r="O44" s="1498"/>
      <c r="P44" s="872"/>
      <c r="Q44" s="1498"/>
      <c r="R44" s="872"/>
      <c r="S44" s="1498"/>
      <c r="T44" s="1498"/>
      <c r="U44" s="1498"/>
      <c r="V44" s="872"/>
      <c r="W44" s="1498"/>
      <c r="X44" s="872"/>
      <c r="Y44" s="1498"/>
      <c r="Z44" s="872"/>
      <c r="AA44" s="1498"/>
      <c r="AB44" s="872"/>
      <c r="AC44" s="1385"/>
      <c r="AD44" s="1498">
        <v>300.60000000000002</v>
      </c>
      <c r="AE44" s="3098"/>
      <c r="AF44" s="1001"/>
      <c r="AG44" s="1498">
        <v>28.9</v>
      </c>
      <c r="AH44" s="113"/>
      <c r="AI44" s="1081"/>
      <c r="AJ44" s="1089">
        <f>ROUND(AD44-AG44,1)</f>
        <v>271.7</v>
      </c>
      <c r="AK44" s="1060"/>
      <c r="AL44" s="3924">
        <f>ROUND(IF(AG44=0,0,AJ44/ABS(AG44)),3)</f>
        <v>9.4009999999999998</v>
      </c>
    </row>
    <row r="45" spans="1:39" ht="15.75">
      <c r="A45" s="101"/>
      <c r="B45" s="101"/>
      <c r="C45" s="101"/>
      <c r="D45" s="101"/>
      <c r="E45" s="1019"/>
      <c r="F45" s="872"/>
      <c r="G45" s="1019"/>
      <c r="H45" s="872"/>
      <c r="I45" s="1019"/>
      <c r="J45" s="872"/>
      <c r="K45" s="1019"/>
      <c r="L45" s="112"/>
      <c r="M45" s="120"/>
      <c r="N45" s="112"/>
      <c r="O45" s="120"/>
      <c r="P45" s="112"/>
      <c r="Q45" s="120"/>
      <c r="R45" s="112"/>
      <c r="S45" s="120"/>
      <c r="T45" s="112"/>
      <c r="U45" s="120"/>
      <c r="V45" s="112"/>
      <c r="W45" s="120"/>
      <c r="X45" s="112"/>
      <c r="Y45" s="120"/>
      <c r="Z45" s="112"/>
      <c r="AA45" s="120"/>
      <c r="AB45" s="112"/>
      <c r="AC45" s="658"/>
      <c r="AD45" s="120"/>
      <c r="AE45" s="1058"/>
      <c r="AF45" s="658"/>
      <c r="AG45" s="120"/>
      <c r="AH45" s="62"/>
      <c r="AI45" s="1081"/>
      <c r="AJ45" s="351"/>
      <c r="AK45" s="1079"/>
      <c r="AL45" s="1061"/>
    </row>
    <row r="46" spans="1:39" ht="15.75">
      <c r="A46" s="101"/>
      <c r="B46" s="99" t="s">
        <v>193</v>
      </c>
      <c r="C46" s="101"/>
      <c r="D46" s="101"/>
      <c r="E46" s="106">
        <f>ROUND(SUM(E42+E44),1)</f>
        <v>134.4</v>
      </c>
      <c r="F46" s="106"/>
      <c r="G46" s="106">
        <f>ROUND(SUM(G42+G44),1)</f>
        <v>166.2</v>
      </c>
      <c r="H46" s="106"/>
      <c r="I46" s="106">
        <f>ROUND(SUM(I42+I44),1)</f>
        <v>0</v>
      </c>
      <c r="J46" s="106"/>
      <c r="K46" s="106">
        <f>ROUND(SUM(K42+K44),1)</f>
        <v>0</v>
      </c>
      <c r="L46" s="106"/>
      <c r="M46" s="106">
        <f>ROUND(SUM(M42+M44),1)</f>
        <v>0</v>
      </c>
      <c r="N46" s="106"/>
      <c r="O46" s="106">
        <f>ROUND(SUM(O42+O44),1)</f>
        <v>0</v>
      </c>
      <c r="P46" s="106"/>
      <c r="Q46" s="106">
        <f>ROUND(SUM(Q42+Q44),1)</f>
        <v>0</v>
      </c>
      <c r="R46" s="106"/>
      <c r="S46" s="106">
        <f>ROUND(SUM(S42+S44),1)</f>
        <v>0</v>
      </c>
      <c r="T46" s="106"/>
      <c r="U46" s="106">
        <f>ROUND(SUM(U42+U44),1)</f>
        <v>0</v>
      </c>
      <c r="V46" s="106"/>
      <c r="W46" s="106">
        <f>ROUND(SUM(W42+W44),1)</f>
        <v>0</v>
      </c>
      <c r="X46" s="106"/>
      <c r="Y46" s="106">
        <f>ROUND(SUM(Y42+Y44),1)</f>
        <v>0</v>
      </c>
      <c r="Z46" s="106"/>
      <c r="AA46" s="106">
        <f>ROUND(SUM(AA42+AA44),1)</f>
        <v>0</v>
      </c>
      <c r="AB46" s="106"/>
      <c r="AC46" s="659"/>
      <c r="AD46" s="106">
        <f>ROUND(SUM(AD42+AD44),1)</f>
        <v>300.60000000000002</v>
      </c>
      <c r="AE46" s="1063"/>
      <c r="AF46" s="659"/>
      <c r="AG46" s="106">
        <f>ROUND(SUM(AG42+AG44),1)</f>
        <v>28.9</v>
      </c>
      <c r="AH46" s="1082"/>
      <c r="AI46" s="1081"/>
      <c r="AJ46" s="1084">
        <f>ROUND(SUM(AJ42+AJ44),1)</f>
        <v>271.7</v>
      </c>
      <c r="AK46" s="1094"/>
      <c r="AL46" s="3891">
        <f>ROUND(SUM(AD46-AG46)/ABS(AG46),3)</f>
        <v>9.4009999999999998</v>
      </c>
      <c r="AM46" s="3578"/>
    </row>
    <row r="47" spans="1:39" ht="15.75">
      <c r="A47" s="101"/>
      <c r="B47" s="101"/>
      <c r="C47" s="101"/>
      <c r="D47" s="101"/>
      <c r="E47" s="1019"/>
      <c r="F47" s="872"/>
      <c r="G47" s="1019"/>
      <c r="H47" s="872"/>
      <c r="I47" s="1019"/>
      <c r="J47" s="872"/>
      <c r="K47" s="1019"/>
      <c r="L47" s="112"/>
      <c r="M47" s="120"/>
      <c r="N47" s="112"/>
      <c r="O47" s="120"/>
      <c r="P47" s="112"/>
      <c r="Q47" s="120"/>
      <c r="R47" s="112"/>
      <c r="S47" s="120"/>
      <c r="T47" s="112"/>
      <c r="U47" s="120"/>
      <c r="V47" s="112"/>
      <c r="W47" s="120"/>
      <c r="X47" s="112"/>
      <c r="Y47" s="120"/>
      <c r="Z47" s="112"/>
      <c r="AA47" s="120"/>
      <c r="AB47" s="112"/>
      <c r="AC47" s="658"/>
      <c r="AD47" s="120"/>
      <c r="AE47" s="1058"/>
      <c r="AF47" s="658"/>
      <c r="AG47" s="120"/>
      <c r="AH47" s="62"/>
      <c r="AI47" s="1081"/>
      <c r="AJ47" s="351"/>
      <c r="AK47" s="1079"/>
      <c r="AL47" s="1061"/>
    </row>
    <row r="48" spans="1:39" ht="15.75">
      <c r="A48" s="101"/>
      <c r="B48" s="99" t="s">
        <v>22</v>
      </c>
      <c r="C48" s="101"/>
      <c r="D48" s="101"/>
      <c r="E48" s="872"/>
      <c r="F48" s="872"/>
      <c r="G48" s="872"/>
      <c r="H48" s="872"/>
      <c r="I48" s="872"/>
      <c r="J48" s="872"/>
      <c r="K48" s="872"/>
      <c r="L48" s="112"/>
      <c r="M48" s="112"/>
      <c r="N48" s="112"/>
      <c r="O48" s="112"/>
      <c r="P48" s="112"/>
      <c r="Q48" s="112"/>
      <c r="R48" s="112"/>
      <c r="S48" s="112"/>
      <c r="T48" s="112"/>
      <c r="U48" s="112"/>
      <c r="V48" s="112"/>
      <c r="W48" s="112"/>
      <c r="X48" s="112"/>
      <c r="Y48" s="112"/>
      <c r="Z48" s="112"/>
      <c r="AA48" s="112"/>
      <c r="AB48" s="112"/>
      <c r="AC48" s="658"/>
      <c r="AD48" s="112"/>
      <c r="AE48" s="1058"/>
      <c r="AF48" s="658"/>
      <c r="AG48" s="112"/>
      <c r="AH48" s="112"/>
      <c r="AI48" s="1081"/>
      <c r="AJ48" s="351"/>
      <c r="AK48" s="1079"/>
      <c r="AL48" s="1061"/>
    </row>
    <row r="49" spans="1:41" ht="15.75">
      <c r="A49" s="101"/>
      <c r="B49" s="101" t="s">
        <v>148</v>
      </c>
      <c r="C49" s="101"/>
      <c r="D49" s="101"/>
      <c r="E49" s="1498"/>
      <c r="F49" s="872"/>
      <c r="G49" s="872"/>
      <c r="H49" s="872"/>
      <c r="I49" s="872"/>
      <c r="J49" s="872"/>
      <c r="K49" s="872"/>
      <c r="L49" s="112"/>
      <c r="M49" s="112"/>
      <c r="N49" s="112"/>
      <c r="O49" s="112"/>
      <c r="P49" s="112"/>
      <c r="Q49" s="1057"/>
      <c r="R49" s="112"/>
      <c r="S49" s="112"/>
      <c r="T49" s="112"/>
      <c r="U49" s="112"/>
      <c r="V49" s="112"/>
      <c r="W49" s="112"/>
      <c r="X49" s="112"/>
      <c r="Y49" s="112"/>
      <c r="Z49" s="112"/>
      <c r="AA49" s="112"/>
      <c r="AB49" s="112"/>
      <c r="AC49" s="658"/>
      <c r="AD49" s="112"/>
      <c r="AE49" s="1058"/>
      <c r="AF49" s="658"/>
      <c r="AG49" s="112"/>
      <c r="AH49" s="112"/>
      <c r="AI49" s="1081"/>
      <c r="AJ49" s="351"/>
      <c r="AK49" s="1060"/>
      <c r="AL49" s="1061"/>
    </row>
    <row r="50" spans="1:41" ht="15.75">
      <c r="A50" s="101"/>
      <c r="B50" s="101" t="s">
        <v>24</v>
      </c>
      <c r="C50" s="101"/>
      <c r="D50" s="101"/>
      <c r="E50" s="1498">
        <v>0</v>
      </c>
      <c r="F50" s="872"/>
      <c r="G50" s="1498">
        <f t="shared" ref="G50:G52" si="6">$AD50-E50</f>
        <v>0</v>
      </c>
      <c r="H50" s="872"/>
      <c r="I50" s="1498"/>
      <c r="J50" s="872"/>
      <c r="K50" s="1498"/>
      <c r="L50" s="872"/>
      <c r="M50" s="1498"/>
      <c r="N50" s="872"/>
      <c r="O50" s="1498"/>
      <c r="P50" s="872"/>
      <c r="Q50" s="1498"/>
      <c r="R50" s="872"/>
      <c r="S50" s="1498"/>
      <c r="T50" s="1498"/>
      <c r="U50" s="1498"/>
      <c r="V50" s="872"/>
      <c r="W50" s="1498"/>
      <c r="X50" s="1498"/>
      <c r="Y50" s="1498"/>
      <c r="Z50" s="872"/>
      <c r="AA50" s="1498"/>
      <c r="AB50" s="872"/>
      <c r="AC50" s="1385"/>
      <c r="AD50" s="1498">
        <v>0</v>
      </c>
      <c r="AE50" s="3098"/>
      <c r="AF50" s="1001"/>
      <c r="AG50" s="1498">
        <v>0</v>
      </c>
      <c r="AH50" s="113"/>
      <c r="AI50" s="1059"/>
      <c r="AJ50" s="1090">
        <f>ROUND(AD50-AG50,1)</f>
        <v>0</v>
      </c>
      <c r="AK50" s="1060"/>
      <c r="AL50" s="1603">
        <f>ROUND(IF(AG50=0,0,AJ50/ABS(AG50)),3)</f>
        <v>0</v>
      </c>
    </row>
    <row r="51" spans="1:41" ht="15.75">
      <c r="A51" s="101"/>
      <c r="B51" s="101" t="s">
        <v>25</v>
      </c>
      <c r="C51" s="101"/>
      <c r="D51" s="101"/>
      <c r="E51" s="1498">
        <v>0</v>
      </c>
      <c r="F51" s="872"/>
      <c r="G51" s="1498">
        <f t="shared" si="6"/>
        <v>0</v>
      </c>
      <c r="H51" s="872"/>
      <c r="I51" s="1498"/>
      <c r="J51" s="872"/>
      <c r="K51" s="1498"/>
      <c r="L51" s="872"/>
      <c r="M51" s="1498"/>
      <c r="N51" s="872"/>
      <c r="O51" s="1498"/>
      <c r="P51" s="872"/>
      <c r="Q51" s="1498"/>
      <c r="R51" s="872"/>
      <c r="S51" s="1498"/>
      <c r="T51" s="1498"/>
      <c r="U51" s="1498"/>
      <c r="V51" s="872"/>
      <c r="W51" s="1498"/>
      <c r="X51" s="1498"/>
      <c r="Y51" s="1498"/>
      <c r="Z51" s="872"/>
      <c r="AA51" s="1498"/>
      <c r="AB51" s="872"/>
      <c r="AC51" s="1385"/>
      <c r="AD51" s="1498">
        <v>0</v>
      </c>
      <c r="AE51" s="3098"/>
      <c r="AF51" s="1001"/>
      <c r="AG51" s="1498">
        <v>0</v>
      </c>
      <c r="AH51" s="113"/>
      <c r="AI51" s="1059"/>
      <c r="AJ51" s="1090">
        <f>ROUND(AD51-AG51,1)</f>
        <v>0</v>
      </c>
      <c r="AK51" s="1060"/>
      <c r="AL51" s="1682">
        <f>ROUND(IF(AG51=0,0,AJ51/ABS(AG51)),3)</f>
        <v>0</v>
      </c>
    </row>
    <row r="52" spans="1:41" ht="15.75">
      <c r="A52" s="101"/>
      <c r="B52" s="101" t="s">
        <v>26</v>
      </c>
      <c r="C52" s="101"/>
      <c r="D52" s="101"/>
      <c r="E52" s="1498">
        <v>0</v>
      </c>
      <c r="F52" s="872"/>
      <c r="G52" s="1498">
        <f t="shared" si="6"/>
        <v>0</v>
      </c>
      <c r="H52" s="872"/>
      <c r="I52" s="1498"/>
      <c r="J52" s="872"/>
      <c r="K52" s="1498"/>
      <c r="L52" s="872"/>
      <c r="M52" s="1498"/>
      <c r="N52" s="872"/>
      <c r="O52" s="1498"/>
      <c r="P52" s="872"/>
      <c r="Q52" s="1498"/>
      <c r="R52" s="872"/>
      <c r="S52" s="1498"/>
      <c r="T52" s="1498"/>
      <c r="U52" s="1498"/>
      <c r="V52" s="872"/>
      <c r="W52" s="1498"/>
      <c r="X52" s="1498"/>
      <c r="Y52" s="1498"/>
      <c r="Z52" s="872"/>
      <c r="AA52" s="1498"/>
      <c r="AB52" s="872"/>
      <c r="AC52" s="1385"/>
      <c r="AD52" s="1498">
        <v>0</v>
      </c>
      <c r="AE52" s="3098"/>
      <c r="AF52" s="1001"/>
      <c r="AG52" s="1498">
        <v>0</v>
      </c>
      <c r="AH52" s="113"/>
      <c r="AI52" s="1059"/>
      <c r="AJ52" s="1090">
        <f>ROUND(AD52-AG52,1)</f>
        <v>0</v>
      </c>
      <c r="AK52" s="1079"/>
      <c r="AL52" s="1680">
        <f>ROUND(IF(AG52=0,0,AJ52/ABS(AG52)),3)</f>
        <v>0</v>
      </c>
    </row>
    <row r="53" spans="1:41" ht="15.75">
      <c r="A53" s="101"/>
      <c r="B53" s="101" t="s">
        <v>27</v>
      </c>
      <c r="C53" s="101"/>
      <c r="D53" s="101"/>
      <c r="E53" s="1498" t="s">
        <v>14</v>
      </c>
      <c r="F53" s="872"/>
      <c r="G53" s="1498"/>
      <c r="H53" s="872"/>
      <c r="I53" s="1498"/>
      <c r="J53" s="872"/>
      <c r="K53" s="1498"/>
      <c r="L53" s="872"/>
      <c r="M53" s="1498"/>
      <c r="N53" s="872"/>
      <c r="O53" s="1498"/>
      <c r="P53" s="872"/>
      <c r="Q53" s="1498"/>
      <c r="R53" s="872"/>
      <c r="S53" s="1498"/>
      <c r="T53" s="1498"/>
      <c r="U53" s="1498"/>
      <c r="V53" s="872"/>
      <c r="W53" s="1498"/>
      <c r="X53" s="1498"/>
      <c r="Y53" s="1498"/>
      <c r="Z53" s="872"/>
      <c r="AA53" s="1498"/>
      <c r="AB53" s="872"/>
      <c r="AC53" s="1385"/>
      <c r="AD53" s="1498"/>
      <c r="AE53" s="3098"/>
      <c r="AF53" s="1001"/>
      <c r="AG53" s="1498"/>
      <c r="AH53" s="112"/>
      <c r="AI53" s="1081"/>
      <c r="AJ53" s="1091"/>
      <c r="AK53" s="1060"/>
      <c r="AL53" s="1683" t="s">
        <v>14</v>
      </c>
    </row>
    <row r="54" spans="1:41" ht="15.75">
      <c r="A54" s="101"/>
      <c r="B54" s="101" t="s">
        <v>28</v>
      </c>
      <c r="C54" s="99"/>
      <c r="D54" s="101"/>
      <c r="E54" s="1498">
        <v>0</v>
      </c>
      <c r="F54" s="872"/>
      <c r="G54" s="1498">
        <f t="shared" ref="G54:G59" si="7">$AD54-E54</f>
        <v>0</v>
      </c>
      <c r="H54" s="872"/>
      <c r="I54" s="1498"/>
      <c r="J54" s="872"/>
      <c r="K54" s="1498"/>
      <c r="L54" s="872"/>
      <c r="M54" s="1498"/>
      <c r="N54" s="872"/>
      <c r="O54" s="1498"/>
      <c r="P54" s="872"/>
      <c r="Q54" s="1498"/>
      <c r="R54" s="872"/>
      <c r="S54" s="1498"/>
      <c r="T54" s="1498"/>
      <c r="U54" s="1498"/>
      <c r="V54" s="872"/>
      <c r="W54" s="1498"/>
      <c r="X54" s="1498"/>
      <c r="Y54" s="1498"/>
      <c r="Z54" s="872"/>
      <c r="AA54" s="1498"/>
      <c r="AB54" s="872"/>
      <c r="AC54" s="1385"/>
      <c r="AD54" s="1498">
        <v>0</v>
      </c>
      <c r="AE54" s="3098"/>
      <c r="AF54" s="1001"/>
      <c r="AG54" s="1498">
        <v>0</v>
      </c>
      <c r="AH54" s="112"/>
      <c r="AI54" s="1081"/>
      <c r="AJ54" s="1090">
        <f t="shared" ref="AJ54:AJ59" si="8">ROUND(AD54-AG54,1)</f>
        <v>0</v>
      </c>
      <c r="AK54" s="1079"/>
      <c r="AL54" s="1680">
        <f>ROUND(IF(AG54=0,0,AJ54/ABS(AG54)),3)</f>
        <v>0</v>
      </c>
      <c r="AM54" s="1079"/>
    </row>
    <row r="55" spans="1:41" ht="15.75">
      <c r="A55" s="101"/>
      <c r="B55" s="101" t="s">
        <v>29</v>
      </c>
      <c r="C55" s="101"/>
      <c r="D55" s="101"/>
      <c r="E55" s="1498">
        <v>0</v>
      </c>
      <c r="F55" s="872"/>
      <c r="G55" s="1498">
        <f t="shared" si="7"/>
        <v>0</v>
      </c>
      <c r="H55" s="872"/>
      <c r="I55" s="1498"/>
      <c r="J55" s="872"/>
      <c r="K55" s="1498"/>
      <c r="L55" s="872"/>
      <c r="M55" s="1498"/>
      <c r="N55" s="872"/>
      <c r="O55" s="1498"/>
      <c r="P55" s="872"/>
      <c r="Q55" s="1498"/>
      <c r="R55" s="872"/>
      <c r="S55" s="1498"/>
      <c r="T55" s="1498"/>
      <c r="U55" s="1498"/>
      <c r="V55" s="872"/>
      <c r="W55" s="1498"/>
      <c r="X55" s="1498"/>
      <c r="Y55" s="1498"/>
      <c r="Z55" s="872"/>
      <c r="AA55" s="1498"/>
      <c r="AB55" s="872"/>
      <c r="AC55" s="1385"/>
      <c r="AD55" s="1498">
        <v>0</v>
      </c>
      <c r="AE55" s="3098"/>
      <c r="AF55" s="1001"/>
      <c r="AG55" s="1498">
        <v>0</v>
      </c>
      <c r="AH55" s="113"/>
      <c r="AI55" s="1059"/>
      <c r="AJ55" s="1090">
        <f t="shared" si="8"/>
        <v>0</v>
      </c>
      <c r="AK55" s="1060"/>
      <c r="AL55" s="2135">
        <f>ROUND(IF(AG55=0,0,AJ55/ABS(AG55)),3)</f>
        <v>0</v>
      </c>
    </row>
    <row r="56" spans="1:41" ht="15.75">
      <c r="A56" s="101"/>
      <c r="B56" s="101" t="s">
        <v>30</v>
      </c>
      <c r="C56" s="101"/>
      <c r="D56" s="101"/>
      <c r="E56" s="1498">
        <v>11.6</v>
      </c>
      <c r="F56" s="872"/>
      <c r="G56" s="1498">
        <f t="shared" si="7"/>
        <v>0</v>
      </c>
      <c r="H56" s="872"/>
      <c r="I56" s="1498"/>
      <c r="J56" s="872"/>
      <c r="K56" s="1498"/>
      <c r="L56" s="872"/>
      <c r="M56" s="1498"/>
      <c r="N56" s="872"/>
      <c r="O56" s="1498"/>
      <c r="P56" s="872"/>
      <c r="Q56" s="1498"/>
      <c r="R56" s="872"/>
      <c r="S56" s="1498"/>
      <c r="T56" s="1498"/>
      <c r="U56" s="1498"/>
      <c r="V56" s="872"/>
      <c r="W56" s="1498"/>
      <c r="X56" s="1498"/>
      <c r="Y56" s="1498"/>
      <c r="Z56" s="872"/>
      <c r="AA56" s="1498"/>
      <c r="AB56" s="872"/>
      <c r="AC56" s="1385"/>
      <c r="AD56" s="1498">
        <v>11.6</v>
      </c>
      <c r="AE56" s="3098"/>
      <c r="AF56" s="1001"/>
      <c r="AG56" s="1498">
        <v>0</v>
      </c>
      <c r="AH56" s="113"/>
      <c r="AI56" s="1059"/>
      <c r="AJ56" s="1090">
        <f t="shared" si="8"/>
        <v>11.6</v>
      </c>
      <c r="AK56" s="1079"/>
      <c r="AL56" s="2135">
        <f>ROUND(IF(AG56=0,1,AJ56/ABS(AG56)),3)</f>
        <v>1</v>
      </c>
    </row>
    <row r="57" spans="1:41" ht="15.75">
      <c r="A57" s="101"/>
      <c r="B57" s="101" t="s">
        <v>31</v>
      </c>
      <c r="C57" s="101"/>
      <c r="D57" s="101"/>
      <c r="E57" s="1498">
        <v>0</v>
      </c>
      <c r="F57" s="872"/>
      <c r="G57" s="1498">
        <f t="shared" si="7"/>
        <v>0</v>
      </c>
      <c r="H57" s="872"/>
      <c r="I57" s="1498"/>
      <c r="J57" s="872"/>
      <c r="K57" s="1498"/>
      <c r="L57" s="872"/>
      <c r="M57" s="1498"/>
      <c r="N57" s="872"/>
      <c r="O57" s="1498"/>
      <c r="P57" s="872"/>
      <c r="Q57" s="1498"/>
      <c r="R57" s="872"/>
      <c r="S57" s="1498"/>
      <c r="T57" s="1498"/>
      <c r="U57" s="1498"/>
      <c r="V57" s="872"/>
      <c r="W57" s="1498"/>
      <c r="X57" s="1498"/>
      <c r="Y57" s="1498"/>
      <c r="Z57" s="872"/>
      <c r="AA57" s="1498"/>
      <c r="AB57" s="872"/>
      <c r="AC57" s="1385"/>
      <c r="AD57" s="1498">
        <v>0</v>
      </c>
      <c r="AE57" s="3098"/>
      <c r="AF57" s="1001"/>
      <c r="AG57" s="1498">
        <v>0</v>
      </c>
      <c r="AH57" s="112"/>
      <c r="AI57" s="1081"/>
      <c r="AJ57" s="1090">
        <f t="shared" si="8"/>
        <v>0</v>
      </c>
      <c r="AK57" s="1060"/>
      <c r="AL57" s="1680">
        <f>ROUND(IF(AG57=0,0,AJ57/ABS(AG57)),3)</f>
        <v>0</v>
      </c>
    </row>
    <row r="58" spans="1:41" ht="15.75">
      <c r="A58" s="101"/>
      <c r="B58" s="101" t="s">
        <v>32</v>
      </c>
      <c r="C58" s="99"/>
      <c r="D58" s="101"/>
      <c r="E58" s="1498">
        <v>0</v>
      </c>
      <c r="F58" s="872"/>
      <c r="G58" s="1498">
        <f t="shared" si="7"/>
        <v>0</v>
      </c>
      <c r="H58" s="872"/>
      <c r="I58" s="1498"/>
      <c r="J58" s="872"/>
      <c r="K58" s="1498"/>
      <c r="L58" s="872"/>
      <c r="M58" s="1498"/>
      <c r="N58" s="872"/>
      <c r="O58" s="1498"/>
      <c r="P58" s="872"/>
      <c r="Q58" s="1498"/>
      <c r="R58" s="872"/>
      <c r="S58" s="1498"/>
      <c r="T58" s="1498"/>
      <c r="U58" s="1498"/>
      <c r="V58" s="872"/>
      <c r="W58" s="1498"/>
      <c r="X58" s="1498"/>
      <c r="Y58" s="1498"/>
      <c r="Z58" s="872"/>
      <c r="AA58" s="1498"/>
      <c r="AB58" s="872"/>
      <c r="AC58" s="1385"/>
      <c r="AD58" s="1498">
        <v>0</v>
      </c>
      <c r="AE58" s="3098"/>
      <c r="AF58" s="1001"/>
      <c r="AG58" s="1498">
        <v>0</v>
      </c>
      <c r="AH58" s="112"/>
      <c r="AI58" s="1081"/>
      <c r="AJ58" s="1090">
        <f t="shared" si="8"/>
        <v>0</v>
      </c>
      <c r="AK58" s="1079"/>
      <c r="AL58" s="1680">
        <f>ROUND(IF(AG58=0,0,AJ58/ABS(AG58)),3)</f>
        <v>0</v>
      </c>
      <c r="AM58" s="1079"/>
    </row>
    <row r="59" spans="1:41" ht="15.75">
      <c r="A59" s="101"/>
      <c r="B59" s="101" t="s">
        <v>33</v>
      </c>
      <c r="C59" s="101"/>
      <c r="D59" s="101"/>
      <c r="E59" s="1498">
        <v>28.8</v>
      </c>
      <c r="F59" s="872"/>
      <c r="G59" s="1498">
        <f t="shared" si="7"/>
        <v>53.800000000000011</v>
      </c>
      <c r="H59" s="872"/>
      <c r="I59" s="1498"/>
      <c r="J59" s="872"/>
      <c r="K59" s="1498"/>
      <c r="L59" s="872"/>
      <c r="M59" s="1498"/>
      <c r="N59" s="872"/>
      <c r="O59" s="1498"/>
      <c r="P59" s="872"/>
      <c r="Q59" s="1498"/>
      <c r="R59" s="872"/>
      <c r="S59" s="1498"/>
      <c r="T59" s="1498"/>
      <c r="U59" s="1498"/>
      <c r="V59" s="872"/>
      <c r="W59" s="1498"/>
      <c r="X59" s="1498"/>
      <c r="Y59" s="1498"/>
      <c r="Z59" s="872"/>
      <c r="AA59" s="1498"/>
      <c r="AB59" s="872"/>
      <c r="AC59" s="1385"/>
      <c r="AD59" s="1498">
        <v>82.600000000000009</v>
      </c>
      <c r="AE59" s="3098"/>
      <c r="AF59" s="1001"/>
      <c r="AG59" s="1498">
        <v>22.6</v>
      </c>
      <c r="AH59" s="62"/>
      <c r="AI59" s="1081"/>
      <c r="AJ59" s="1090">
        <f t="shared" si="8"/>
        <v>60</v>
      </c>
      <c r="AK59" s="1079"/>
      <c r="AL59" s="1684">
        <f>ROUND((AD59-AG59)/ABS(AG59),3)</f>
        <v>2.6549999999999998</v>
      </c>
    </row>
    <row r="60" spans="1:41" ht="15.75">
      <c r="A60" s="101"/>
      <c r="B60" s="99" t="s">
        <v>194</v>
      </c>
      <c r="C60" s="101"/>
      <c r="D60" s="101"/>
      <c r="E60" s="1073">
        <f>ROUND(SUM(E50:E59),1)</f>
        <v>40.4</v>
      </c>
      <c r="F60" s="106"/>
      <c r="G60" s="1073">
        <f>ROUND(SUM(G50:G59),1)</f>
        <v>53.8</v>
      </c>
      <c r="H60" s="106"/>
      <c r="I60" s="1073">
        <f>ROUND(SUM(I50:I59),1)</f>
        <v>0</v>
      </c>
      <c r="J60" s="106"/>
      <c r="K60" s="1073">
        <f>ROUND(SUM(K50:K59),1)</f>
        <v>0</v>
      </c>
      <c r="L60" s="106"/>
      <c r="M60" s="1073">
        <f>ROUND(SUM(M50:M59),1)</f>
        <v>0</v>
      </c>
      <c r="N60" s="106"/>
      <c r="O60" s="1073">
        <f>ROUND(SUM(O50:O59),1)</f>
        <v>0</v>
      </c>
      <c r="P60" s="106"/>
      <c r="Q60" s="1073">
        <f>ROUND(SUM(Q50:Q59),1)</f>
        <v>0</v>
      </c>
      <c r="R60" s="106"/>
      <c r="S60" s="1073">
        <f>ROUND(SUM(S50:S59),1)</f>
        <v>0</v>
      </c>
      <c r="T60" s="106"/>
      <c r="U60" s="1073">
        <f>ROUND(SUM(U50:U59),1)</f>
        <v>0</v>
      </c>
      <c r="V60" s="106"/>
      <c r="W60" s="1073">
        <f>ROUND(SUM(W50:W59),1)</f>
        <v>0</v>
      </c>
      <c r="X60" s="106"/>
      <c r="Y60" s="1073">
        <f>ROUND(SUM(Y50:Y59),1)</f>
        <v>0</v>
      </c>
      <c r="Z60" s="106"/>
      <c r="AA60" s="1073">
        <f>ROUND(SUM(AA50:AA59),1)</f>
        <v>0</v>
      </c>
      <c r="AB60" s="106"/>
      <c r="AC60" s="659"/>
      <c r="AD60" s="1073">
        <f>ROUND(SUM(AD50:AD59),1)</f>
        <v>94.2</v>
      </c>
      <c r="AE60" s="1063"/>
      <c r="AF60" s="659"/>
      <c r="AG60" s="1073">
        <f>ROUND(SUM(AG50:AG59),1)</f>
        <v>22.6</v>
      </c>
      <c r="AH60" s="109"/>
      <c r="AI60" s="1081"/>
      <c r="AJ60" s="1073">
        <f>ROUND(SUM(AJ50:AJ59),1)</f>
        <v>71.599999999999994</v>
      </c>
      <c r="AK60" s="3581"/>
      <c r="AL60" s="3582">
        <f>ROUND(SUM(AD60-AG60)/ABS(AG60),3)</f>
        <v>3.1680000000000001</v>
      </c>
      <c r="AM60" s="3581"/>
      <c r="AN60" s="3578"/>
      <c r="AO60" s="3578"/>
    </row>
    <row r="61" spans="1:41" ht="15.75">
      <c r="A61" s="101"/>
      <c r="B61" s="101" t="s">
        <v>195</v>
      </c>
      <c r="C61" s="101"/>
      <c r="D61" s="101"/>
      <c r="E61" s="872"/>
      <c r="F61" s="872"/>
      <c r="G61" s="872"/>
      <c r="H61" s="872"/>
      <c r="I61" s="872"/>
      <c r="J61" s="872"/>
      <c r="K61" s="872"/>
      <c r="L61" s="112"/>
      <c r="M61" s="112"/>
      <c r="N61" s="112"/>
      <c r="O61" s="112"/>
      <c r="P61" s="112"/>
      <c r="Q61" s="112"/>
      <c r="R61" s="112"/>
      <c r="S61" s="112"/>
      <c r="T61" s="112"/>
      <c r="U61" s="112"/>
      <c r="V61" s="112"/>
      <c r="W61" s="112"/>
      <c r="X61" s="112"/>
      <c r="Y61" s="112"/>
      <c r="Z61" s="112"/>
      <c r="AA61" s="112"/>
      <c r="AB61" s="112"/>
      <c r="AC61" s="658"/>
      <c r="AD61" s="112"/>
      <c r="AE61" s="1058"/>
      <c r="AF61" s="658"/>
      <c r="AG61" s="112"/>
      <c r="AH61" s="112"/>
      <c r="AI61" s="1081"/>
      <c r="AJ61" s="351"/>
      <c r="AK61" s="1079"/>
      <c r="AL61" s="1061"/>
    </row>
    <row r="62" spans="1:41" ht="15.75">
      <c r="A62" s="101"/>
      <c r="B62" s="101" t="s">
        <v>196</v>
      </c>
      <c r="C62" s="101"/>
      <c r="D62" s="101"/>
      <c r="E62" s="1498">
        <v>0</v>
      </c>
      <c r="F62" s="872"/>
      <c r="G62" s="1498">
        <f t="shared" ref="G62:G65" si="9">$AD62-E62</f>
        <v>0</v>
      </c>
      <c r="H62" s="872"/>
      <c r="I62" s="1498"/>
      <c r="J62" s="872"/>
      <c r="K62" s="1498"/>
      <c r="L62" s="872"/>
      <c r="M62" s="1498"/>
      <c r="N62" s="872"/>
      <c r="O62" s="1498"/>
      <c r="P62" s="872"/>
      <c r="Q62" s="1498"/>
      <c r="R62" s="872"/>
      <c r="S62" s="1498"/>
      <c r="T62" s="1498"/>
      <c r="U62" s="1498"/>
      <c r="V62" s="872"/>
      <c r="W62" s="1498"/>
      <c r="X62" s="872"/>
      <c r="Y62" s="1498"/>
      <c r="Z62" s="872"/>
      <c r="AA62" s="1498"/>
      <c r="AB62" s="872"/>
      <c r="AC62" s="1385"/>
      <c r="AD62" s="1498">
        <v>0</v>
      </c>
      <c r="AE62" s="3098"/>
      <c r="AF62" s="1001"/>
      <c r="AG62" s="1498">
        <v>0</v>
      </c>
      <c r="AH62" s="121"/>
      <c r="AI62" s="1085"/>
      <c r="AJ62" s="1090">
        <f>ROUND(AD62-AG62,1)</f>
        <v>0</v>
      </c>
      <c r="AK62" s="1079"/>
      <c r="AL62" s="1680">
        <f>ROUND(IF(AG62=0,0,AJ62/ABS(AG62)),3)</f>
        <v>0</v>
      </c>
      <c r="AM62" s="1080"/>
    </row>
    <row r="63" spans="1:41" ht="15.75">
      <c r="A63" s="101"/>
      <c r="B63" s="101" t="s">
        <v>197</v>
      </c>
      <c r="C63" s="101"/>
      <c r="D63" s="101"/>
      <c r="E63" s="1498">
        <v>0</v>
      </c>
      <c r="F63" s="872"/>
      <c r="G63" s="1498">
        <f t="shared" si="9"/>
        <v>0</v>
      </c>
      <c r="H63" s="872"/>
      <c r="I63" s="1498"/>
      <c r="J63" s="872"/>
      <c r="K63" s="1498"/>
      <c r="L63" s="872"/>
      <c r="M63" s="1498"/>
      <c r="N63" s="872"/>
      <c r="O63" s="1498"/>
      <c r="P63" s="872"/>
      <c r="Q63" s="1498"/>
      <c r="R63" s="872"/>
      <c r="S63" s="1498"/>
      <c r="T63" s="1498"/>
      <c r="U63" s="1498"/>
      <c r="V63" s="872"/>
      <c r="W63" s="1498"/>
      <c r="X63" s="872"/>
      <c r="Y63" s="1498"/>
      <c r="Z63" s="872"/>
      <c r="AA63" s="1498"/>
      <c r="AB63" s="872"/>
      <c r="AC63" s="1385"/>
      <c r="AD63" s="1498">
        <v>0</v>
      </c>
      <c r="AE63" s="3098"/>
      <c r="AF63" s="1001"/>
      <c r="AG63" s="1498">
        <v>0</v>
      </c>
      <c r="AH63" s="121"/>
      <c r="AI63" s="1085"/>
      <c r="AJ63" s="1090">
        <f>ROUND(AD63-AG63,1)</f>
        <v>0</v>
      </c>
      <c r="AK63" s="1079"/>
      <c r="AL63" s="1680">
        <f>ROUND(IF(AG63=0,0,AJ63/ABS(AG63)),3)</f>
        <v>0</v>
      </c>
    </row>
    <row r="64" spans="1:41" ht="15.75">
      <c r="A64" s="101"/>
      <c r="B64" s="101" t="s">
        <v>198</v>
      </c>
      <c r="C64" s="101"/>
      <c r="D64" s="101"/>
      <c r="E64" s="1498">
        <v>0</v>
      </c>
      <c r="F64" s="872"/>
      <c r="G64" s="1498">
        <f t="shared" si="9"/>
        <v>0</v>
      </c>
      <c r="H64" s="872"/>
      <c r="I64" s="1498"/>
      <c r="J64" s="872"/>
      <c r="K64" s="1498"/>
      <c r="L64" s="872"/>
      <c r="M64" s="1498"/>
      <c r="N64" s="872"/>
      <c r="O64" s="1498"/>
      <c r="P64" s="872"/>
      <c r="Q64" s="1498"/>
      <c r="R64" s="872"/>
      <c r="S64" s="1498"/>
      <c r="T64" s="1498"/>
      <c r="U64" s="1498"/>
      <c r="V64" s="872"/>
      <c r="W64" s="1498"/>
      <c r="X64" s="872"/>
      <c r="Y64" s="1498"/>
      <c r="Z64" s="872"/>
      <c r="AA64" s="1498"/>
      <c r="AB64" s="872"/>
      <c r="AC64" s="1385"/>
      <c r="AD64" s="1498">
        <v>0</v>
      </c>
      <c r="AE64" s="3098"/>
      <c r="AF64" s="1001"/>
      <c r="AG64" s="1498">
        <v>0</v>
      </c>
      <c r="AH64" s="121"/>
      <c r="AI64" s="1085"/>
      <c r="AJ64" s="1090">
        <f>ROUND(AD64-AG64,1)</f>
        <v>0</v>
      </c>
      <c r="AK64" s="1079"/>
      <c r="AL64" s="1680">
        <f>ROUND(IF(AG64=0,0,AJ64/ABS(AG64)),3)</f>
        <v>0</v>
      </c>
    </row>
    <row r="65" spans="1:39" ht="15.75">
      <c r="A65" s="101"/>
      <c r="B65" s="1679" t="s">
        <v>209</v>
      </c>
      <c r="C65" s="101"/>
      <c r="D65" s="101"/>
      <c r="E65" s="1498">
        <v>114.9</v>
      </c>
      <c r="F65" s="872"/>
      <c r="G65" s="1498">
        <f t="shared" si="9"/>
        <v>-231.9</v>
      </c>
      <c r="H65" s="872"/>
      <c r="I65" s="1498"/>
      <c r="J65" s="872"/>
      <c r="K65" s="1498"/>
      <c r="L65" s="872"/>
      <c r="M65" s="1498"/>
      <c r="N65" s="872"/>
      <c r="O65" s="1498"/>
      <c r="P65" s="872"/>
      <c r="Q65" s="1498"/>
      <c r="R65" s="872"/>
      <c r="S65" s="1498"/>
      <c r="T65" s="1498"/>
      <c r="U65" s="1498"/>
      <c r="V65" s="872"/>
      <c r="W65" s="1498"/>
      <c r="X65" s="872"/>
      <c r="Y65" s="1498"/>
      <c r="Z65" s="872"/>
      <c r="AA65" s="1498"/>
      <c r="AB65" s="872"/>
      <c r="AC65" s="1385"/>
      <c r="AD65" s="3099">
        <v>-117</v>
      </c>
      <c r="AE65" s="3098"/>
      <c r="AF65" s="1001"/>
      <c r="AG65" s="3099">
        <v>154.1</v>
      </c>
      <c r="AH65" s="65"/>
      <c r="AI65" s="1059"/>
      <c r="AJ65" s="1092">
        <f>ROUND(AD65-AG65,1)</f>
        <v>-271.10000000000002</v>
      </c>
      <c r="AK65" s="1079"/>
      <c r="AL65" s="1681">
        <f>ROUND(IF(AG65=0,0,AJ65/ABS(AG65)),3)</f>
        <v>-1.7589999999999999</v>
      </c>
    </row>
    <row r="66" spans="1:39" ht="15.75">
      <c r="A66" s="101"/>
      <c r="B66" s="101"/>
      <c r="C66" s="101"/>
      <c r="D66" s="101"/>
      <c r="E66" s="1019"/>
      <c r="F66" s="872"/>
      <c r="G66" s="1019"/>
      <c r="H66" s="872"/>
      <c r="I66" s="1019"/>
      <c r="J66" s="872"/>
      <c r="K66" s="1019"/>
      <c r="L66" s="112"/>
      <c r="M66" s="120"/>
      <c r="N66" s="112"/>
      <c r="O66" s="120"/>
      <c r="P66" s="112"/>
      <c r="Q66" s="120"/>
      <c r="R66" s="112"/>
      <c r="S66" s="120"/>
      <c r="T66" s="112"/>
      <c r="U66" s="120"/>
      <c r="V66" s="112"/>
      <c r="W66" s="120"/>
      <c r="X66" s="112"/>
      <c r="Y66" s="120"/>
      <c r="Z66" s="112"/>
      <c r="AA66" s="120"/>
      <c r="AB66" s="112"/>
      <c r="AC66" s="658"/>
      <c r="AD66" s="351"/>
      <c r="AE66" s="1058"/>
      <c r="AF66" s="658"/>
      <c r="AG66" s="351"/>
      <c r="AH66" s="351"/>
      <c r="AI66" s="1086"/>
      <c r="AJ66" s="351"/>
      <c r="AK66" s="1079"/>
      <c r="AL66" s="1061"/>
    </row>
    <row r="67" spans="1:39" ht="15.75">
      <c r="A67" s="101"/>
      <c r="B67" s="99" t="s">
        <v>199</v>
      </c>
      <c r="C67" s="101"/>
      <c r="D67" s="101"/>
      <c r="E67" s="106">
        <f>ROUND(SUM(E60:E65),1)</f>
        <v>155.30000000000001</v>
      </c>
      <c r="F67" s="106"/>
      <c r="G67" s="106">
        <f>ROUND(SUM(G60:G65),1)</f>
        <v>-178.1</v>
      </c>
      <c r="H67" s="106"/>
      <c r="I67" s="106">
        <f>ROUND(SUM(I60:I65),1)</f>
        <v>0</v>
      </c>
      <c r="J67" s="106"/>
      <c r="K67" s="106">
        <f>ROUND(SUM(K60:K65),1)</f>
        <v>0</v>
      </c>
      <c r="L67" s="106"/>
      <c r="M67" s="106">
        <f>ROUND(SUM(M60:M65),1)</f>
        <v>0</v>
      </c>
      <c r="N67" s="106"/>
      <c r="O67" s="106">
        <f>ROUND(SUM(O60:O65),1)</f>
        <v>0</v>
      </c>
      <c r="P67" s="106"/>
      <c r="Q67" s="106">
        <f>ROUND(SUM(Q60:Q65),1)</f>
        <v>0</v>
      </c>
      <c r="R67" s="106"/>
      <c r="S67" s="106">
        <f>ROUND(SUM(S60:S65),1)</f>
        <v>0</v>
      </c>
      <c r="T67" s="106"/>
      <c r="U67" s="106">
        <f>ROUND(SUM(U60:U65),1)</f>
        <v>0</v>
      </c>
      <c r="V67" s="106"/>
      <c r="W67" s="106">
        <f>ROUND(SUM(W60:W65),1)</f>
        <v>0</v>
      </c>
      <c r="X67" s="106"/>
      <c r="Y67" s="106">
        <f>ROUND(SUM(Y60:Y65),1)</f>
        <v>0</v>
      </c>
      <c r="Z67" s="106"/>
      <c r="AA67" s="106">
        <f>ROUND(SUM(AA60:AA65),1)</f>
        <v>0</v>
      </c>
      <c r="AB67" s="106"/>
      <c r="AC67" s="659"/>
      <c r="AD67" s="106">
        <f>SUM(AD60:AD65)</f>
        <v>-22.799999999999997</v>
      </c>
      <c r="AE67" s="1063"/>
      <c r="AF67" s="659"/>
      <c r="AG67" s="106">
        <f>SUM(AG60:AG65)</f>
        <v>176.7</v>
      </c>
      <c r="AH67" s="109"/>
      <c r="AI67" s="1081"/>
      <c r="AJ67" s="107">
        <f>ROUND(AD67-AG67,1)</f>
        <v>-199.5</v>
      </c>
      <c r="AK67" s="3581"/>
      <c r="AL67" s="3580">
        <f>ROUND(SUM(AD67-AG67)/ABS(AG67),3)</f>
        <v>-1.129</v>
      </c>
    </row>
    <row r="68" spans="1:39" ht="15.75">
      <c r="A68" s="101"/>
      <c r="B68" s="101"/>
      <c r="C68" s="101"/>
      <c r="D68" s="101"/>
      <c r="E68" s="1019"/>
      <c r="F68" s="872"/>
      <c r="G68" s="1019"/>
      <c r="H68" s="872"/>
      <c r="I68" s="1019"/>
      <c r="J68" s="872"/>
      <c r="K68" s="1019"/>
      <c r="L68" s="112"/>
      <c r="M68" s="120"/>
      <c r="N68" s="112"/>
      <c r="O68" s="120"/>
      <c r="P68" s="112"/>
      <c r="Q68" s="120"/>
      <c r="R68" s="112"/>
      <c r="S68" s="120"/>
      <c r="T68" s="112"/>
      <c r="U68" s="120"/>
      <c r="V68" s="112"/>
      <c r="W68" s="120"/>
      <c r="X68" s="112"/>
      <c r="Y68" s="120"/>
      <c r="Z68" s="112"/>
      <c r="AA68" s="120"/>
      <c r="AB68" s="112"/>
      <c r="AC68" s="658"/>
      <c r="AD68" s="1019" t="s">
        <v>14</v>
      </c>
      <c r="AE68" s="1058"/>
      <c r="AF68" s="658"/>
      <c r="AG68" s="120"/>
      <c r="AH68" s="62"/>
      <c r="AI68" s="1081"/>
      <c r="AJ68" s="351"/>
      <c r="AK68" s="1079"/>
      <c r="AL68" s="1061"/>
    </row>
    <row r="69" spans="1:39" ht="15.75">
      <c r="A69" s="101"/>
      <c r="B69" s="99" t="s">
        <v>200</v>
      </c>
      <c r="C69" s="101"/>
      <c r="D69" s="101"/>
      <c r="E69" s="872"/>
      <c r="F69" s="872"/>
      <c r="G69" s="872"/>
      <c r="H69" s="872"/>
      <c r="I69" s="872"/>
      <c r="J69" s="872"/>
      <c r="K69" s="872"/>
      <c r="L69" s="112"/>
      <c r="M69" s="112"/>
      <c r="N69" s="112"/>
      <c r="O69" s="112"/>
      <c r="P69" s="112"/>
      <c r="Q69" s="112"/>
      <c r="R69" s="112"/>
      <c r="S69" s="112"/>
      <c r="T69" s="112"/>
      <c r="U69" s="112"/>
      <c r="V69" s="112"/>
      <c r="W69" s="112"/>
      <c r="X69" s="112"/>
      <c r="Y69" s="112"/>
      <c r="Z69" s="112"/>
      <c r="AA69" s="112"/>
      <c r="AB69" s="112"/>
      <c r="AC69" s="658"/>
      <c r="AD69" s="351" t="s">
        <v>14</v>
      </c>
      <c r="AE69" s="1058"/>
      <c r="AF69" s="62"/>
      <c r="AG69" s="351"/>
      <c r="AH69" s="351"/>
      <c r="AI69" s="1086"/>
      <c r="AJ69" s="351"/>
      <c r="AK69" s="1079"/>
      <c r="AL69" s="1061"/>
    </row>
    <row r="70" spans="1:39" ht="15.75">
      <c r="A70" s="101"/>
      <c r="B70" s="99" t="s">
        <v>201</v>
      </c>
      <c r="C70" s="101"/>
      <c r="D70" s="101"/>
      <c r="E70" s="106">
        <f>ROUND(E46-E67,1)</f>
        <v>-20.9</v>
      </c>
      <c r="F70" s="106"/>
      <c r="G70" s="106">
        <f>ROUND(G46-G67,1)</f>
        <v>344.3</v>
      </c>
      <c r="H70" s="106"/>
      <c r="I70" s="106">
        <f>ROUND(I46-I67,1)</f>
        <v>0</v>
      </c>
      <c r="J70" s="106"/>
      <c r="K70" s="106">
        <f>ROUND(K46-K67,1)</f>
        <v>0</v>
      </c>
      <c r="L70" s="106"/>
      <c r="M70" s="106">
        <f>ROUND(M46-M67,1)</f>
        <v>0</v>
      </c>
      <c r="N70" s="106"/>
      <c r="O70" s="106">
        <f>ROUND(O46-O67,1)</f>
        <v>0</v>
      </c>
      <c r="P70" s="106"/>
      <c r="Q70" s="106">
        <f>ROUND(Q46-Q67,1)</f>
        <v>0</v>
      </c>
      <c r="R70" s="106"/>
      <c r="S70" s="106">
        <f>ROUND(S46-S67,1)</f>
        <v>0</v>
      </c>
      <c r="T70" s="106"/>
      <c r="U70" s="106">
        <f>ROUND(U46-U67,1)</f>
        <v>0</v>
      </c>
      <c r="V70" s="106"/>
      <c r="W70" s="106">
        <f>ROUND(W46-W67,1)</f>
        <v>0</v>
      </c>
      <c r="X70" s="106"/>
      <c r="Y70" s="106">
        <f>ROUND(Y46-Y67,1)</f>
        <v>0</v>
      </c>
      <c r="Z70" s="106"/>
      <c r="AA70" s="106">
        <f>ROUND(AA46-AA67,1)</f>
        <v>0</v>
      </c>
      <c r="AB70" s="106"/>
      <c r="AC70" s="659"/>
      <c r="AD70" s="106">
        <f>ROUND(SUM(AD46-AD67),1)</f>
        <v>323.39999999999998</v>
      </c>
      <c r="AE70" s="1063"/>
      <c r="AF70" s="659"/>
      <c r="AG70" s="106">
        <f>ROUND(SUM(AG46-AG67),1)</f>
        <v>-147.80000000000001</v>
      </c>
      <c r="AH70" s="109"/>
      <c r="AI70" s="1081"/>
      <c r="AJ70" s="107">
        <f>ROUND(AD70-AG70,1)</f>
        <v>471.2</v>
      </c>
      <c r="AK70" s="3581"/>
      <c r="AL70" s="3546">
        <f>ROUND(SUM(AD70-AG70)/ABS(AG70),3)</f>
        <v>3.1880000000000002</v>
      </c>
    </row>
    <row r="71" spans="1:39" ht="15.75">
      <c r="A71" s="101"/>
      <c r="B71" s="101"/>
      <c r="C71" s="101"/>
      <c r="D71" s="101"/>
      <c r="E71" s="1019"/>
      <c r="F71" s="872"/>
      <c r="G71" s="1019"/>
      <c r="H71" s="872"/>
      <c r="I71" s="1019"/>
      <c r="J71" s="872"/>
      <c r="K71" s="1019"/>
      <c r="L71" s="112"/>
      <c r="M71" s="120"/>
      <c r="N71" s="112"/>
      <c r="O71" s="120"/>
      <c r="P71" s="112"/>
      <c r="Q71" s="120"/>
      <c r="R71" s="112"/>
      <c r="S71" s="120"/>
      <c r="T71" s="112"/>
      <c r="U71" s="120"/>
      <c r="V71" s="112"/>
      <c r="W71" s="120"/>
      <c r="X71" s="112"/>
      <c r="Y71" s="120"/>
      <c r="Z71" s="112"/>
      <c r="AA71" s="120"/>
      <c r="AB71" s="112"/>
      <c r="AC71" s="658"/>
      <c r="AD71" s="120"/>
      <c r="AE71" s="1058"/>
      <c r="AF71" s="658"/>
      <c r="AG71" s="120"/>
      <c r="AH71" s="62"/>
      <c r="AI71" s="1081"/>
      <c r="AJ71" s="351"/>
      <c r="AK71" s="1079"/>
      <c r="AL71" s="1061"/>
    </row>
    <row r="72" spans="1:39" ht="15.75">
      <c r="A72" s="101"/>
      <c r="B72" s="99" t="s">
        <v>202</v>
      </c>
      <c r="C72" s="101"/>
      <c r="D72" s="101"/>
      <c r="E72" s="872"/>
      <c r="F72" s="872"/>
      <c r="G72" s="872"/>
      <c r="H72" s="872"/>
      <c r="I72" s="872"/>
      <c r="J72" s="872"/>
      <c r="K72" s="872"/>
      <c r="L72" s="112"/>
      <c r="M72" s="112"/>
      <c r="N72" s="112"/>
      <c r="O72" s="112"/>
      <c r="P72" s="112"/>
      <c r="Q72" s="112"/>
      <c r="R72" s="112"/>
      <c r="S72" s="112"/>
      <c r="T72" s="112"/>
      <c r="U72" s="112"/>
      <c r="V72" s="112"/>
      <c r="W72" s="112" t="s">
        <v>14</v>
      </c>
      <c r="X72" s="112"/>
      <c r="Y72" s="112"/>
      <c r="Z72" s="112"/>
      <c r="AA72" s="112"/>
      <c r="AB72" s="112"/>
      <c r="AC72" s="658"/>
      <c r="AD72" s="121"/>
      <c r="AE72" s="1058"/>
      <c r="AF72" s="658"/>
      <c r="AG72" s="121"/>
      <c r="AH72" s="121"/>
      <c r="AI72" s="1085"/>
      <c r="AJ72" s="351"/>
      <c r="AK72" s="1079"/>
      <c r="AL72" s="1061"/>
    </row>
    <row r="73" spans="1:39" ht="15.75">
      <c r="A73" s="101"/>
      <c r="B73" s="1679" t="s">
        <v>210</v>
      </c>
      <c r="C73" s="101"/>
      <c r="D73" s="101"/>
      <c r="E73" s="1498">
        <v>0</v>
      </c>
      <c r="F73" s="872"/>
      <c r="G73" s="1498">
        <f t="shared" ref="G73:G74" si="10">$AD73-E73</f>
        <v>0</v>
      </c>
      <c r="H73" s="872"/>
      <c r="I73" s="1498"/>
      <c r="J73" s="872"/>
      <c r="K73" s="1498"/>
      <c r="L73" s="872"/>
      <c r="M73" s="1498"/>
      <c r="N73" s="872"/>
      <c r="O73" s="1498"/>
      <c r="P73" s="872"/>
      <c r="Q73" s="1498"/>
      <c r="R73" s="872"/>
      <c r="S73" s="1498"/>
      <c r="T73" s="1498"/>
      <c r="U73" s="1498"/>
      <c r="V73" s="872"/>
      <c r="W73" s="1498"/>
      <c r="X73" s="872"/>
      <c r="Y73" s="1498"/>
      <c r="Z73" s="872"/>
      <c r="AA73" s="1498"/>
      <c r="AB73" s="872"/>
      <c r="AC73" s="1385"/>
      <c r="AD73" s="1498">
        <v>0</v>
      </c>
      <c r="AE73" s="3098"/>
      <c r="AF73" s="1001"/>
      <c r="AG73" s="1498">
        <v>0</v>
      </c>
      <c r="AH73" s="113"/>
      <c r="AI73" s="1059"/>
      <c r="AJ73" s="1884">
        <f>ROUND(AD73-AG73,1)</f>
        <v>0</v>
      </c>
      <c r="AK73" s="1079"/>
      <c r="AL73" s="1603">
        <f>ROUND(IF(AG73=0,0,AJ73/ABS(AG73)),3)</f>
        <v>0</v>
      </c>
      <c r="AM73" s="1079"/>
    </row>
    <row r="74" spans="1:39" ht="15.75">
      <c r="A74" s="101"/>
      <c r="B74" s="1679" t="s">
        <v>211</v>
      </c>
      <c r="C74" s="101"/>
      <c r="D74" s="101"/>
      <c r="E74" s="1498">
        <v>0</v>
      </c>
      <c r="F74" s="872"/>
      <c r="G74" s="1498">
        <f t="shared" si="10"/>
        <v>0</v>
      </c>
      <c r="H74" s="872"/>
      <c r="I74" s="1498"/>
      <c r="J74" s="872"/>
      <c r="K74" s="1498"/>
      <c r="L74" s="872"/>
      <c r="M74" s="1498"/>
      <c r="N74" s="872"/>
      <c r="O74" s="1498"/>
      <c r="P74" s="872"/>
      <c r="Q74" s="1498"/>
      <c r="R74" s="872"/>
      <c r="S74" s="1498"/>
      <c r="T74" s="1498"/>
      <c r="U74" s="1498"/>
      <c r="V74" s="872"/>
      <c r="W74" s="1498"/>
      <c r="X74" s="872"/>
      <c r="Y74" s="1498"/>
      <c r="Z74" s="872"/>
      <c r="AA74" s="1498"/>
      <c r="AB74" s="872"/>
      <c r="AC74" s="1385"/>
      <c r="AD74" s="3099">
        <v>0</v>
      </c>
      <c r="AE74" s="3098"/>
      <c r="AF74" s="1001"/>
      <c r="AG74" s="3099">
        <v>0</v>
      </c>
      <c r="AH74" s="62"/>
      <c r="AI74" s="1081"/>
      <c r="AJ74" s="1092">
        <f>-ROUND(AD74-AG74,1)</f>
        <v>0</v>
      </c>
      <c r="AK74" s="1079"/>
      <c r="AL74" s="1682">
        <f>ROUND(IF(AG74=0,0,AJ74/ABS(AG74)),3)</f>
        <v>0</v>
      </c>
    </row>
    <row r="75" spans="1:39" ht="15.75">
      <c r="A75" s="101"/>
      <c r="B75" s="101"/>
      <c r="C75" s="101"/>
      <c r="D75" s="101"/>
      <c r="E75" s="120"/>
      <c r="F75" s="112"/>
      <c r="G75" s="120"/>
      <c r="H75" s="112"/>
      <c r="I75" s="120"/>
      <c r="J75" s="112"/>
      <c r="K75" s="120"/>
      <c r="L75" s="112"/>
      <c r="M75" s="120"/>
      <c r="N75" s="112"/>
      <c r="O75" s="120"/>
      <c r="P75" s="112"/>
      <c r="Q75" s="120"/>
      <c r="R75" s="112"/>
      <c r="S75" s="120"/>
      <c r="T75" s="112"/>
      <c r="U75" s="120"/>
      <c r="V75" s="112"/>
      <c r="W75" s="1448"/>
      <c r="X75" s="112"/>
      <c r="Y75" s="120"/>
      <c r="Z75" s="112"/>
      <c r="AA75" s="120"/>
      <c r="AB75" s="112"/>
      <c r="AC75" s="658"/>
      <c r="AD75" s="351"/>
      <c r="AE75" s="1058"/>
      <c r="AF75" s="658"/>
      <c r="AG75" s="351"/>
      <c r="AH75" s="351"/>
      <c r="AI75" s="1086"/>
      <c r="AJ75" s="1093"/>
      <c r="AK75" s="3583"/>
      <c r="AL75" s="3584"/>
      <c r="AM75" s="1079"/>
    </row>
    <row r="76" spans="1:39" ht="15.75">
      <c r="A76" s="101"/>
      <c r="B76" s="99" t="s">
        <v>204</v>
      </c>
      <c r="C76" s="101"/>
      <c r="D76" s="101"/>
      <c r="E76" s="1088">
        <f>ROUND(SUM(E73:E75),1)</f>
        <v>0</v>
      </c>
      <c r="F76" s="112"/>
      <c r="G76" s="1088">
        <f>ROUND(SUM(G73:G75),1)</f>
        <v>0</v>
      </c>
      <c r="H76" s="112"/>
      <c r="I76" s="1088">
        <f>ROUND(SUM(I73:I75),1)</f>
        <v>0</v>
      </c>
      <c r="J76" s="112"/>
      <c r="K76" s="1088">
        <f>ROUND(SUM(K73:K75),1)</f>
        <v>0</v>
      </c>
      <c r="L76" s="112"/>
      <c r="M76" s="1088">
        <f>ROUND(SUM(M73:M75),1)</f>
        <v>0</v>
      </c>
      <c r="N76" s="112"/>
      <c r="O76" s="1088">
        <f>ROUND(SUM(O73:O75),1)</f>
        <v>0</v>
      </c>
      <c r="P76" s="112"/>
      <c r="Q76" s="1088">
        <f>ROUND(SUM(Q73:Q75),1)</f>
        <v>0</v>
      </c>
      <c r="R76" s="121"/>
      <c r="S76" s="1088">
        <f>ROUND(SUM(S73:S75),1)</f>
        <v>0</v>
      </c>
      <c r="T76" s="112"/>
      <c r="U76" s="1088">
        <f>ROUND(SUM(U73:U75),1)</f>
        <v>0</v>
      </c>
      <c r="V76" s="112"/>
      <c r="W76" s="1088">
        <f>ROUND(SUM(W73:W75),1)</f>
        <v>0</v>
      </c>
      <c r="X76" s="112"/>
      <c r="Y76" s="1088">
        <f>ROUND(SUM(Y73:Y75),1)</f>
        <v>0</v>
      </c>
      <c r="Z76" s="113"/>
      <c r="AA76" s="1088">
        <f>ROUND(SUM(AA73:AA75),1)</f>
        <v>0</v>
      </c>
      <c r="AB76" s="112"/>
      <c r="AC76" s="658"/>
      <c r="AD76" s="1088">
        <f>ROUND(SUM(AD73:AD75),1)</f>
        <v>0</v>
      </c>
      <c r="AE76" s="1058"/>
      <c r="AF76" s="658"/>
      <c r="AG76" s="1088">
        <f>ROUND(SUM(AG73:AG75),1)</f>
        <v>0</v>
      </c>
      <c r="AH76" s="62"/>
      <c r="AI76" s="1081"/>
      <c r="AJ76" s="1088">
        <f>ROUND(SUM(AD76-AG76),1)</f>
        <v>0</v>
      </c>
      <c r="AK76" s="3583"/>
      <c r="AL76" s="2512">
        <f>ROUND(IF(AG76=0,0,AJ76/ABS(AG76)),3)</f>
        <v>0</v>
      </c>
    </row>
    <row r="77" spans="1:39" ht="15.75">
      <c r="A77" s="101"/>
      <c r="B77" s="101"/>
      <c r="C77" s="101"/>
      <c r="D77" s="101"/>
      <c r="E77" s="120"/>
      <c r="F77" s="112"/>
      <c r="G77" s="120"/>
      <c r="H77" s="112"/>
      <c r="I77" s="120"/>
      <c r="J77" s="112"/>
      <c r="K77" s="120"/>
      <c r="L77" s="112"/>
      <c r="M77" s="120"/>
      <c r="N77" s="112"/>
      <c r="O77" s="120"/>
      <c r="P77" s="112"/>
      <c r="Q77" s="120"/>
      <c r="R77" s="112"/>
      <c r="S77" s="120"/>
      <c r="T77" s="112"/>
      <c r="U77" s="120"/>
      <c r="V77" s="112"/>
      <c r="W77" s="120"/>
      <c r="X77" s="112"/>
      <c r="Y77" s="120"/>
      <c r="Z77" s="112"/>
      <c r="AA77" s="120"/>
      <c r="AB77" s="112"/>
      <c r="AC77" s="658"/>
      <c r="AD77" s="120"/>
      <c r="AE77" s="1058"/>
      <c r="AF77" s="658"/>
      <c r="AG77" s="120"/>
      <c r="AH77" s="62"/>
      <c r="AI77" s="1081"/>
      <c r="AJ77" s="120"/>
      <c r="AK77" s="1079"/>
      <c r="AL77" s="2109"/>
    </row>
    <row r="78" spans="1:39" ht="15.75">
      <c r="A78" s="101"/>
      <c r="B78" s="99" t="s">
        <v>205</v>
      </c>
      <c r="C78" s="101"/>
      <c r="D78" s="101"/>
      <c r="E78" s="112" t="s">
        <v>14</v>
      </c>
      <c r="F78" s="112" t="s">
        <v>14</v>
      </c>
      <c r="G78" s="112" t="s">
        <v>14</v>
      </c>
      <c r="H78" s="112"/>
      <c r="I78" s="112" t="s">
        <v>14</v>
      </c>
      <c r="J78" s="112"/>
      <c r="K78" s="112" t="s">
        <v>14</v>
      </c>
      <c r="L78" s="112"/>
      <c r="M78" s="112" t="s">
        <v>14</v>
      </c>
      <c r="N78" s="112"/>
      <c r="O78" s="112" t="s">
        <v>14</v>
      </c>
      <c r="P78" s="112"/>
      <c r="Q78" s="112" t="s">
        <v>14</v>
      </c>
      <c r="R78" s="112"/>
      <c r="S78" s="112" t="s">
        <v>14</v>
      </c>
      <c r="T78" s="112"/>
      <c r="U78" s="112" t="s">
        <v>14</v>
      </c>
      <c r="V78" s="112"/>
      <c r="W78" s="112" t="s">
        <v>14</v>
      </c>
      <c r="X78" s="112"/>
      <c r="Y78" s="112" t="s">
        <v>14</v>
      </c>
      <c r="Z78" s="112"/>
      <c r="AA78" s="112" t="s">
        <v>14</v>
      </c>
      <c r="AB78" s="112"/>
      <c r="AC78" s="658"/>
      <c r="AD78" s="112"/>
      <c r="AE78" s="1058"/>
      <c r="AF78" s="658"/>
      <c r="AG78" s="112"/>
      <c r="AH78" s="112"/>
      <c r="AI78" s="1081"/>
      <c r="AJ78" s="351"/>
      <c r="AK78" s="1079"/>
      <c r="AL78" s="1061"/>
    </row>
    <row r="79" spans="1:39" ht="15.75">
      <c r="A79" s="101"/>
      <c r="B79" s="99" t="s">
        <v>206</v>
      </c>
      <c r="C79" s="101"/>
      <c r="D79" s="101"/>
      <c r="E79" s="112"/>
      <c r="F79" s="112"/>
      <c r="G79" s="112" t="s">
        <v>14</v>
      </c>
      <c r="H79" s="112"/>
      <c r="I79" s="112" t="s">
        <v>14</v>
      </c>
      <c r="J79" s="112"/>
      <c r="K79" s="112" t="s">
        <v>14</v>
      </c>
      <c r="L79" s="112"/>
      <c r="M79" s="112" t="s">
        <v>14</v>
      </c>
      <c r="N79" s="112"/>
      <c r="O79" s="112" t="s">
        <v>14</v>
      </c>
      <c r="P79" s="112"/>
      <c r="Q79" s="112" t="s">
        <v>14</v>
      </c>
      <c r="R79" s="112"/>
      <c r="S79" s="112" t="s">
        <v>14</v>
      </c>
      <c r="T79" s="112"/>
      <c r="U79" s="112" t="s">
        <v>14</v>
      </c>
      <c r="V79" s="112"/>
      <c r="W79" s="112" t="s">
        <v>14</v>
      </c>
      <c r="X79" s="112"/>
      <c r="Y79" s="112" t="s">
        <v>14</v>
      </c>
      <c r="Z79" s="112"/>
      <c r="AA79" s="112" t="s">
        <v>14</v>
      </c>
      <c r="AB79" s="112"/>
      <c r="AC79" s="658"/>
      <c r="AD79" s="112"/>
      <c r="AE79" s="1058"/>
      <c r="AF79" s="658"/>
      <c r="AG79" s="112"/>
      <c r="AH79" s="112"/>
      <c r="AI79" s="1081"/>
      <c r="AJ79" s="351"/>
      <c r="AK79" s="1079"/>
      <c r="AL79" s="1061"/>
    </row>
    <row r="80" spans="1:39" ht="15.75">
      <c r="A80" s="101"/>
      <c r="B80" s="99" t="s">
        <v>164</v>
      </c>
      <c r="C80" s="101"/>
      <c r="D80" s="101"/>
      <c r="E80" s="1084">
        <f>ROUND(E70+E76,1)</f>
        <v>-20.9</v>
      </c>
      <c r="F80" s="62"/>
      <c r="G80" s="1084">
        <f>ROUND(G70+G76,1)</f>
        <v>344.3</v>
      </c>
      <c r="H80" s="62"/>
      <c r="I80" s="1084">
        <f>ROUND(I70+I76,1)</f>
        <v>0</v>
      </c>
      <c r="J80" s="62"/>
      <c r="K80" s="1084">
        <f>ROUND(K70+K76,1)</f>
        <v>0</v>
      </c>
      <c r="L80" s="62"/>
      <c r="M80" s="1084">
        <f>ROUND(M70+M76,1)</f>
        <v>0</v>
      </c>
      <c r="N80" s="62"/>
      <c r="O80" s="1084">
        <f>ROUND(O70+O76,1)</f>
        <v>0</v>
      </c>
      <c r="P80" s="62"/>
      <c r="Q80" s="1084">
        <f>ROUND(Q70+Q76,1)</f>
        <v>0</v>
      </c>
      <c r="R80" s="62"/>
      <c r="S80" s="1084">
        <f>ROUND(S70+S76,1)</f>
        <v>0</v>
      </c>
      <c r="T80" s="62"/>
      <c r="U80" s="1084">
        <f>ROUND(U70+U76,1)</f>
        <v>0</v>
      </c>
      <c r="V80" s="62"/>
      <c r="W80" s="1084">
        <f>ROUND(W70+W76,1)</f>
        <v>0</v>
      </c>
      <c r="X80" s="62"/>
      <c r="Y80" s="1084">
        <f>ROUND(Y70+Y76,1)</f>
        <v>0</v>
      </c>
      <c r="Z80" s="62"/>
      <c r="AA80" s="1084">
        <f>ROUND(AA70+AA76,1)</f>
        <v>0</v>
      </c>
      <c r="AB80" s="62"/>
      <c r="AC80" s="1049"/>
      <c r="AD80" s="1084">
        <f>ROUND(AD70+AD76,1)</f>
        <v>323.39999999999998</v>
      </c>
      <c r="AE80" s="3100"/>
      <c r="AF80" s="3103"/>
      <c r="AG80" s="1084">
        <f>ROUND(AG70+AG76,1)</f>
        <v>-147.80000000000001</v>
      </c>
      <c r="AH80" s="1800"/>
      <c r="AI80" s="1801"/>
      <c r="AJ80" s="1084">
        <f>ROUND(AD80-AG80,1)</f>
        <v>471.2</v>
      </c>
      <c r="AK80" s="3353"/>
      <c r="AL80" s="3546">
        <f>ROUND(SUM(AD80-AG80)/ABS(AG80),3)</f>
        <v>3.1880000000000002</v>
      </c>
      <c r="AM80" s="3585"/>
    </row>
    <row r="81" spans="1:39" ht="15.75">
      <c r="A81" s="101"/>
      <c r="B81" s="99"/>
      <c r="C81" s="101"/>
      <c r="D81" s="101"/>
      <c r="E81" s="133"/>
      <c r="F81" s="112"/>
      <c r="G81" s="133"/>
      <c r="H81" s="112"/>
      <c r="I81" s="133"/>
      <c r="J81" s="112"/>
      <c r="K81" s="133"/>
      <c r="L81" s="112"/>
      <c r="M81" s="133"/>
      <c r="N81" s="112"/>
      <c r="O81" s="133"/>
      <c r="P81" s="112"/>
      <c r="Q81" s="133"/>
      <c r="R81" s="112"/>
      <c r="S81" s="133"/>
      <c r="T81" s="112"/>
      <c r="U81" s="133"/>
      <c r="V81" s="112"/>
      <c r="W81" s="133"/>
      <c r="X81" s="112"/>
      <c r="Y81" s="133"/>
      <c r="Z81" s="112"/>
      <c r="AA81" s="133"/>
      <c r="AB81" s="112"/>
      <c r="AC81" s="1049"/>
      <c r="AD81" s="133"/>
      <c r="AE81" s="3101"/>
      <c r="AF81" s="3104"/>
      <c r="AG81" s="133"/>
      <c r="AH81" s="1353"/>
      <c r="AI81" s="1354"/>
      <c r="AJ81" s="133"/>
      <c r="AK81" s="3581"/>
      <c r="AL81" s="3586"/>
      <c r="AM81" s="3585"/>
    </row>
    <row r="82" spans="1:39" ht="16.5" thickBot="1">
      <c r="A82" s="101"/>
      <c r="B82" s="99" t="s">
        <v>1084</v>
      </c>
      <c r="C82" s="101"/>
      <c r="D82" s="101"/>
      <c r="E82" s="1802">
        <f>ROUND(SUM(E14+E80),1)</f>
        <v>-808</v>
      </c>
      <c r="F82" s="112"/>
      <c r="G82" s="1802">
        <f>ROUND(SUM(G14+G80),1)</f>
        <v>-463.7</v>
      </c>
      <c r="H82" s="112"/>
      <c r="I82" s="1802">
        <f>ROUND(SUM(I14+I80),1)</f>
        <v>0</v>
      </c>
      <c r="J82" s="112"/>
      <c r="K82" s="1802">
        <f>ROUND(SUM(K14+K80),1)</f>
        <v>0</v>
      </c>
      <c r="L82" s="112"/>
      <c r="M82" s="1802">
        <f>ROUND(SUM(M14+M80),1)</f>
        <v>0</v>
      </c>
      <c r="N82" s="112"/>
      <c r="O82" s="1802">
        <f>ROUND(SUM(O14+O80),1)</f>
        <v>0</v>
      </c>
      <c r="P82" s="112"/>
      <c r="Q82" s="1802">
        <f>ROUND(SUM(Q14+Q80),1)</f>
        <v>0</v>
      </c>
      <c r="R82" s="112"/>
      <c r="S82" s="1802">
        <f>ROUND(SUM(S14+S80),1)</f>
        <v>0</v>
      </c>
      <c r="T82" s="112"/>
      <c r="U82" s="1802">
        <f>ROUND(SUM(U14+U80),1)</f>
        <v>0</v>
      </c>
      <c r="V82" s="112"/>
      <c r="W82" s="1802">
        <f>ROUND(SUM(W14+W80),1)</f>
        <v>0</v>
      </c>
      <c r="X82" s="112"/>
      <c r="Y82" s="1802">
        <f>ROUND(SUM(Y14+Y80),1)</f>
        <v>0</v>
      </c>
      <c r="Z82" s="112"/>
      <c r="AA82" s="1802">
        <f>ROUND(SUM(AA14+AA80),1)</f>
        <v>0</v>
      </c>
      <c r="AB82" s="112"/>
      <c r="AC82" s="1049"/>
      <c r="AD82" s="1802">
        <f>ROUND(SUM(AD14+AD80),1)</f>
        <v>-463.7</v>
      </c>
      <c r="AE82" s="3101"/>
      <c r="AF82" s="3104"/>
      <c r="AG82" s="1802">
        <f>ROUND(SUM(AG14+AG80),1)</f>
        <v>-728.1</v>
      </c>
      <c r="AH82" s="1353"/>
      <c r="AI82" s="1354"/>
      <c r="AJ82" s="1802">
        <f>ROUND(SUM(AJ14+AJ80),1)</f>
        <v>264.39999999999998</v>
      </c>
      <c r="AK82" s="3581"/>
      <c r="AL82" s="3587">
        <f>ROUND(SUM(AD82-AG82)/ABS(AG82),3)</f>
        <v>0.36299999999999999</v>
      </c>
      <c r="AM82" s="3585"/>
    </row>
    <row r="83" spans="1:39" ht="16.5" thickTop="1">
      <c r="A83" s="101"/>
      <c r="B83" s="101"/>
      <c r="C83" s="101"/>
      <c r="D83" s="10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094"/>
      <c r="AJ83" s="1079"/>
      <c r="AK83" s="1079"/>
      <c r="AL83" s="3588"/>
    </row>
    <row r="84" spans="1:39">
      <c r="A84" s="101"/>
      <c r="B84" s="3589"/>
      <c r="C84" s="101"/>
      <c r="D84" s="101"/>
      <c r="E84" s="103"/>
      <c r="F84" s="101"/>
      <c r="G84" s="103"/>
      <c r="H84" s="101"/>
      <c r="I84" s="103"/>
      <c r="J84" s="101"/>
      <c r="K84" s="103"/>
      <c r="L84" s="101"/>
      <c r="M84" s="103"/>
      <c r="N84" s="101"/>
      <c r="O84" s="103"/>
      <c r="P84" s="101"/>
      <c r="Q84" s="103"/>
      <c r="R84" s="101"/>
      <c r="S84" s="3590" t="s">
        <v>14</v>
      </c>
      <c r="T84" s="101"/>
      <c r="U84" s="3590" t="s">
        <v>14</v>
      </c>
      <c r="V84" s="101"/>
      <c r="W84" s="103"/>
      <c r="X84" s="101"/>
      <c r="Y84" s="103"/>
      <c r="Z84" s="101"/>
      <c r="AA84" s="103"/>
      <c r="AB84" s="101"/>
      <c r="AC84" s="101"/>
      <c r="AD84" s="103"/>
      <c r="AE84" s="101"/>
      <c r="AF84" s="101"/>
      <c r="AG84" s="103"/>
      <c r="AH84" s="103"/>
      <c r="AI84" s="103"/>
      <c r="AJ84" s="1079"/>
      <c r="AK84" s="1079"/>
      <c r="AL84" s="1061"/>
    </row>
    <row r="85" spans="1:39">
      <c r="B85" s="101"/>
      <c r="Y85" s="3354" t="s">
        <v>14</v>
      </c>
      <c r="AI85" s="1079"/>
      <c r="AJ85" s="1067" t="s">
        <v>14</v>
      </c>
      <c r="AK85" s="1079"/>
      <c r="AL85" s="3591"/>
    </row>
    <row r="90" spans="1:39">
      <c r="AD90" s="3102"/>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62:AL65 AL57:AL58 AL35:AL37 AL21:AL28 AL39:AL40 AL52:AL54" unlockedFormula="1"/>
    <ignoredError sqref="AL56 AL38"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70" zoomScaleNormal="55" workbookViewId="0"/>
  </sheetViews>
  <sheetFormatPr defaultColWidth="8.6640625" defaultRowHeight="16.5" customHeight="1"/>
  <cols>
    <col min="1" max="1" width="45.109375" style="96" customWidth="1"/>
    <col min="2" max="2" width="1.6640625" style="96" customWidth="1"/>
    <col min="3" max="3" width="9.6640625" style="96" customWidth="1"/>
    <col min="4" max="4" width="1.6640625" style="96" customWidth="1"/>
    <col min="5" max="5" width="11.109375" style="96" customWidth="1"/>
    <col min="6" max="6" width="1.6640625" style="96" customWidth="1"/>
    <col min="7" max="7" width="11.5546875" style="96" customWidth="1"/>
    <col min="8" max="8" width="1.6640625" style="96" customWidth="1"/>
    <col min="9" max="9" width="11.6640625" style="96" bestFit="1" customWidth="1"/>
    <col min="10" max="10" width="1.5546875" style="96" customWidth="1"/>
    <col min="11" max="11" width="11.5546875" style="96" bestFit="1" customWidth="1"/>
    <col min="12" max="12" width="1.5546875" style="96" customWidth="1"/>
    <col min="13" max="13" width="13.109375" style="96" customWidth="1"/>
    <col min="14" max="14" width="1.6640625" style="96" customWidth="1"/>
    <col min="15" max="15" width="11.6640625" style="96" customWidth="1"/>
    <col min="16" max="16" width="1.6640625" style="96" customWidth="1"/>
    <col min="17" max="17" width="11.6640625" style="96" customWidth="1"/>
    <col min="18" max="18" width="1.6640625" style="96" customWidth="1"/>
    <col min="19" max="19" width="12.44140625" style="96" customWidth="1"/>
    <col min="20" max="20" width="1.6640625" style="96" customWidth="1"/>
    <col min="21" max="21" width="11.6640625" style="96" customWidth="1"/>
    <col min="22" max="22" width="1.6640625" style="96" customWidth="1"/>
    <col min="23" max="23" width="12" style="96" customWidth="1"/>
    <col min="24" max="24" width="1.6640625" style="96" customWidth="1"/>
    <col min="25" max="25" width="11.6640625" style="96" customWidth="1"/>
    <col min="26" max="27" width="1.6640625" style="96" customWidth="1"/>
    <col min="28" max="28" width="11.5546875" style="1666" customWidth="1"/>
    <col min="29" max="30" width="1.6640625" style="1666" customWidth="1"/>
    <col min="31" max="31" width="12.44140625" style="1666" customWidth="1"/>
    <col min="32" max="32" width="1.6640625" style="2149" customWidth="1"/>
    <col min="33" max="33" width="2.44140625" style="3117" customWidth="1"/>
    <col min="34" max="34" width="12.44140625" style="1615" customWidth="1"/>
    <col min="35" max="35" width="1.6640625" style="1110" customWidth="1"/>
    <col min="36" max="36" width="14.109375" style="1109" bestFit="1" customWidth="1"/>
    <col min="37" max="16384" width="8.6640625" style="96"/>
  </cols>
  <sheetData>
    <row r="1" spans="1:38" ht="16.5" customHeight="1">
      <c r="A1" s="625" t="s">
        <v>870</v>
      </c>
    </row>
    <row r="2" spans="1:38" ht="16.5" customHeight="1">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3013"/>
      <c r="AC2" s="3013"/>
      <c r="AD2" s="3013"/>
      <c r="AE2" s="3013"/>
    </row>
    <row r="3" spans="1:38" ht="20.25" customHeight="1">
      <c r="A3" s="3430" t="s">
        <v>0</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1660"/>
      <c r="AC3" s="1660"/>
      <c r="AD3" s="1660"/>
      <c r="AE3" s="1660"/>
      <c r="AF3" s="101"/>
      <c r="AJ3" s="1147" t="s">
        <v>979</v>
      </c>
      <c r="AK3" s="217"/>
      <c r="AL3" s="217"/>
    </row>
    <row r="4" spans="1:38" ht="20.25" customHeight="1">
      <c r="A4" s="3430" t="s">
        <v>212</v>
      </c>
      <c r="B4" s="215"/>
      <c r="C4" s="215"/>
      <c r="D4" s="215"/>
      <c r="E4" s="215"/>
      <c r="F4" s="215"/>
      <c r="G4" s="215"/>
      <c r="H4" s="215"/>
      <c r="I4" s="215" t="s">
        <v>14</v>
      </c>
      <c r="J4" s="215"/>
      <c r="K4" s="215"/>
      <c r="L4" s="215"/>
      <c r="M4" s="215"/>
      <c r="N4" s="215"/>
      <c r="O4" s="215"/>
      <c r="P4" s="215"/>
      <c r="Q4" s="215"/>
      <c r="R4" s="215"/>
      <c r="S4" s="215"/>
      <c r="T4" s="215"/>
      <c r="U4" s="215"/>
      <c r="V4" s="215"/>
      <c r="W4" s="215"/>
      <c r="X4" s="215"/>
      <c r="Y4" s="215" t="s">
        <v>14</v>
      </c>
      <c r="Z4" s="215"/>
      <c r="AA4" s="215"/>
      <c r="AB4" s="1660"/>
      <c r="AC4" s="1660"/>
      <c r="AD4" s="1660"/>
      <c r="AE4" s="1660"/>
      <c r="AF4" s="101"/>
      <c r="AK4" s="217"/>
      <c r="AL4" s="217"/>
    </row>
    <row r="5" spans="1:38" ht="20.25" customHeight="1">
      <c r="A5" s="3431" t="s">
        <v>121</v>
      </c>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F5" s="3118"/>
      <c r="AK5" s="216"/>
      <c r="AL5" s="216"/>
    </row>
    <row r="6" spans="1:38" ht="20.25" customHeight="1">
      <c r="A6" s="3431" t="str">
        <f>'Cashflow Governmental'!A6</f>
        <v xml:space="preserve">FISCAL YEAR 2022-2023   </v>
      </c>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1660"/>
      <c r="AC6" s="1660"/>
      <c r="AD6" s="1660"/>
      <c r="AE6" s="1660"/>
      <c r="AF6" s="101"/>
      <c r="AK6" s="217"/>
      <c r="AL6" s="217"/>
    </row>
    <row r="7" spans="1:38" ht="20.25" customHeight="1">
      <c r="A7" s="3430" t="s">
        <v>1250</v>
      </c>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1660"/>
      <c r="AC7" s="1660"/>
      <c r="AD7" s="1660"/>
      <c r="AE7" s="1660"/>
      <c r="AF7" s="101"/>
      <c r="AK7" s="217"/>
      <c r="AL7" s="217"/>
    </row>
    <row r="8" spans="1:38" ht="16.5" customHeight="1">
      <c r="A8" s="219"/>
      <c r="B8" s="219"/>
      <c r="C8" s="219"/>
      <c r="D8" s="219"/>
      <c r="E8" s="219"/>
      <c r="F8" s="219"/>
      <c r="G8" s="219"/>
      <c r="H8" s="219"/>
      <c r="I8" s="219"/>
      <c r="J8" s="219"/>
      <c r="K8" s="219"/>
      <c r="L8" s="219"/>
      <c r="M8" s="219"/>
      <c r="N8" s="219"/>
      <c r="O8" s="219"/>
      <c r="P8" s="219"/>
      <c r="Q8" s="219"/>
      <c r="R8" s="219"/>
      <c r="S8" s="219"/>
      <c r="T8" s="219"/>
      <c r="U8" s="219"/>
      <c r="V8" s="219"/>
      <c r="W8" s="219"/>
      <c r="X8" s="219"/>
      <c r="Y8" s="219"/>
      <c r="Z8" s="219"/>
      <c r="AA8" s="219"/>
      <c r="AB8" s="3013"/>
      <c r="AC8" s="3013"/>
      <c r="AD8" s="3013"/>
      <c r="AE8" s="3013"/>
      <c r="AF8" s="101"/>
    </row>
    <row r="9" spans="1:38" ht="16.5" customHeight="1">
      <c r="A9" s="219"/>
      <c r="B9" s="219"/>
      <c r="C9" s="219"/>
      <c r="D9" s="219"/>
      <c r="E9" s="219"/>
      <c r="F9" s="219"/>
      <c r="G9" s="219"/>
      <c r="H9" s="219"/>
      <c r="I9" s="219"/>
      <c r="J9" s="219"/>
      <c r="K9" s="219"/>
      <c r="L9" s="219"/>
      <c r="M9" s="219"/>
      <c r="N9" s="219"/>
      <c r="O9" s="219"/>
      <c r="P9" s="219"/>
      <c r="Q9" s="219"/>
      <c r="R9" s="219"/>
      <c r="S9" s="219"/>
      <c r="T9" s="219"/>
      <c r="U9" s="219"/>
      <c r="V9" s="219"/>
      <c r="W9" s="219"/>
      <c r="X9" s="219"/>
      <c r="Y9" s="219"/>
      <c r="Z9" s="219"/>
      <c r="AA9" s="219"/>
      <c r="AB9" s="3013"/>
      <c r="AC9" s="3013"/>
      <c r="AD9" s="3013"/>
      <c r="AE9" s="3013"/>
      <c r="AF9" s="1065"/>
      <c r="AG9" s="3119"/>
    </row>
    <row r="10" spans="1:38" ht="16.5" customHeight="1">
      <c r="A10" s="219"/>
      <c r="B10" s="219"/>
      <c r="C10" s="219"/>
      <c r="D10" s="219"/>
      <c r="E10" s="219"/>
      <c r="F10" s="219"/>
      <c r="G10" s="219"/>
      <c r="H10" s="219"/>
      <c r="I10" s="219"/>
      <c r="J10" s="219"/>
      <c r="K10" s="219"/>
      <c r="L10" s="219"/>
      <c r="M10" s="219"/>
      <c r="N10" s="219"/>
      <c r="O10" s="219"/>
      <c r="P10" s="219"/>
      <c r="Q10" s="219"/>
      <c r="R10" s="219"/>
      <c r="S10" s="219"/>
      <c r="T10" s="219"/>
      <c r="U10" s="219"/>
      <c r="V10" s="219"/>
      <c r="W10" s="219"/>
      <c r="X10" s="219"/>
      <c r="Y10" s="219"/>
      <c r="Z10" s="219"/>
      <c r="AA10" s="219"/>
      <c r="AB10" s="3013"/>
      <c r="AC10" s="3013"/>
      <c r="AD10" s="3013"/>
      <c r="AE10" s="3013"/>
      <c r="AF10" s="1666"/>
      <c r="AG10" s="3120"/>
    </row>
    <row r="11" spans="1:38" ht="16.5" customHeight="1">
      <c r="A11" s="219"/>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C11" s="3013"/>
      <c r="AD11" s="3013"/>
      <c r="AE11" s="3013"/>
      <c r="AF11" s="3121"/>
      <c r="AG11" s="3122"/>
      <c r="AH11" s="3119"/>
      <c r="AI11" s="1111"/>
      <c r="AJ11" s="1111"/>
    </row>
    <row r="12" spans="1:38" ht="16.5" customHeight="1">
      <c r="A12" s="215"/>
      <c r="B12" s="215"/>
      <c r="C12" s="224" t="s">
        <v>14</v>
      </c>
      <c r="D12" s="224" t="s">
        <v>14</v>
      </c>
      <c r="E12" s="224"/>
      <c r="F12" s="224"/>
      <c r="G12" s="224"/>
      <c r="H12" s="224"/>
      <c r="I12" s="224"/>
      <c r="J12" s="224"/>
      <c r="K12" s="224"/>
      <c r="L12" s="224"/>
      <c r="M12" s="224"/>
      <c r="N12" s="224"/>
      <c r="O12" s="224"/>
      <c r="P12" s="224"/>
      <c r="Q12" s="224"/>
      <c r="R12" s="224"/>
      <c r="S12" s="224"/>
      <c r="T12" s="224"/>
      <c r="U12" s="224"/>
      <c r="V12" s="224"/>
      <c r="W12" s="224"/>
      <c r="X12" s="224"/>
      <c r="Y12" s="743"/>
      <c r="Z12" s="743"/>
      <c r="AA12" s="224"/>
      <c r="AB12" s="3962" t="s">
        <v>1518</v>
      </c>
      <c r="AC12" s="3963"/>
      <c r="AD12" s="3963"/>
      <c r="AE12" s="3963"/>
      <c r="AF12" s="3963"/>
      <c r="AG12" s="3963"/>
      <c r="AH12" s="3963"/>
      <c r="AI12" s="3963"/>
      <c r="AJ12" s="3963"/>
    </row>
    <row r="13" spans="1:38" ht="16.5" customHeight="1">
      <c r="A13" s="215"/>
      <c r="B13" s="215"/>
      <c r="C13" s="885" t="str">
        <f>'Cashflow Governmental'!C13</f>
        <v>2022</v>
      </c>
      <c r="D13" s="224"/>
      <c r="E13" s="224"/>
      <c r="F13" s="224"/>
      <c r="G13" s="224"/>
      <c r="H13" s="224"/>
      <c r="I13" s="224"/>
      <c r="J13" s="224"/>
      <c r="K13" s="224"/>
      <c r="L13" s="224"/>
      <c r="M13" s="224"/>
      <c r="N13" s="224"/>
      <c r="O13" s="224"/>
      <c r="P13" s="224"/>
      <c r="Q13" s="224"/>
      <c r="R13" s="224"/>
      <c r="S13" s="224"/>
      <c r="T13" s="224"/>
      <c r="U13" s="885">
        <f>'Cashflow Governmental'!U13</f>
        <v>2023</v>
      </c>
      <c r="V13" s="224"/>
      <c r="W13" s="224"/>
      <c r="X13" s="224"/>
      <c r="Y13" s="224"/>
      <c r="Z13" s="224"/>
      <c r="AA13" s="224"/>
      <c r="AB13" s="3014"/>
      <c r="AC13" s="3105"/>
      <c r="AD13" s="3105"/>
      <c r="AE13" s="3105"/>
      <c r="AF13" s="3123"/>
      <c r="AG13" s="3124"/>
      <c r="AH13" s="3125" t="s">
        <v>7</v>
      </c>
      <c r="AI13" s="1113"/>
      <c r="AJ13" s="1114" t="s">
        <v>8</v>
      </c>
    </row>
    <row r="14" spans="1:38" ht="16.5" customHeight="1">
      <c r="A14" s="215"/>
      <c r="B14" s="215"/>
      <c r="C14" s="744" t="s">
        <v>122</v>
      </c>
      <c r="D14" s="224"/>
      <c r="E14" s="744" t="s">
        <v>123</v>
      </c>
      <c r="F14" s="224"/>
      <c r="G14" s="744" t="s">
        <v>124</v>
      </c>
      <c r="H14" s="224"/>
      <c r="I14" s="744" t="s">
        <v>125</v>
      </c>
      <c r="J14" s="224"/>
      <c r="K14" s="744" t="s">
        <v>126</v>
      </c>
      <c r="L14" s="224"/>
      <c r="M14" s="744" t="s">
        <v>141</v>
      </c>
      <c r="N14" s="224"/>
      <c r="O14" s="744" t="s">
        <v>142</v>
      </c>
      <c r="P14" s="224"/>
      <c r="Q14" s="744" t="s">
        <v>129</v>
      </c>
      <c r="R14" s="224"/>
      <c r="S14" s="744" t="s">
        <v>130</v>
      </c>
      <c r="T14" s="224"/>
      <c r="U14" s="744" t="s">
        <v>131</v>
      </c>
      <c r="V14" s="224"/>
      <c r="W14" s="744" t="s">
        <v>132</v>
      </c>
      <c r="X14" s="224"/>
      <c r="Y14" s="744" t="s">
        <v>182</v>
      </c>
      <c r="Z14" s="224"/>
      <c r="AA14" s="224"/>
      <c r="AB14" s="3106">
        <f>'Cashflow Governmental'!AB14</f>
        <v>2022</v>
      </c>
      <c r="AC14" s="1659" t="s">
        <v>14</v>
      </c>
      <c r="AD14" s="1659"/>
      <c r="AE14" s="3106">
        <f>'Cashflow Governmental'!AE14</f>
        <v>2021</v>
      </c>
      <c r="AF14" s="3126"/>
      <c r="AG14" s="3127"/>
      <c r="AH14" s="3128" t="s">
        <v>11</v>
      </c>
      <c r="AI14" s="1116"/>
      <c r="AJ14" s="1115" t="s">
        <v>12</v>
      </c>
    </row>
    <row r="15" spans="1:38" ht="4.5" customHeight="1">
      <c r="A15" s="215"/>
      <c r="B15" s="215"/>
      <c r="C15" s="220"/>
      <c r="D15" s="215"/>
      <c r="E15" s="220"/>
      <c r="F15" s="215"/>
      <c r="G15" s="220"/>
      <c r="H15" s="215"/>
      <c r="I15" s="220"/>
      <c r="J15" s="215"/>
      <c r="K15" s="220"/>
      <c r="L15" s="215"/>
      <c r="M15" s="220"/>
      <c r="N15" s="215"/>
      <c r="O15" s="220" t="s">
        <v>14</v>
      </c>
      <c r="P15" s="215"/>
      <c r="Q15" s="220"/>
      <c r="R15" s="215"/>
      <c r="S15" s="220"/>
      <c r="T15" s="215"/>
      <c r="U15" s="220" t="s">
        <v>14</v>
      </c>
      <c r="V15" s="215"/>
      <c r="W15" s="220"/>
      <c r="X15" s="215"/>
      <c r="Y15" s="220"/>
      <c r="Z15" s="215"/>
      <c r="AA15" s="215"/>
      <c r="AB15" s="3107"/>
      <c r="AC15" s="1660"/>
      <c r="AD15" s="1660"/>
      <c r="AE15" s="3107"/>
      <c r="AF15" s="3126"/>
      <c r="AG15" s="3127"/>
    </row>
    <row r="16" spans="1:38" ht="16.5" customHeight="1">
      <c r="A16" s="221" t="s">
        <v>134</v>
      </c>
      <c r="B16" s="215"/>
      <c r="C16" s="2082">
        <v>357.7</v>
      </c>
      <c r="D16" s="222"/>
      <c r="E16" s="222">
        <f>C51</f>
        <v>331.3</v>
      </c>
      <c r="F16" s="352"/>
      <c r="G16" s="222"/>
      <c r="H16" s="352"/>
      <c r="I16" s="222"/>
      <c r="J16" s="222"/>
      <c r="K16" s="222"/>
      <c r="L16" s="352"/>
      <c r="M16" s="222"/>
      <c r="N16" s="352"/>
      <c r="O16" s="222"/>
      <c r="P16" s="352"/>
      <c r="Q16" s="222"/>
      <c r="R16" s="352"/>
      <c r="S16" s="222"/>
      <c r="T16" s="352"/>
      <c r="U16" s="222"/>
      <c r="V16" s="352"/>
      <c r="W16" s="222"/>
      <c r="X16" s="352"/>
      <c r="Y16" s="222"/>
      <c r="Z16" s="222"/>
      <c r="AA16" s="223"/>
      <c r="AB16" s="3108">
        <f>C16</f>
        <v>357.7</v>
      </c>
      <c r="AC16" s="3108"/>
      <c r="AD16" s="3129"/>
      <c r="AE16" s="2082">
        <v>328</v>
      </c>
      <c r="AF16" s="1641"/>
      <c r="AG16" s="1625"/>
      <c r="AH16" s="1614">
        <f>ROUND(SUM(AB16-AE16),1)</f>
        <v>29.7</v>
      </c>
      <c r="AJ16" s="3763">
        <f>ROUND(IF(AH16=0,0,AH16/(AE16)),3)</f>
        <v>9.0999999999999998E-2</v>
      </c>
    </row>
    <row r="17" spans="1:38" ht="16.5" customHeight="1">
      <c r="A17" s="215"/>
      <c r="B17" s="215"/>
      <c r="C17" s="215" t="s">
        <v>14</v>
      </c>
      <c r="D17" s="215"/>
      <c r="E17" s="225"/>
      <c r="F17" s="225"/>
      <c r="G17" s="225"/>
      <c r="H17" s="225"/>
      <c r="I17" s="225"/>
      <c r="J17" s="225"/>
      <c r="K17" s="225"/>
      <c r="L17" s="225"/>
      <c r="M17" s="225"/>
      <c r="N17" s="225"/>
      <c r="O17" s="225"/>
      <c r="P17" s="225"/>
      <c r="Q17" s="225"/>
      <c r="R17" s="225"/>
      <c r="S17" s="225"/>
      <c r="T17" s="225"/>
      <c r="U17" s="225"/>
      <c r="V17" s="225"/>
      <c r="W17" s="225"/>
      <c r="X17" s="225"/>
      <c r="Y17" s="225"/>
      <c r="Z17" s="215"/>
      <c r="AA17" s="226"/>
      <c r="AB17" s="1660" t="s">
        <v>14</v>
      </c>
      <c r="AC17" s="1660"/>
      <c r="AD17" s="3130"/>
      <c r="AE17" s="1660" t="s">
        <v>14</v>
      </c>
      <c r="AF17" s="1653"/>
      <c r="AG17" s="1625"/>
      <c r="AH17" s="3131"/>
      <c r="AJ17" s="3515"/>
    </row>
    <row r="18" spans="1:38" ht="16.5" customHeight="1">
      <c r="A18" s="224" t="s">
        <v>13</v>
      </c>
      <c r="B18" s="215"/>
      <c r="C18" s="215"/>
      <c r="D18" s="215"/>
      <c r="E18" s="225"/>
      <c r="F18" s="225"/>
      <c r="G18" s="225"/>
      <c r="H18" s="225"/>
      <c r="I18" s="225"/>
      <c r="J18" s="225"/>
      <c r="K18" s="225"/>
      <c r="L18" s="225"/>
      <c r="M18" s="225"/>
      <c r="N18" s="225"/>
      <c r="O18" s="225"/>
      <c r="P18" s="225"/>
      <c r="Q18" s="225"/>
      <c r="R18" s="225"/>
      <c r="S18" s="225"/>
      <c r="T18" s="225"/>
      <c r="U18" s="225"/>
      <c r="V18" s="225"/>
      <c r="W18" s="225"/>
      <c r="X18" s="225"/>
      <c r="Y18" s="225"/>
      <c r="Z18" s="215"/>
      <c r="AA18" s="226"/>
      <c r="AB18" s="1660"/>
      <c r="AC18" s="1660"/>
      <c r="AD18" s="3130"/>
      <c r="AE18" s="1660"/>
      <c r="AF18" s="1626"/>
      <c r="AG18" s="1625"/>
      <c r="AH18" s="3131"/>
      <c r="AJ18" s="3515"/>
    </row>
    <row r="19" spans="1:38" ht="18.75" customHeight="1">
      <c r="A19" s="215" t="s">
        <v>175</v>
      </c>
      <c r="B19" s="215"/>
      <c r="C19" s="227">
        <v>191.2</v>
      </c>
      <c r="D19" s="227"/>
      <c r="E19" s="227">
        <f>$AB19-C19</f>
        <v>257.2</v>
      </c>
      <c r="F19" s="236"/>
      <c r="G19" s="227"/>
      <c r="H19" s="236"/>
      <c r="I19" s="227"/>
      <c r="J19" s="236"/>
      <c r="K19" s="227"/>
      <c r="L19" s="236"/>
      <c r="M19" s="227"/>
      <c r="N19" s="236"/>
      <c r="O19" s="227"/>
      <c r="P19" s="236"/>
      <c r="Q19" s="1656"/>
      <c r="R19" s="236"/>
      <c r="S19" s="1656"/>
      <c r="T19" s="236"/>
      <c r="U19" s="1656"/>
      <c r="V19" s="236"/>
      <c r="W19" s="1656"/>
      <c r="X19" s="236"/>
      <c r="Y19" s="1656"/>
      <c r="Z19" s="227"/>
      <c r="AA19" s="228"/>
      <c r="AB19" s="2053">
        <v>448.4</v>
      </c>
      <c r="AC19" s="1518"/>
      <c r="AD19" s="1662"/>
      <c r="AE19" s="2053">
        <v>462.6</v>
      </c>
      <c r="AF19" s="1533"/>
      <c r="AG19" s="1625"/>
      <c r="AH19" s="3132">
        <f>ROUND(AB19-AE19,1)</f>
        <v>-14.2</v>
      </c>
      <c r="AI19" s="1119"/>
      <c r="AJ19" s="3759">
        <f>ROUND(IF(AE19=0,0,AH19/ABS(AE19)),3)</f>
        <v>-3.1E-2</v>
      </c>
    </row>
    <row r="20" spans="1:38" ht="17.25" customHeight="1">
      <c r="A20" s="221" t="s">
        <v>213</v>
      </c>
      <c r="B20" s="215"/>
      <c r="C20" s="227">
        <v>14.2</v>
      </c>
      <c r="D20" s="227"/>
      <c r="E20" s="227">
        <f t="shared" ref="E20:E21" si="0">$AB20-C20</f>
        <v>11.3</v>
      </c>
      <c r="F20" s="236"/>
      <c r="G20" s="227"/>
      <c r="H20" s="236"/>
      <c r="I20" s="227"/>
      <c r="J20" s="236"/>
      <c r="K20" s="227"/>
      <c r="L20" s="236"/>
      <c r="M20" s="227"/>
      <c r="N20" s="236"/>
      <c r="O20" s="227"/>
      <c r="P20" s="236"/>
      <c r="Q20" s="1656"/>
      <c r="R20" s="236"/>
      <c r="S20" s="1656"/>
      <c r="T20" s="236"/>
      <c r="U20" s="1656"/>
      <c r="V20" s="236"/>
      <c r="W20" s="1656"/>
      <c r="X20" s="236"/>
      <c r="Y20" s="1656"/>
      <c r="Z20" s="227"/>
      <c r="AA20" s="228"/>
      <c r="AB20" s="2053">
        <v>25.5</v>
      </c>
      <c r="AC20" s="1518"/>
      <c r="AD20" s="1662"/>
      <c r="AE20" s="2053">
        <v>8955.5</v>
      </c>
      <c r="AF20" s="1533"/>
      <c r="AG20" s="1625"/>
      <c r="AH20" s="3132">
        <f>ROUND(AB20-AE20,1)</f>
        <v>-8930</v>
      </c>
      <c r="AI20" s="1119"/>
      <c r="AJ20" s="3759">
        <f>ROUND(IF(AE20=0,0,AH20/ABS(AE20)),3)</f>
        <v>-0.997</v>
      </c>
    </row>
    <row r="21" spans="1:38" ht="17.25" customHeight="1">
      <c r="A21" s="238" t="s">
        <v>214</v>
      </c>
      <c r="B21" s="215"/>
      <c r="C21" s="227">
        <v>162.80000000000001</v>
      </c>
      <c r="D21" s="227"/>
      <c r="E21" s="227">
        <f t="shared" si="0"/>
        <v>71</v>
      </c>
      <c r="F21" s="236"/>
      <c r="G21" s="227"/>
      <c r="H21" s="236"/>
      <c r="I21" s="227"/>
      <c r="J21" s="236"/>
      <c r="K21" s="227"/>
      <c r="L21" s="236"/>
      <c r="M21" s="227"/>
      <c r="N21" s="236"/>
      <c r="O21" s="227"/>
      <c r="P21" s="236"/>
      <c r="Q21" s="1656"/>
      <c r="R21" s="236"/>
      <c r="S21" s="1656"/>
      <c r="T21" s="236"/>
      <c r="U21" s="1656"/>
      <c r="V21" s="236"/>
      <c r="W21" s="1656"/>
      <c r="X21" s="236"/>
      <c r="Y21" s="1656"/>
      <c r="Z21" s="227"/>
      <c r="AA21" s="228"/>
      <c r="AB21" s="2053">
        <v>233.8</v>
      </c>
      <c r="AC21" s="1518"/>
      <c r="AD21" s="1662"/>
      <c r="AE21" s="2053">
        <v>532.1</v>
      </c>
      <c r="AF21" s="1628"/>
      <c r="AG21" s="1631"/>
      <c r="AH21" s="3133">
        <f>ROUND(AB21-AE21,1)</f>
        <v>-298.3</v>
      </c>
      <c r="AI21" s="1119"/>
      <c r="AJ21" s="3566">
        <f>ROUND(IF(AE21=0,0,AH21/ABS(AE21)),3)</f>
        <v>-0.56100000000000005</v>
      </c>
    </row>
    <row r="22" spans="1:38" ht="16.5" customHeight="1">
      <c r="A22" s="215"/>
      <c r="B22" s="215"/>
      <c r="C22" s="355"/>
      <c r="D22" s="227"/>
      <c r="E22" s="356"/>
      <c r="F22" s="236"/>
      <c r="G22" s="356"/>
      <c r="H22" s="236"/>
      <c r="I22" s="356"/>
      <c r="J22" s="236"/>
      <c r="K22" s="356"/>
      <c r="L22" s="236"/>
      <c r="M22" s="356"/>
      <c r="N22" s="236"/>
      <c r="O22" s="356"/>
      <c r="P22" s="236"/>
      <c r="Q22" s="356"/>
      <c r="R22" s="236"/>
      <c r="S22" s="356"/>
      <c r="T22" s="236"/>
      <c r="U22" s="356"/>
      <c r="V22" s="236"/>
      <c r="W22" s="1658"/>
      <c r="X22" s="236"/>
      <c r="Y22" s="356"/>
      <c r="Z22" s="227"/>
      <c r="AA22" s="228"/>
      <c r="AB22" s="3109"/>
      <c r="AC22" s="1518"/>
      <c r="AD22" s="1662"/>
      <c r="AE22" s="3109"/>
      <c r="AF22" s="1531"/>
      <c r="AG22" s="1631"/>
      <c r="AH22" s="1642"/>
      <c r="AJ22" s="3515"/>
    </row>
    <row r="23" spans="1:38" ht="16.5" customHeight="1">
      <c r="A23" s="224" t="s">
        <v>147</v>
      </c>
      <c r="B23" s="215"/>
      <c r="C23" s="237">
        <f>ROUND(SUM(C19:C22),1)</f>
        <v>368.2</v>
      </c>
      <c r="D23" s="229"/>
      <c r="E23" s="237">
        <f>ROUND(SUM(E19:E22),1)</f>
        <v>339.5</v>
      </c>
      <c r="F23" s="237"/>
      <c r="G23" s="237">
        <f>ROUND(SUM(G19:G22),1)</f>
        <v>0</v>
      </c>
      <c r="H23" s="237"/>
      <c r="I23" s="237">
        <f>ROUND(SUM(I19:I22),1)</f>
        <v>0</v>
      </c>
      <c r="J23" s="237"/>
      <c r="K23" s="237">
        <f>ROUND(SUM(K19:K22),1)</f>
        <v>0</v>
      </c>
      <c r="L23" s="237"/>
      <c r="M23" s="237">
        <f>ROUND(SUM(M19:M22),1)</f>
        <v>0</v>
      </c>
      <c r="N23" s="237"/>
      <c r="O23" s="237">
        <f>ROUND(SUM(O19:O22),1)</f>
        <v>0</v>
      </c>
      <c r="P23" s="237"/>
      <c r="Q23" s="237">
        <f>ROUND(SUM(Q19:Q22),1)</f>
        <v>0</v>
      </c>
      <c r="R23" s="237"/>
      <c r="S23" s="237">
        <f>ROUND(SUM(S19:S22),1)</f>
        <v>0</v>
      </c>
      <c r="T23" s="237"/>
      <c r="U23" s="237">
        <f>ROUND(SUM(U19:U22),1)</f>
        <v>0</v>
      </c>
      <c r="V23" s="237"/>
      <c r="W23" s="3110">
        <f>ROUND(SUM(W19:W22),1)</f>
        <v>0</v>
      </c>
      <c r="X23" s="237"/>
      <c r="Y23" s="237">
        <f>ROUND(SUM(Y19:Y22),1)</f>
        <v>0</v>
      </c>
      <c r="Z23" s="229"/>
      <c r="AA23" s="230"/>
      <c r="AB23" s="3110">
        <f>ROUND(SUM(AB19:AB22),1)</f>
        <v>707.7</v>
      </c>
      <c r="AC23" s="3111"/>
      <c r="AD23" s="3134"/>
      <c r="AE23" s="3110">
        <f>ROUND(SUM(AE19:AE22),1)</f>
        <v>9950.2000000000007</v>
      </c>
      <c r="AF23" s="1628"/>
      <c r="AG23" s="1631"/>
      <c r="AH23" s="3135">
        <f>ROUND(SUM(AH19:AH21),1)</f>
        <v>-9242.5</v>
      </c>
      <c r="AI23" s="1121"/>
      <c r="AJ23" s="3520">
        <f>ROUND(IF(AH23=0,0,AH23/ABS(AE23)),3)</f>
        <v>-0.92900000000000005</v>
      </c>
      <c r="AK23" s="353"/>
      <c r="AL23" s="353"/>
    </row>
    <row r="24" spans="1:38" ht="16.5" customHeight="1">
      <c r="A24" s="215"/>
      <c r="B24" s="215"/>
      <c r="C24" s="355"/>
      <c r="D24" s="227"/>
      <c r="E24" s="356"/>
      <c r="F24" s="236"/>
      <c r="G24" s="356"/>
      <c r="H24" s="236"/>
      <c r="I24" s="356"/>
      <c r="J24" s="236"/>
      <c r="K24" s="356"/>
      <c r="L24" s="236"/>
      <c r="M24" s="356"/>
      <c r="N24" s="236"/>
      <c r="O24" s="356"/>
      <c r="P24" s="236"/>
      <c r="Q24" s="356"/>
      <c r="R24" s="236"/>
      <c r="S24" s="356"/>
      <c r="T24" s="236"/>
      <c r="U24" s="356"/>
      <c r="V24" s="236"/>
      <c r="W24" s="356"/>
      <c r="X24" s="236"/>
      <c r="Y24" s="356"/>
      <c r="Z24" s="227"/>
      <c r="AA24" s="228"/>
      <c r="AB24" s="3109"/>
      <c r="AC24" s="1518"/>
      <c r="AD24" s="1662"/>
      <c r="AE24" s="3109"/>
      <c r="AF24" s="2137"/>
      <c r="AG24" s="1631"/>
      <c r="AH24" s="1642"/>
      <c r="AJ24" s="3515"/>
    </row>
    <row r="25" spans="1:38" ht="16.5" customHeight="1">
      <c r="A25" s="215"/>
      <c r="B25" s="215"/>
      <c r="C25" s="227"/>
      <c r="D25" s="227"/>
      <c r="E25" s="236"/>
      <c r="F25" s="236"/>
      <c r="G25" s="236"/>
      <c r="H25" s="236"/>
      <c r="I25" s="236"/>
      <c r="J25" s="236"/>
      <c r="K25" s="236"/>
      <c r="L25" s="236"/>
      <c r="M25" s="236"/>
      <c r="N25" s="236"/>
      <c r="O25" s="236"/>
      <c r="P25" s="236"/>
      <c r="Q25" s="236"/>
      <c r="R25" s="236"/>
      <c r="S25" s="236"/>
      <c r="T25" s="236"/>
      <c r="U25" s="236"/>
      <c r="V25" s="236"/>
      <c r="W25" s="236"/>
      <c r="X25" s="236"/>
      <c r="Y25" s="236"/>
      <c r="Z25" s="227"/>
      <c r="AA25" s="228"/>
      <c r="AB25" s="1518"/>
      <c r="AC25" s="1518"/>
      <c r="AD25" s="1662"/>
      <c r="AE25" s="1518"/>
      <c r="AF25" s="1626"/>
      <c r="AG25" s="1625"/>
      <c r="AH25" s="1642"/>
      <c r="AJ25" s="3516"/>
    </row>
    <row r="26" spans="1:38" ht="16.5" customHeight="1">
      <c r="A26" s="224" t="s">
        <v>22</v>
      </c>
      <c r="B26" s="215"/>
      <c r="C26" s="227"/>
      <c r="D26" s="227"/>
      <c r="E26" s="236"/>
      <c r="F26" s="236"/>
      <c r="G26" s="236"/>
      <c r="H26" s="236"/>
      <c r="I26" s="236"/>
      <c r="J26" s="236"/>
      <c r="K26" s="236"/>
      <c r="L26" s="236"/>
      <c r="M26" s="236"/>
      <c r="N26" s="236"/>
      <c r="O26" s="236"/>
      <c r="P26" s="236"/>
      <c r="Q26" s="236"/>
      <c r="R26" s="236"/>
      <c r="S26" s="236"/>
      <c r="T26" s="236"/>
      <c r="U26" s="236"/>
      <c r="V26" s="236"/>
      <c r="W26" s="236"/>
      <c r="X26" s="1657"/>
      <c r="Y26" s="1657"/>
      <c r="Z26" s="1518"/>
      <c r="AA26" s="1662"/>
      <c r="AB26" s="1518"/>
      <c r="AC26" s="1518"/>
      <c r="AD26" s="1662"/>
      <c r="AE26" s="1518"/>
      <c r="AF26" s="1533"/>
      <c r="AG26" s="1625"/>
      <c r="AH26" s="1642"/>
      <c r="AI26" s="1124"/>
      <c r="AJ26" s="3516"/>
    </row>
    <row r="27" spans="1:38" ht="16.5" customHeight="1">
      <c r="A27" s="215" t="s">
        <v>149</v>
      </c>
      <c r="B27" s="215"/>
      <c r="C27" s="227"/>
      <c r="D27" s="227"/>
      <c r="E27" s="227"/>
      <c r="F27" s="236"/>
      <c r="G27" s="236"/>
      <c r="H27" s="236"/>
      <c r="I27" s="236"/>
      <c r="J27" s="236"/>
      <c r="K27" s="236"/>
      <c r="L27" s="236"/>
      <c r="M27" s="236"/>
      <c r="N27" s="236"/>
      <c r="O27" s="236"/>
      <c r="P27" s="236"/>
      <c r="Q27" s="236"/>
      <c r="R27" s="236"/>
      <c r="S27" s="1656"/>
      <c r="T27" s="236"/>
      <c r="U27" s="236"/>
      <c r="V27" s="236"/>
      <c r="W27" s="236"/>
      <c r="X27" s="1657"/>
      <c r="Y27" s="1657"/>
      <c r="Z27" s="1518"/>
      <c r="AA27" s="1662"/>
      <c r="AB27" s="1518"/>
      <c r="AC27" s="1518"/>
      <c r="AD27" s="1662"/>
      <c r="AE27" s="1518"/>
      <c r="AF27" s="2140"/>
      <c r="AG27" s="1631"/>
      <c r="AH27" s="1642"/>
      <c r="AJ27" s="3516"/>
    </row>
    <row r="28" spans="1:38" ht="16.5" customHeight="1">
      <c r="A28" s="215" t="s">
        <v>215</v>
      </c>
      <c r="B28" s="215"/>
      <c r="C28" s="227">
        <v>134.4</v>
      </c>
      <c r="D28" s="227"/>
      <c r="E28" s="227">
        <f t="shared" ref="E28:E31" si="1">$AB28-C28</f>
        <v>132.99999999999997</v>
      </c>
      <c r="F28" s="236"/>
      <c r="G28" s="227"/>
      <c r="H28" s="236"/>
      <c r="I28" s="227"/>
      <c r="J28" s="236"/>
      <c r="K28" s="227"/>
      <c r="L28" s="236"/>
      <c r="M28" s="227"/>
      <c r="N28" s="236"/>
      <c r="O28" s="227"/>
      <c r="P28" s="236"/>
      <c r="Q28" s="1656"/>
      <c r="R28" s="236"/>
      <c r="S28" s="1656"/>
      <c r="T28" s="236"/>
      <c r="U28" s="1656"/>
      <c r="V28" s="236"/>
      <c r="W28" s="1656"/>
      <c r="X28" s="1657"/>
      <c r="Y28" s="1656"/>
      <c r="Z28" s="1518"/>
      <c r="AA28" s="1662"/>
      <c r="AB28" s="2053">
        <v>267.39999999999998</v>
      </c>
      <c r="AC28" s="1518"/>
      <c r="AD28" s="1662"/>
      <c r="AE28" s="2053">
        <v>255.1</v>
      </c>
      <c r="AF28" s="1626"/>
      <c r="AG28" s="1636"/>
      <c r="AH28" s="1642">
        <f>ROUND(SUM(AB28-AE28),1)</f>
        <v>12.3</v>
      </c>
      <c r="AJ28" s="3758">
        <f>ROUND(IF(AH28=0,0,AH28/ABS(AE28)),3)</f>
        <v>4.8000000000000001E-2</v>
      </c>
    </row>
    <row r="29" spans="1:38" ht="16.5" customHeight="1">
      <c r="A29" s="215" t="s">
        <v>176</v>
      </c>
      <c r="B29" s="215"/>
      <c r="C29" s="227">
        <v>26.3</v>
      </c>
      <c r="D29" s="227"/>
      <c r="E29" s="227">
        <f t="shared" si="1"/>
        <v>32.799999999999997</v>
      </c>
      <c r="F29" s="236"/>
      <c r="G29" s="227"/>
      <c r="H29" s="236"/>
      <c r="I29" s="227"/>
      <c r="J29" s="236"/>
      <c r="K29" s="227"/>
      <c r="L29" s="236"/>
      <c r="M29" s="227"/>
      <c r="N29" s="236"/>
      <c r="O29" s="227"/>
      <c r="P29" s="236"/>
      <c r="Q29" s="1656"/>
      <c r="R29" s="236"/>
      <c r="S29" s="1656"/>
      <c r="T29" s="236"/>
      <c r="U29" s="1656"/>
      <c r="V29" s="236"/>
      <c r="W29" s="1656"/>
      <c r="X29" s="1657"/>
      <c r="Y29" s="1656"/>
      <c r="Z29" s="1518"/>
      <c r="AA29" s="1662"/>
      <c r="AB29" s="2053">
        <v>59.1</v>
      </c>
      <c r="AC29" s="1518"/>
      <c r="AD29" s="1662"/>
      <c r="AE29" s="2053">
        <v>55</v>
      </c>
      <c r="AF29" s="1533"/>
      <c r="AG29" s="1636"/>
      <c r="AH29" s="1642">
        <f>ROUND(SUM(AB29-AE29),1)</f>
        <v>4.0999999999999996</v>
      </c>
      <c r="AJ29" s="3758">
        <f t="shared" ref="AJ29:AJ30" si="2">ROUND(IF(AH29=0,0,AH29/ABS(AE29)),3)</f>
        <v>7.4999999999999997E-2</v>
      </c>
    </row>
    <row r="30" spans="1:38" ht="16.5" customHeight="1">
      <c r="A30" s="215" t="s">
        <v>152</v>
      </c>
      <c r="B30" s="215"/>
      <c r="C30" s="227">
        <v>59</v>
      </c>
      <c r="D30" s="227"/>
      <c r="E30" s="227">
        <f t="shared" si="1"/>
        <v>55.8</v>
      </c>
      <c r="F30" s="236"/>
      <c r="G30" s="227"/>
      <c r="H30" s="236"/>
      <c r="I30" s="227"/>
      <c r="J30" s="236"/>
      <c r="K30" s="227"/>
      <c r="L30" s="236"/>
      <c r="M30" s="227"/>
      <c r="N30" s="236"/>
      <c r="O30" s="227"/>
      <c r="P30" s="236"/>
      <c r="Q30" s="1656"/>
      <c r="R30" s="236"/>
      <c r="S30" s="1656"/>
      <c r="T30" s="236"/>
      <c r="U30" s="1656"/>
      <c r="V30" s="236"/>
      <c r="W30" s="1656"/>
      <c r="X30" s="1657"/>
      <c r="Y30" s="1656"/>
      <c r="Z30" s="1518"/>
      <c r="AA30" s="1662"/>
      <c r="AB30" s="2053">
        <v>114.8</v>
      </c>
      <c r="AC30" s="1518"/>
      <c r="AD30" s="1662"/>
      <c r="AE30" s="2053">
        <v>113</v>
      </c>
      <c r="AF30" s="1628"/>
      <c r="AG30" s="1635"/>
      <c r="AH30" s="1642">
        <f>ROUND(SUM(AB30-AE30),1)</f>
        <v>1.8</v>
      </c>
      <c r="AJ30" s="3758">
        <f t="shared" si="2"/>
        <v>1.6E-2</v>
      </c>
    </row>
    <row r="31" spans="1:38" ht="16.5" customHeight="1">
      <c r="A31" s="238" t="s">
        <v>216</v>
      </c>
      <c r="B31" s="215"/>
      <c r="C31" s="227">
        <v>175.9</v>
      </c>
      <c r="D31" s="227"/>
      <c r="E31" s="227">
        <f t="shared" si="1"/>
        <v>-186.6</v>
      </c>
      <c r="F31" s="236"/>
      <c r="G31" s="227"/>
      <c r="H31" s="236"/>
      <c r="I31" s="227"/>
      <c r="J31" s="236"/>
      <c r="K31" s="227"/>
      <c r="L31" s="236"/>
      <c r="M31" s="227"/>
      <c r="N31" s="236"/>
      <c r="O31" s="227"/>
      <c r="P31" s="236"/>
      <c r="Q31" s="1656"/>
      <c r="R31" s="236"/>
      <c r="S31" s="1656"/>
      <c r="T31" s="236"/>
      <c r="U31" s="1656"/>
      <c r="V31" s="236"/>
      <c r="W31" s="1656"/>
      <c r="X31" s="236"/>
      <c r="Y31" s="1656"/>
      <c r="Z31" s="227"/>
      <c r="AA31" s="228"/>
      <c r="AB31" s="2053">
        <v>-10.7</v>
      </c>
      <c r="AC31" s="1518"/>
      <c r="AD31" s="1662"/>
      <c r="AE31" s="2053">
        <v>9591.1</v>
      </c>
      <c r="AF31" s="1628"/>
      <c r="AG31" s="1636"/>
      <c r="AH31" s="1654">
        <f>ROUND(SUM(AB31-AE31),1)</f>
        <v>-9601.7999999999993</v>
      </c>
      <c r="AJ31" s="3521">
        <f>ROUND(IF(AH31=0,0,AH31/ABS(AE31)),3)</f>
        <v>-1.0009999999999999</v>
      </c>
    </row>
    <row r="32" spans="1:38" ht="16.5" customHeight="1">
      <c r="A32" s="215"/>
      <c r="B32" s="215"/>
      <c r="C32" s="355"/>
      <c r="D32" s="227"/>
      <c r="E32" s="356"/>
      <c r="F32" s="236"/>
      <c r="G32" s="356"/>
      <c r="H32" s="236"/>
      <c r="I32" s="356"/>
      <c r="J32" s="236"/>
      <c r="K32" s="356"/>
      <c r="L32" s="236"/>
      <c r="M32" s="356"/>
      <c r="N32" s="236"/>
      <c r="O32" s="356"/>
      <c r="P32" s="236"/>
      <c r="Q32" s="356"/>
      <c r="R32" s="236"/>
      <c r="S32" s="356"/>
      <c r="T32" s="236"/>
      <c r="U32" s="356"/>
      <c r="V32" s="236"/>
      <c r="W32" s="1658"/>
      <c r="X32" s="236"/>
      <c r="Y32" s="356"/>
      <c r="Z32" s="227"/>
      <c r="AA32" s="228"/>
      <c r="AB32" s="3109"/>
      <c r="AC32" s="1518"/>
      <c r="AD32" s="1662"/>
      <c r="AE32" s="3109"/>
      <c r="AF32" s="2143"/>
      <c r="AG32" s="1635"/>
      <c r="AH32" s="1642"/>
      <c r="AI32" s="1126"/>
      <c r="AJ32" s="3516"/>
    </row>
    <row r="33" spans="1:37" ht="16.5" customHeight="1">
      <c r="A33" s="224" t="s">
        <v>153</v>
      </c>
      <c r="B33" s="215"/>
      <c r="C33" s="237">
        <f>ROUND(SUM(C28:C32),1)</f>
        <v>395.6</v>
      </c>
      <c r="D33" s="229"/>
      <c r="E33" s="237">
        <f>ROUND(SUM(E28:E32),1)</f>
        <v>35</v>
      </c>
      <c r="F33" s="237"/>
      <c r="G33" s="237">
        <f>ROUND(SUM(G28:G32),1)</f>
        <v>0</v>
      </c>
      <c r="H33" s="237"/>
      <c r="I33" s="237">
        <f>ROUND(SUM(I28:I32),1)</f>
        <v>0</v>
      </c>
      <c r="J33" s="237"/>
      <c r="K33" s="876">
        <f>ROUND(SUM(K28:K32),1)</f>
        <v>0</v>
      </c>
      <c r="L33" s="357"/>
      <c r="M33" s="876">
        <f>ROUND(SUM(M28:M32),1)</f>
        <v>0</v>
      </c>
      <c r="N33" s="237"/>
      <c r="O33" s="237">
        <f>ROUND(SUM(O28:O32),1)</f>
        <v>0</v>
      </c>
      <c r="P33" s="237"/>
      <c r="Q33" s="237">
        <f>ROUND(SUM(Q28:Q32),1)</f>
        <v>0</v>
      </c>
      <c r="R33" s="237"/>
      <c r="S33" s="237">
        <f>ROUND(SUM(S28:S32),1)</f>
        <v>0</v>
      </c>
      <c r="T33" s="237"/>
      <c r="U33" s="237">
        <f>ROUND(SUM(U28:U32),1)</f>
        <v>0</v>
      </c>
      <c r="V33" s="237"/>
      <c r="W33" s="3110">
        <f>ROUND(SUM(W28:W32),1)</f>
        <v>0</v>
      </c>
      <c r="X33" s="237"/>
      <c r="Y33" s="237">
        <f>ROUND(SUM(Y28:Y32),1)</f>
        <v>0</v>
      </c>
      <c r="Z33" s="229"/>
      <c r="AA33" s="230"/>
      <c r="AB33" s="3110">
        <f>ROUND(SUM(AB28:AB32),1)</f>
        <v>430.6</v>
      </c>
      <c r="AC33" s="3111"/>
      <c r="AD33" s="3134"/>
      <c r="AE33" s="3110">
        <f>ROUND(SUM(AE28:AE32),1)</f>
        <v>10014.200000000001</v>
      </c>
      <c r="AF33" s="1626"/>
      <c r="AG33" s="1625"/>
      <c r="AH33" s="3135">
        <f>ROUND(SUM(AH28:AH31),1)</f>
        <v>-9583.6</v>
      </c>
      <c r="AI33" s="1121"/>
      <c r="AJ33" s="3520">
        <f>ROUND(IF(AH33=0,0,AH33/ABS(AE33)),3)</f>
        <v>-0.95699999999999996</v>
      </c>
      <c r="AK33" s="353"/>
    </row>
    <row r="34" spans="1:37" ht="16.5" customHeight="1">
      <c r="A34" s="215"/>
      <c r="B34" s="215"/>
      <c r="C34" s="355"/>
      <c r="D34" s="227"/>
      <c r="E34" s="356"/>
      <c r="F34" s="236"/>
      <c r="G34" s="356"/>
      <c r="H34" s="236"/>
      <c r="I34" s="356"/>
      <c r="J34" s="236"/>
      <c r="K34" s="234"/>
      <c r="L34" s="236"/>
      <c r="M34" s="234"/>
      <c r="N34" s="236"/>
      <c r="O34" s="356"/>
      <c r="P34" s="236"/>
      <c r="Q34" s="356"/>
      <c r="R34" s="236"/>
      <c r="S34" s="356"/>
      <c r="T34" s="236"/>
      <c r="U34" s="356"/>
      <c r="V34" s="236"/>
      <c r="W34" s="356"/>
      <c r="X34" s="236"/>
      <c r="Y34" s="356"/>
      <c r="Z34" s="227"/>
      <c r="AA34" s="228"/>
      <c r="AB34" s="3109"/>
      <c r="AC34" s="3112"/>
      <c r="AD34" s="1662"/>
      <c r="AE34" s="3109"/>
      <c r="AF34" s="1533"/>
      <c r="AG34" s="1625"/>
      <c r="AH34" s="1642"/>
      <c r="AJ34" s="3515"/>
    </row>
    <row r="35" spans="1:37" ht="16.5" customHeight="1">
      <c r="A35" s="215"/>
      <c r="B35" s="215"/>
      <c r="C35" s="227"/>
      <c r="D35" s="227"/>
      <c r="E35" s="236"/>
      <c r="F35" s="236"/>
      <c r="G35" s="236"/>
      <c r="H35" s="236"/>
      <c r="I35" s="236"/>
      <c r="J35" s="236"/>
      <c r="K35" s="236"/>
      <c r="L35" s="236"/>
      <c r="M35" s="236"/>
      <c r="N35" s="236"/>
      <c r="O35" s="236"/>
      <c r="P35" s="236"/>
      <c r="Q35" s="236"/>
      <c r="R35" s="236"/>
      <c r="S35" s="236"/>
      <c r="T35" s="236"/>
      <c r="U35" s="236"/>
      <c r="V35" s="236"/>
      <c r="W35" s="236"/>
      <c r="X35" s="236"/>
      <c r="Y35" s="236"/>
      <c r="Z35" s="227"/>
      <c r="AA35" s="228"/>
      <c r="AB35" s="1518"/>
      <c r="AC35" s="3112"/>
      <c r="AD35" s="1662"/>
      <c r="AE35" s="1518"/>
      <c r="AF35" s="2140"/>
      <c r="AG35" s="2145"/>
      <c r="AH35" s="1642"/>
      <c r="AI35" s="1124"/>
      <c r="AJ35" s="3516"/>
    </row>
    <row r="36" spans="1:37" ht="16.5" customHeight="1">
      <c r="A36" s="224" t="s">
        <v>154</v>
      </c>
      <c r="B36" s="215"/>
      <c r="C36" s="227"/>
      <c r="D36" s="227"/>
      <c r="E36" s="236" t="s">
        <v>14</v>
      </c>
      <c r="F36" s="236"/>
      <c r="G36" s="236"/>
      <c r="H36" s="236"/>
      <c r="I36" s="236"/>
      <c r="J36" s="236"/>
      <c r="K36" s="236"/>
      <c r="L36" s="236"/>
      <c r="M36" s="236"/>
      <c r="N36" s="236"/>
      <c r="O36" s="236"/>
      <c r="P36" s="236"/>
      <c r="Q36" s="236"/>
      <c r="R36" s="236"/>
      <c r="S36" s="236"/>
      <c r="T36" s="236"/>
      <c r="U36" s="236"/>
      <c r="V36" s="236"/>
      <c r="W36" s="236"/>
      <c r="X36" s="236"/>
      <c r="Y36" s="236"/>
      <c r="Z36" s="227"/>
      <c r="AA36" s="228"/>
      <c r="AB36" s="1518"/>
      <c r="AC36" s="3112"/>
      <c r="AD36" s="1662"/>
      <c r="AE36" s="1518"/>
      <c r="AF36" s="2146"/>
      <c r="AG36" s="2147"/>
      <c r="AH36" s="1642"/>
      <c r="AI36" s="1124"/>
      <c r="AJ36" s="3516"/>
    </row>
    <row r="37" spans="1:37" ht="16.5" customHeight="1">
      <c r="A37" s="224" t="s">
        <v>44</v>
      </c>
      <c r="B37" s="215"/>
      <c r="C37" s="237">
        <f>ROUND(C23-C33,1)</f>
        <v>-27.4</v>
      </c>
      <c r="D37" s="229"/>
      <c r="E37" s="237">
        <f>ROUND(E23-E33,1)</f>
        <v>304.5</v>
      </c>
      <c r="F37" s="237"/>
      <c r="G37" s="237">
        <f>ROUND(G23-G33,1)</f>
        <v>0</v>
      </c>
      <c r="H37" s="237"/>
      <c r="I37" s="237">
        <f>ROUND(I23-I33,1)</f>
        <v>0</v>
      </c>
      <c r="J37" s="237"/>
      <c r="K37" s="237">
        <f>ROUND(K23-K33,1)</f>
        <v>0</v>
      </c>
      <c r="L37" s="237"/>
      <c r="M37" s="237">
        <f>ROUND(M23-M33,1)</f>
        <v>0</v>
      </c>
      <c r="N37" s="237"/>
      <c r="O37" s="237">
        <f>ROUND(O23-O33,1)</f>
        <v>0</v>
      </c>
      <c r="P37" s="237"/>
      <c r="Q37" s="237">
        <f>ROUND(Q23-Q33,1)</f>
        <v>0</v>
      </c>
      <c r="R37" s="237"/>
      <c r="S37" s="237">
        <f>ROUND(S23-S33,1)</f>
        <v>0</v>
      </c>
      <c r="T37" s="237"/>
      <c r="U37" s="237">
        <f>ROUND(U23-U33,1)</f>
        <v>0</v>
      </c>
      <c r="V37" s="237"/>
      <c r="W37" s="237">
        <f>ROUND(W23-W33,1)</f>
        <v>0</v>
      </c>
      <c r="X37" s="237"/>
      <c r="Y37" s="237">
        <f>ROUND(Y23-Y33,1)</f>
        <v>0</v>
      </c>
      <c r="Z37" s="229"/>
      <c r="AA37" s="230"/>
      <c r="AB37" s="3110">
        <f>ROUND(AB23-AB33,1)</f>
        <v>277.10000000000002</v>
      </c>
      <c r="AC37" s="3111"/>
      <c r="AD37" s="3134"/>
      <c r="AE37" s="3110">
        <f>ROUND(AE23-AE33,1)</f>
        <v>-64</v>
      </c>
      <c r="AF37" s="2148"/>
      <c r="AG37" s="1663"/>
      <c r="AH37" s="3135">
        <f>ROUND(SUM(AH23-AH33),1)</f>
        <v>341.1</v>
      </c>
      <c r="AI37" s="1121"/>
      <c r="AJ37" s="2061">
        <f>ROUND(IF(AE37=0,1,AH37/ABS(AE37)),3)</f>
        <v>5.33</v>
      </c>
    </row>
    <row r="38" spans="1:37" ht="16.5" customHeight="1">
      <c r="A38" s="215"/>
      <c r="B38" s="215"/>
      <c r="C38" s="355"/>
      <c r="D38" s="227"/>
      <c r="E38" s="356"/>
      <c r="F38" s="236"/>
      <c r="G38" s="356"/>
      <c r="H38" s="236"/>
      <c r="I38" s="356"/>
      <c r="J38" s="236"/>
      <c r="K38" s="356"/>
      <c r="L38" s="236"/>
      <c r="M38" s="356"/>
      <c r="N38" s="236"/>
      <c r="O38" s="356"/>
      <c r="P38" s="236"/>
      <c r="Q38" s="356"/>
      <c r="R38" s="236"/>
      <c r="S38" s="356"/>
      <c r="T38" s="236"/>
      <c r="U38" s="356"/>
      <c r="V38" s="236"/>
      <c r="W38" s="356"/>
      <c r="X38" s="236"/>
      <c r="Y38" s="356"/>
      <c r="Z38" s="227"/>
      <c r="AA38" s="228"/>
      <c r="AB38" s="3109"/>
      <c r="AC38" s="3112"/>
      <c r="AD38" s="1662"/>
      <c r="AE38" s="3109"/>
      <c r="AF38" s="111"/>
      <c r="AG38" s="1663"/>
      <c r="AH38" s="1642"/>
      <c r="AJ38" s="3515"/>
    </row>
    <row r="39" spans="1:37" ht="16.5" customHeight="1">
      <c r="A39" s="215"/>
      <c r="B39" s="215"/>
      <c r="C39" s="227"/>
      <c r="D39" s="227"/>
      <c r="E39" s="236"/>
      <c r="F39" s="236"/>
      <c r="G39" s="236"/>
      <c r="H39" s="236"/>
      <c r="I39" s="236"/>
      <c r="J39" s="236"/>
      <c r="K39" s="236"/>
      <c r="L39" s="236"/>
      <c r="M39" s="236"/>
      <c r="N39" s="236"/>
      <c r="O39" s="236"/>
      <c r="P39" s="236"/>
      <c r="Q39" s="236"/>
      <c r="R39" s="236"/>
      <c r="S39" s="236"/>
      <c r="T39" s="236"/>
      <c r="U39" s="236"/>
      <c r="V39" s="236"/>
      <c r="W39" s="236"/>
      <c r="X39" s="236"/>
      <c r="Y39" s="236"/>
      <c r="Z39" s="227"/>
      <c r="AA39" s="228"/>
      <c r="AB39" s="1518"/>
      <c r="AC39" s="1518"/>
      <c r="AD39" s="1662"/>
      <c r="AE39" s="1518"/>
      <c r="AG39" s="1631"/>
      <c r="AH39" s="1642"/>
      <c r="AJ39" s="3516"/>
    </row>
    <row r="40" spans="1:37" s="1666" customFormat="1" ht="16.5" customHeight="1">
      <c r="A40" s="1659" t="s">
        <v>45</v>
      </c>
      <c r="B40" s="1660"/>
      <c r="C40" s="227"/>
      <c r="D40" s="227"/>
      <c r="E40" s="236"/>
      <c r="F40" s="236"/>
      <c r="G40" s="236"/>
      <c r="H40" s="236"/>
      <c r="I40" s="236"/>
      <c r="J40" s="1657"/>
      <c r="K40" s="1661"/>
      <c r="L40" s="1657"/>
      <c r="M40" s="1661"/>
      <c r="N40" s="1657"/>
      <c r="O40" s="1657"/>
      <c r="P40" s="1657"/>
      <c r="Q40" s="1657"/>
      <c r="R40" s="1657"/>
      <c r="S40" s="1657"/>
      <c r="T40" s="1657"/>
      <c r="U40" s="1657"/>
      <c r="V40" s="1657"/>
      <c r="W40" s="1657"/>
      <c r="X40" s="1657"/>
      <c r="Y40" s="1657"/>
      <c r="Z40" s="1518"/>
      <c r="AA40" s="1662"/>
      <c r="AB40" s="1518"/>
      <c r="AC40" s="1518"/>
      <c r="AD40" s="1662"/>
      <c r="AE40" s="1518"/>
      <c r="AF40" s="134"/>
      <c r="AG40" s="1663"/>
      <c r="AH40" s="1664"/>
      <c r="AI40" s="1665"/>
      <c r="AJ40" s="3517"/>
    </row>
    <row r="41" spans="1:37" s="1666" customFormat="1" ht="16.5" customHeight="1">
      <c r="A41" s="1660" t="s">
        <v>178</v>
      </c>
      <c r="B41" s="1660"/>
      <c r="C41" s="227">
        <v>1</v>
      </c>
      <c r="D41" s="1518"/>
      <c r="E41" s="227">
        <f t="shared" ref="E41:E42" si="3">$AB41-C41</f>
        <v>2</v>
      </c>
      <c r="F41" s="1657"/>
      <c r="G41" s="227"/>
      <c r="H41" s="3488"/>
      <c r="I41" s="227"/>
      <c r="J41" s="1657"/>
      <c r="K41" s="227"/>
      <c r="L41" s="1657"/>
      <c r="M41" s="227"/>
      <c r="N41" s="1657"/>
      <c r="O41" s="227"/>
      <c r="P41" s="1657"/>
      <c r="Q41" s="2053"/>
      <c r="R41" s="1657"/>
      <c r="S41" s="1656"/>
      <c r="T41" s="1657"/>
      <c r="U41" s="1656"/>
      <c r="V41" s="1657"/>
      <c r="W41" s="1656"/>
      <c r="X41" s="1657"/>
      <c r="Y41" s="1656"/>
      <c r="Z41" s="1518"/>
      <c r="AA41" s="1662"/>
      <c r="AB41" s="2053">
        <v>3</v>
      </c>
      <c r="AC41" s="1518"/>
      <c r="AD41" s="1662"/>
      <c r="AE41" s="2053">
        <v>3</v>
      </c>
      <c r="AF41" s="134"/>
      <c r="AG41" s="1663"/>
      <c r="AH41" s="1642">
        <f>ROUND(SUM(AB41-AE41),1)</f>
        <v>0</v>
      </c>
      <c r="AI41" s="1615"/>
      <c r="AJ41" s="3560">
        <f>ROUND(IF(AE41=0,1,AH41/ABS(AE41)),3)</f>
        <v>0</v>
      </c>
    </row>
    <row r="42" spans="1:37" ht="16.5" customHeight="1">
      <c r="A42" s="215" t="s">
        <v>179</v>
      </c>
      <c r="B42" s="215"/>
      <c r="C42" s="227">
        <v>0</v>
      </c>
      <c r="D42" s="227"/>
      <c r="E42" s="227">
        <f t="shared" si="3"/>
        <v>0</v>
      </c>
      <c r="F42" s="236"/>
      <c r="G42" s="227"/>
      <c r="H42" s="1797"/>
      <c r="I42" s="227"/>
      <c r="J42" s="236"/>
      <c r="K42" s="227"/>
      <c r="L42" s="236"/>
      <c r="M42" s="227"/>
      <c r="N42" s="236"/>
      <c r="O42" s="227"/>
      <c r="P42" s="236"/>
      <c r="Q42" s="2053"/>
      <c r="R42" s="236"/>
      <c r="S42" s="1656"/>
      <c r="T42" s="236"/>
      <c r="U42" s="1656"/>
      <c r="V42" s="236"/>
      <c r="W42" s="1656"/>
      <c r="X42" s="236"/>
      <c r="Y42" s="1656"/>
      <c r="Z42" s="227"/>
      <c r="AA42" s="228"/>
      <c r="AB42" s="2053">
        <v>0</v>
      </c>
      <c r="AC42" s="1518"/>
      <c r="AD42" s="1662"/>
      <c r="AE42" s="2053">
        <v>0</v>
      </c>
      <c r="AF42" s="134"/>
      <c r="AG42" s="1663"/>
      <c r="AH42" s="3136">
        <f>-ROUND(SUM(AB42-AE42),1)</f>
        <v>0</v>
      </c>
      <c r="AJ42" s="3561">
        <f>ROUND(IF(AH42=0,0,AH42/ABS(AE42)),3)</f>
        <v>0</v>
      </c>
    </row>
    <row r="43" spans="1:37" ht="16.5" customHeight="1">
      <c r="A43" s="215"/>
      <c r="B43" s="215"/>
      <c r="C43" s="355"/>
      <c r="D43" s="227"/>
      <c r="E43" s="355"/>
      <c r="F43" s="236"/>
      <c r="G43" s="355"/>
      <c r="H43" s="236"/>
      <c r="I43" s="355"/>
      <c r="J43" s="236"/>
      <c r="K43" s="355"/>
      <c r="L43" s="236"/>
      <c r="M43" s="355"/>
      <c r="N43" s="236"/>
      <c r="O43" s="355"/>
      <c r="P43" s="236"/>
      <c r="Q43" s="355"/>
      <c r="R43" s="236"/>
      <c r="S43" s="355"/>
      <c r="T43" s="236"/>
      <c r="U43" s="356"/>
      <c r="V43" s="236"/>
      <c r="W43" s="356"/>
      <c r="X43" s="236"/>
      <c r="Y43" s="356"/>
      <c r="Z43" s="227"/>
      <c r="AA43" s="228"/>
      <c r="AB43" s="3109"/>
      <c r="AC43" s="1518"/>
      <c r="AD43" s="1662"/>
      <c r="AE43" s="3109"/>
      <c r="AF43" s="134"/>
      <c r="AG43" s="1663"/>
      <c r="AH43" s="3131"/>
      <c r="AJ43" s="3518"/>
    </row>
    <row r="44" spans="1:37" ht="16.5" customHeight="1">
      <c r="A44" s="224" t="s">
        <v>204</v>
      </c>
      <c r="B44" s="215"/>
      <c r="C44" s="358">
        <f>ROUND(SUM(C41:C43),1)</f>
        <v>1</v>
      </c>
      <c r="D44" s="229"/>
      <c r="E44" s="358">
        <f>ROUND(SUM(E41:E43),1)</f>
        <v>2</v>
      </c>
      <c r="F44" s="237"/>
      <c r="G44" s="358">
        <f>ROUND(SUM(G41:G43),1)</f>
        <v>0</v>
      </c>
      <c r="H44" s="237"/>
      <c r="I44" s="358">
        <f>ROUND(SUM(I41:I43),1)</f>
        <v>0</v>
      </c>
      <c r="J44" s="237"/>
      <c r="K44" s="358">
        <f>ROUND(SUM(K41:K43),1)</f>
        <v>0</v>
      </c>
      <c r="L44" s="237"/>
      <c r="M44" s="358">
        <f>ROUND(SUM(M41:M43),1)</f>
        <v>0</v>
      </c>
      <c r="N44" s="237"/>
      <c r="O44" s="358">
        <f>ROUND(SUM(O41:O43),1)</f>
        <v>0</v>
      </c>
      <c r="P44" s="237"/>
      <c r="Q44" s="358">
        <f>ROUND(SUM(Q41:Q43),1)</f>
        <v>0</v>
      </c>
      <c r="R44" s="237"/>
      <c r="S44" s="358">
        <f>ROUND(SUM(S41:S43),1)</f>
        <v>0</v>
      </c>
      <c r="T44" s="237"/>
      <c r="U44" s="358">
        <f>ROUND(SUM(U41:U43),1)</f>
        <v>0</v>
      </c>
      <c r="V44" s="237"/>
      <c r="W44" s="358">
        <f>ROUND(SUM(W41:W43),1)</f>
        <v>0</v>
      </c>
      <c r="X44" s="237"/>
      <c r="Y44" s="358">
        <f>ROUND(SUM(Y41:Y43),1)</f>
        <v>0</v>
      </c>
      <c r="Z44" s="229"/>
      <c r="AA44" s="230"/>
      <c r="AB44" s="3113">
        <f>ROUND(SUM(AB41+AB42),1)</f>
        <v>3</v>
      </c>
      <c r="AC44" s="3111"/>
      <c r="AD44" s="3134"/>
      <c r="AE44" s="3113">
        <f>ROUND(SUM(AE41+AE42),1)</f>
        <v>3</v>
      </c>
      <c r="AF44" s="101"/>
      <c r="AG44" s="1631"/>
      <c r="AH44" s="3135">
        <f>ROUND(SUM(AH41:AH42),1)</f>
        <v>0</v>
      </c>
      <c r="AI44" s="1128"/>
      <c r="AJ44" s="3562">
        <f>ROUND(IF(AE44=0,1,AH44/ABS(AE44)),3)</f>
        <v>0</v>
      </c>
    </row>
    <row r="45" spans="1:37" ht="16.5" customHeight="1">
      <c r="A45" s="215"/>
      <c r="B45" s="215"/>
      <c r="C45" s="355"/>
      <c r="D45" s="227"/>
      <c r="E45" s="356"/>
      <c r="F45" s="236"/>
      <c r="G45" s="356"/>
      <c r="H45" s="236"/>
      <c r="I45" s="356"/>
      <c r="J45" s="236"/>
      <c r="K45" s="356"/>
      <c r="L45" s="236"/>
      <c r="M45" s="356"/>
      <c r="N45" s="236"/>
      <c r="O45" s="356"/>
      <c r="P45" s="236"/>
      <c r="Q45" s="356"/>
      <c r="R45" s="236"/>
      <c r="S45" s="356"/>
      <c r="T45" s="236"/>
      <c r="U45" s="356"/>
      <c r="V45" s="236"/>
      <c r="W45" s="356"/>
      <c r="X45" s="236"/>
      <c r="Y45" s="356"/>
      <c r="Z45" s="227"/>
      <c r="AA45" s="228"/>
      <c r="AB45" s="3109"/>
      <c r="AC45" s="1518"/>
      <c r="AD45" s="1662"/>
      <c r="AE45" s="3109"/>
      <c r="AG45" s="1631"/>
      <c r="AH45" s="3131"/>
      <c r="AJ45" s="3519"/>
    </row>
    <row r="46" spans="1:37" ht="16.5" customHeight="1">
      <c r="A46" s="215"/>
      <c r="B46" s="215"/>
      <c r="C46" s="227"/>
      <c r="D46" s="227"/>
      <c r="E46" s="236"/>
      <c r="F46" s="236"/>
      <c r="G46" s="236"/>
      <c r="H46" s="236"/>
      <c r="I46" s="236"/>
      <c r="J46" s="236"/>
      <c r="K46" s="236"/>
      <c r="L46" s="236"/>
      <c r="M46" s="236"/>
      <c r="N46" s="236"/>
      <c r="O46" s="236"/>
      <c r="P46" s="236"/>
      <c r="Q46" s="236"/>
      <c r="R46" s="236"/>
      <c r="S46" s="236"/>
      <c r="T46" s="236"/>
      <c r="U46" s="236"/>
      <c r="V46" s="236"/>
      <c r="W46" s="236"/>
      <c r="X46" s="236"/>
      <c r="Y46" s="236"/>
      <c r="Z46" s="227"/>
      <c r="AA46" s="228"/>
      <c r="AB46" s="1518"/>
      <c r="AC46" s="1518"/>
      <c r="AD46" s="1662"/>
      <c r="AE46" s="1518"/>
      <c r="AG46" s="1631"/>
      <c r="AJ46" s="3519"/>
    </row>
    <row r="47" spans="1:37" ht="16.5" customHeight="1">
      <c r="A47" s="224" t="s">
        <v>162</v>
      </c>
      <c r="B47" s="215"/>
      <c r="C47" s="227"/>
      <c r="D47" s="227"/>
      <c r="E47" s="236"/>
      <c r="F47" s="236"/>
      <c r="G47" s="236"/>
      <c r="H47" s="236"/>
      <c r="I47" s="236"/>
      <c r="J47" s="236"/>
      <c r="K47" s="236"/>
      <c r="L47" s="236"/>
      <c r="M47" s="236"/>
      <c r="N47" s="236"/>
      <c r="O47" s="236"/>
      <c r="P47" s="236"/>
      <c r="Q47" s="236"/>
      <c r="R47" s="236"/>
      <c r="S47" s="236"/>
      <c r="T47" s="236"/>
      <c r="U47" s="236"/>
      <c r="V47" s="236"/>
      <c r="W47" s="236"/>
      <c r="X47" s="236"/>
      <c r="Y47" s="236"/>
      <c r="Z47" s="227"/>
      <c r="AA47" s="228"/>
      <c r="AB47" s="1518"/>
      <c r="AC47" s="1518"/>
      <c r="AD47" s="1662"/>
      <c r="AE47" s="1518"/>
      <c r="AG47" s="1631"/>
      <c r="AJ47" s="3519"/>
    </row>
    <row r="48" spans="1:37" ht="16.5" customHeight="1">
      <c r="A48" s="224" t="s">
        <v>222</v>
      </c>
      <c r="B48" s="215"/>
      <c r="C48" s="227"/>
      <c r="D48" s="227"/>
      <c r="E48" s="236"/>
      <c r="F48" s="236"/>
      <c r="G48" s="236"/>
      <c r="H48" s="236"/>
      <c r="I48" s="236"/>
      <c r="J48" s="236"/>
      <c r="K48" s="359"/>
      <c r="L48" s="236"/>
      <c r="M48" s="236"/>
      <c r="N48" s="236"/>
      <c r="O48" s="236"/>
      <c r="P48" s="236"/>
      <c r="Q48" s="236"/>
      <c r="R48" s="236"/>
      <c r="S48" s="236"/>
      <c r="T48" s="236"/>
      <c r="U48" s="236"/>
      <c r="V48" s="236"/>
      <c r="W48" s="236"/>
      <c r="X48" s="236"/>
      <c r="Y48" s="236"/>
      <c r="Z48" s="227"/>
      <c r="AA48" s="228"/>
      <c r="AB48" s="1518"/>
      <c r="AC48" s="1518"/>
      <c r="AD48" s="1662"/>
      <c r="AE48" s="1518"/>
      <c r="AG48" s="1631"/>
      <c r="AJ48" s="3519"/>
    </row>
    <row r="49" spans="1:38" ht="16.5" customHeight="1">
      <c r="A49" s="224" t="s">
        <v>164</v>
      </c>
      <c r="B49" s="215"/>
      <c r="C49" s="237">
        <f>ROUND(C37+C44,1)</f>
        <v>-26.4</v>
      </c>
      <c r="D49" s="229"/>
      <c r="E49" s="237">
        <f>ROUND(E37+E44,1)</f>
        <v>306.5</v>
      </c>
      <c r="F49" s="237"/>
      <c r="G49" s="237">
        <f>ROUND(G37+G44,1)</f>
        <v>0</v>
      </c>
      <c r="H49" s="237"/>
      <c r="I49" s="237">
        <f>ROUND(I37+I44,1)</f>
        <v>0</v>
      </c>
      <c r="J49" s="237"/>
      <c r="K49" s="876">
        <f>ROUND(K37+K44,1)</f>
        <v>0</v>
      </c>
      <c r="L49" s="237"/>
      <c r="M49" s="237">
        <f>ROUND(M37+M44,1)</f>
        <v>0</v>
      </c>
      <c r="N49" s="237"/>
      <c r="O49" s="237">
        <f>ROUND(O37+O44,1)</f>
        <v>0</v>
      </c>
      <c r="P49" s="237"/>
      <c r="Q49" s="237">
        <f>ROUND(Q37+Q44,1)</f>
        <v>0</v>
      </c>
      <c r="R49" s="237"/>
      <c r="S49" s="237">
        <f>ROUND(S37+S44,1)</f>
        <v>0</v>
      </c>
      <c r="T49" s="237"/>
      <c r="U49" s="237">
        <f>ROUND(U37+U44,1)</f>
        <v>0</v>
      </c>
      <c r="V49" s="237"/>
      <c r="W49" s="237">
        <f>ROUND(W37+W44,1)</f>
        <v>0</v>
      </c>
      <c r="X49" s="237"/>
      <c r="Y49" s="237">
        <f>ROUND(Y37+Y44,1)</f>
        <v>0</v>
      </c>
      <c r="Z49" s="229"/>
      <c r="AA49" s="230"/>
      <c r="AB49" s="3110">
        <f>ROUND(AB37+AB44,1)</f>
        <v>280.10000000000002</v>
      </c>
      <c r="AC49" s="3111"/>
      <c r="AD49" s="3134"/>
      <c r="AE49" s="3110">
        <f>ROUND(AE37+AE44,1)</f>
        <v>-61</v>
      </c>
      <c r="AG49" s="1631"/>
      <c r="AH49" s="3135">
        <f>ROUND(SUM(AH37+AH44),1)</f>
        <v>341.1</v>
      </c>
      <c r="AI49" s="1101"/>
      <c r="AJ49" s="2061">
        <f>ROUND(IF(AE49=0,1,AH49/ABS(AE49)),3)</f>
        <v>5.5919999999999996</v>
      </c>
      <c r="AK49" s="353"/>
      <c r="AL49" s="353"/>
    </row>
    <row r="50" spans="1:38" ht="16.5" customHeight="1">
      <c r="A50" s="215"/>
      <c r="B50" s="215"/>
      <c r="C50" s="360"/>
      <c r="D50" s="224"/>
      <c r="E50" s="361"/>
      <c r="F50" s="362"/>
      <c r="G50" s="361"/>
      <c r="H50" s="362"/>
      <c r="I50" s="361"/>
      <c r="J50" s="362"/>
      <c r="K50" s="363"/>
      <c r="L50" s="362"/>
      <c r="M50" s="361"/>
      <c r="N50" s="362"/>
      <c r="O50" s="361"/>
      <c r="P50" s="362"/>
      <c r="Q50" s="361"/>
      <c r="R50" s="362"/>
      <c r="S50" s="361"/>
      <c r="T50" s="362"/>
      <c r="U50" s="361"/>
      <c r="V50" s="362"/>
      <c r="W50" s="361"/>
      <c r="X50" s="362"/>
      <c r="Y50" s="361"/>
      <c r="Z50" s="224"/>
      <c r="AA50" s="364"/>
      <c r="AB50" s="3114"/>
      <c r="AC50" s="1659"/>
      <c r="AD50" s="3137"/>
      <c r="AE50" s="3114"/>
      <c r="AG50" s="1631"/>
      <c r="AJ50" s="3515"/>
      <c r="AK50" s="353"/>
      <c r="AL50" s="353"/>
    </row>
    <row r="51" spans="1:38" ht="16.5" customHeight="1" thickBot="1">
      <c r="A51" s="224" t="s">
        <v>139</v>
      </c>
      <c r="B51" s="215"/>
      <c r="C51" s="222">
        <f>ROUND(C16+C49,1)</f>
        <v>331.3</v>
      </c>
      <c r="D51" s="222"/>
      <c r="E51" s="222">
        <f>ROUND(E16+E49,1)</f>
        <v>637.79999999999995</v>
      </c>
      <c r="F51" s="352"/>
      <c r="G51" s="222">
        <f>ROUND(G16+G49,1)</f>
        <v>0</v>
      </c>
      <c r="H51" s="352"/>
      <c r="I51" s="878">
        <f>ROUND(I16+I49,1)</f>
        <v>0</v>
      </c>
      <c r="J51" s="365"/>
      <c r="K51" s="222">
        <f>ROUND(K16+K49,1)</f>
        <v>0</v>
      </c>
      <c r="L51" s="365"/>
      <c r="M51" s="222">
        <f>ROUND(M16+M49,1)</f>
        <v>0</v>
      </c>
      <c r="N51" s="352"/>
      <c r="O51" s="222">
        <f>ROUND(O16+O49,1)</f>
        <v>0</v>
      </c>
      <c r="P51" s="352"/>
      <c r="Q51" s="222">
        <f>ROUND(Q16+Q49,1)</f>
        <v>0</v>
      </c>
      <c r="R51" s="352"/>
      <c r="S51" s="222">
        <f>ROUND(S16+S49,1)</f>
        <v>0</v>
      </c>
      <c r="T51" s="352"/>
      <c r="U51" s="222">
        <f>ROUND(U16+U49,1)</f>
        <v>0</v>
      </c>
      <c r="V51" s="352"/>
      <c r="W51" s="222">
        <f>ROUND(W16+W49,1)</f>
        <v>0</v>
      </c>
      <c r="X51" s="352"/>
      <c r="Y51" s="222">
        <f>ROUND(Y16+Y49,1)</f>
        <v>0</v>
      </c>
      <c r="Z51" s="222"/>
      <c r="AA51" s="223"/>
      <c r="AB51" s="3108">
        <f>ROUND(AB16+AB49,1)</f>
        <v>637.79999999999995</v>
      </c>
      <c r="AC51" s="3108"/>
      <c r="AD51" s="3129"/>
      <c r="AE51" s="3108">
        <f>ROUND(AE16+AE49,1)</f>
        <v>267</v>
      </c>
      <c r="AG51" s="1631"/>
      <c r="AH51" s="3138">
        <f>ROUND(SUM(AB51-AE51),1)</f>
        <v>370.8</v>
      </c>
      <c r="AI51" s="1127"/>
      <c r="AJ51" s="1129">
        <f>ROUND(IF(AH51=0,0,AH51/ABS(AE51)),3)</f>
        <v>1.389</v>
      </c>
      <c r="AK51" s="353"/>
      <c r="AL51" s="353"/>
    </row>
    <row r="52" spans="1:38" ht="16.5" customHeight="1" thickTop="1">
      <c r="A52" s="217"/>
      <c r="B52" s="217"/>
      <c r="C52" s="366"/>
      <c r="D52" s="217"/>
      <c r="E52" s="366"/>
      <c r="F52" s="217"/>
      <c r="G52" s="366"/>
      <c r="H52" s="217"/>
      <c r="I52" s="233"/>
      <c r="J52" s="233"/>
      <c r="K52" s="366"/>
      <c r="L52" s="233"/>
      <c r="M52" s="366"/>
      <c r="N52" s="217"/>
      <c r="O52" s="366"/>
      <c r="P52" s="217"/>
      <c r="Q52" s="366"/>
      <c r="R52" s="217"/>
      <c r="S52" s="366"/>
      <c r="T52" s="217"/>
      <c r="U52" s="366"/>
      <c r="V52" s="217"/>
      <c r="W52" s="366"/>
      <c r="X52" s="217"/>
      <c r="Y52" s="366"/>
      <c r="Z52" s="217"/>
      <c r="AA52" s="217"/>
      <c r="AB52" s="3115"/>
      <c r="AC52" s="3116"/>
      <c r="AD52" s="3116"/>
      <c r="AE52" s="3115"/>
    </row>
    <row r="53" spans="1:38" ht="16.5" customHeight="1">
      <c r="A53" s="238"/>
    </row>
    <row r="54" spans="1:38" ht="16.5" customHeight="1">
      <c r="A54" s="238"/>
    </row>
    <row r="55" spans="1:38" ht="16.5" customHeight="1">
      <c r="A55" s="238"/>
    </row>
    <row r="56" spans="1:38" ht="16.5" customHeight="1">
      <c r="A56" s="238"/>
    </row>
    <row r="57" spans="1:38" ht="16.5" customHeight="1">
      <c r="A57" s="238"/>
    </row>
  </sheetData>
  <mergeCells count="1">
    <mergeCell ref="AB12:AJ12"/>
  </mergeCells>
  <pageMargins left="0.25" right="0.25" top="0.5" bottom="0.25" header="0" footer="0.25"/>
  <pageSetup scale="42"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55" workbookViewId="0"/>
  </sheetViews>
  <sheetFormatPr defaultColWidth="8.6640625" defaultRowHeight="16.5" customHeight="1"/>
  <cols>
    <col min="1" max="1" width="48.44140625" style="202" customWidth="1"/>
    <col min="2" max="2" width="11" style="202" customWidth="1"/>
    <col min="3" max="3" width="1.6640625" style="202" customWidth="1"/>
    <col min="4" max="4" width="11" style="202" customWidth="1"/>
    <col min="5" max="5" width="1.6640625" style="202" customWidth="1"/>
    <col min="6" max="6" width="11.109375" style="202" customWidth="1"/>
    <col min="7" max="7" width="1.6640625" style="202" customWidth="1"/>
    <col min="8" max="8" width="11" style="202" customWidth="1"/>
    <col min="9" max="9" width="1.6640625" style="202" customWidth="1"/>
    <col min="10" max="10" width="10.44140625" style="202" customWidth="1"/>
    <col min="11" max="11" width="1.6640625" style="202" customWidth="1"/>
    <col min="12" max="12" width="13.109375" style="202" customWidth="1"/>
    <col min="13" max="13" width="1.6640625" style="202" customWidth="1"/>
    <col min="14" max="14" width="11.109375" style="202" customWidth="1"/>
    <col min="15" max="15" width="1.6640625" style="202" customWidth="1"/>
    <col min="16" max="16" width="12.109375" style="202" customWidth="1"/>
    <col min="17" max="17" width="1.6640625" style="202" customWidth="1"/>
    <col min="18" max="18" width="12" style="202" customWidth="1"/>
    <col min="19" max="19" width="1.6640625" style="202" customWidth="1"/>
    <col min="20" max="20" width="11.109375" style="202" customWidth="1"/>
    <col min="21" max="21" width="1.6640625" style="202" customWidth="1"/>
    <col min="22" max="22" width="11.6640625" style="202" customWidth="1"/>
    <col min="23" max="23" width="1.6640625" style="202" customWidth="1"/>
    <col min="24" max="24" width="11.109375" style="1065" customWidth="1"/>
    <col min="25" max="26" width="1.6640625" style="1065" customWidth="1"/>
    <col min="27" max="27" width="11.5546875" style="1065" customWidth="1"/>
    <col min="28" max="29" width="1.6640625" style="1065" customWidth="1"/>
    <col min="30" max="30" width="11.5546875" style="1065" customWidth="1"/>
    <col min="31" max="31" width="1.6640625" style="2149" customWidth="1"/>
    <col min="32" max="32" width="2.44140625" style="3117" customWidth="1"/>
    <col min="33" max="33" width="10.109375" style="1615" bestFit="1" customWidth="1"/>
    <col min="34" max="34" width="1.6640625" style="1110" customWidth="1"/>
    <col min="35" max="35" width="11.109375" style="1109" customWidth="1"/>
    <col min="36" max="16384" width="8.6640625" style="202"/>
  </cols>
  <sheetData>
    <row r="1" spans="1:37" ht="16.5" customHeight="1">
      <c r="A1" s="625" t="s">
        <v>870</v>
      </c>
    </row>
    <row r="2" spans="1:37" ht="16.5" customHeight="1">
      <c r="A2" s="801"/>
    </row>
    <row r="3" spans="1:37" ht="20.25" customHeight="1">
      <c r="A3" s="3432" t="s">
        <v>0</v>
      </c>
      <c r="B3" s="313"/>
      <c r="C3" s="367"/>
      <c r="D3" s="367"/>
      <c r="E3" s="367"/>
      <c r="F3" s="367"/>
      <c r="G3" s="367"/>
      <c r="H3" s="367"/>
      <c r="I3" s="367"/>
      <c r="J3" s="367"/>
      <c r="K3" s="367"/>
      <c r="L3" s="367"/>
      <c r="M3" s="367"/>
      <c r="N3" s="367"/>
      <c r="O3" s="367"/>
      <c r="P3" s="367"/>
      <c r="Q3" s="367"/>
      <c r="R3" s="367"/>
      <c r="S3" s="367"/>
      <c r="T3" s="367"/>
      <c r="U3" s="367"/>
      <c r="V3" s="367"/>
      <c r="W3" s="367"/>
      <c r="X3" s="3139"/>
      <c r="Y3" s="3139"/>
      <c r="Z3" s="3139"/>
      <c r="AA3" s="3139"/>
      <c r="AB3" s="3139"/>
      <c r="AC3" s="3139"/>
      <c r="AD3" s="3139"/>
      <c r="AE3" s="101"/>
      <c r="AI3" s="263" t="s">
        <v>219</v>
      </c>
      <c r="AJ3" s="367"/>
      <c r="AK3" s="367"/>
    </row>
    <row r="4" spans="1:37" ht="22.5" customHeight="1">
      <c r="A4" s="3432" t="s">
        <v>217</v>
      </c>
      <c r="B4" s="313"/>
      <c r="C4" s="367"/>
      <c r="D4" s="367"/>
      <c r="E4" s="367"/>
      <c r="F4" s="367"/>
      <c r="G4" s="367"/>
      <c r="H4" s="313" t="s">
        <v>14</v>
      </c>
      <c r="I4" s="367"/>
      <c r="J4" s="367"/>
      <c r="K4" s="367"/>
      <c r="L4" s="367"/>
      <c r="M4" s="367"/>
      <c r="N4" s="367"/>
      <c r="O4" s="367"/>
      <c r="P4" s="367"/>
      <c r="Q4" s="367"/>
      <c r="R4" s="367"/>
      <c r="S4" s="367"/>
      <c r="T4" s="367"/>
      <c r="U4" s="367"/>
      <c r="V4" s="367"/>
      <c r="W4" s="367"/>
      <c r="X4" s="3139" t="s">
        <v>14</v>
      </c>
      <c r="Y4" s="3139"/>
      <c r="Z4" s="3139"/>
      <c r="AA4" s="3139"/>
      <c r="AB4" s="3139"/>
      <c r="AC4" s="3139"/>
      <c r="AD4" s="3139"/>
      <c r="AE4" s="101"/>
      <c r="AJ4" s="367"/>
      <c r="AK4" s="367"/>
    </row>
    <row r="5" spans="1:37" ht="20.25" customHeight="1">
      <c r="A5" s="3432" t="s">
        <v>218</v>
      </c>
      <c r="B5" s="313"/>
      <c r="C5" s="367"/>
      <c r="D5" s="367"/>
      <c r="E5" s="367"/>
      <c r="F5" s="367"/>
      <c r="G5" s="367"/>
      <c r="H5" s="367"/>
      <c r="I5" s="367"/>
      <c r="J5" s="367"/>
      <c r="K5" s="367"/>
      <c r="L5" s="367"/>
      <c r="M5" s="367"/>
      <c r="N5" s="367"/>
      <c r="O5" s="367"/>
      <c r="P5" s="367"/>
      <c r="Q5" s="367"/>
      <c r="R5" s="367"/>
      <c r="S5" s="367"/>
      <c r="T5" s="367"/>
      <c r="U5" s="367"/>
      <c r="V5" s="367"/>
      <c r="W5" s="367"/>
      <c r="X5" s="3139"/>
      <c r="Y5" s="3139"/>
      <c r="Z5" s="3139"/>
      <c r="AB5" s="3140"/>
      <c r="AC5" s="3140"/>
      <c r="AD5" s="3140"/>
      <c r="AE5" s="3118"/>
      <c r="AJ5" s="367"/>
      <c r="AK5" s="367"/>
    </row>
    <row r="6" spans="1:37" ht="20.25" customHeight="1">
      <c r="A6" s="3433" t="str">
        <f>'Cashflow Governmental'!A6</f>
        <v xml:space="preserve">FISCAL YEAR 2022-2023   </v>
      </c>
      <c r="B6" s="313"/>
      <c r="C6" s="367"/>
      <c r="D6" s="367"/>
      <c r="E6" s="367"/>
      <c r="F6" s="367"/>
      <c r="G6" s="367"/>
      <c r="H6" s="367"/>
      <c r="I6" s="367"/>
      <c r="J6" s="367"/>
      <c r="K6" s="367"/>
      <c r="L6" s="367"/>
      <c r="M6" s="367"/>
      <c r="N6" s="367"/>
      <c r="O6" s="367"/>
      <c r="P6" s="367"/>
      <c r="Q6" s="367"/>
      <c r="R6" s="367"/>
      <c r="S6" s="367"/>
      <c r="T6" s="367"/>
      <c r="U6" s="367"/>
      <c r="V6" s="367"/>
      <c r="W6" s="367"/>
      <c r="X6" s="3139"/>
      <c r="Y6" s="3139"/>
      <c r="Z6" s="3139"/>
      <c r="AA6" s="3139"/>
      <c r="AB6" s="3139"/>
      <c r="AC6" s="3139"/>
      <c r="AD6" s="3139"/>
      <c r="AE6" s="101"/>
      <c r="AJ6" s="367"/>
      <c r="AK6" s="367"/>
    </row>
    <row r="7" spans="1:37" ht="20.25" customHeight="1">
      <c r="A7" s="3432" t="s">
        <v>1250</v>
      </c>
      <c r="B7" s="313"/>
      <c r="C7" s="367"/>
      <c r="D7" s="367"/>
      <c r="E7" s="367"/>
      <c r="F7" s="367"/>
      <c r="G7" s="367"/>
      <c r="H7" s="367"/>
      <c r="I7" s="367"/>
      <c r="J7" s="367"/>
      <c r="K7" s="367"/>
      <c r="L7" s="367"/>
      <c r="M7" s="367"/>
      <c r="N7" s="367"/>
      <c r="O7" s="367"/>
      <c r="P7" s="367"/>
      <c r="Q7" s="367"/>
      <c r="R7" s="367"/>
      <c r="S7" s="367"/>
      <c r="T7" s="367"/>
      <c r="U7" s="367"/>
      <c r="V7" s="367"/>
      <c r="W7" s="367"/>
      <c r="X7" s="3139"/>
      <c r="Y7" s="3139"/>
      <c r="Z7" s="3139"/>
      <c r="AA7" s="3139"/>
      <c r="AB7" s="3139"/>
      <c r="AC7" s="3139"/>
      <c r="AD7" s="3139"/>
      <c r="AE7" s="101"/>
      <c r="AJ7" s="367"/>
      <c r="AK7" s="367"/>
    </row>
    <row r="8" spans="1:37" ht="16.5" customHeight="1">
      <c r="L8" s="2058"/>
      <c r="AE8" s="101"/>
    </row>
    <row r="9" spans="1:37" ht="16.5" customHeight="1">
      <c r="A9" s="368"/>
      <c r="B9" s="211"/>
      <c r="C9" s="211"/>
      <c r="D9" s="211"/>
      <c r="E9" s="211"/>
      <c r="F9" s="211"/>
      <c r="G9" s="211"/>
      <c r="H9" s="260"/>
      <c r="I9" s="260"/>
      <c r="J9" s="260"/>
      <c r="K9" s="211"/>
      <c r="L9" s="211"/>
      <c r="M9" s="211"/>
      <c r="N9" s="211"/>
      <c r="O9" s="211"/>
      <c r="P9" s="211"/>
      <c r="Q9" s="211"/>
      <c r="R9" s="211"/>
      <c r="S9" s="211"/>
      <c r="T9" s="211"/>
      <c r="U9" s="211"/>
      <c r="V9" s="211"/>
      <c r="W9" s="211"/>
      <c r="X9" s="3141"/>
      <c r="Y9" s="3141"/>
      <c r="Z9" s="3141"/>
      <c r="AA9" s="3141"/>
      <c r="AB9" s="3141"/>
      <c r="AC9" s="3141"/>
      <c r="AD9" s="3141"/>
      <c r="AE9" s="1065"/>
      <c r="AF9" s="3119"/>
      <c r="AG9" s="3119"/>
      <c r="AH9" s="1111"/>
      <c r="AI9" s="1111"/>
    </row>
    <row r="10" spans="1:37" ht="16.5" customHeight="1">
      <c r="A10" s="239"/>
      <c r="B10" s="242"/>
      <c r="C10" s="242"/>
      <c r="D10" s="242"/>
      <c r="E10" s="242"/>
      <c r="F10" s="242"/>
      <c r="G10" s="242"/>
      <c r="H10" s="242"/>
      <c r="I10" s="242"/>
      <c r="J10" s="242"/>
      <c r="K10" s="242"/>
      <c r="L10" s="242"/>
      <c r="M10" s="242"/>
      <c r="N10" s="242"/>
      <c r="O10" s="242"/>
      <c r="P10" s="242"/>
      <c r="Q10" s="242"/>
      <c r="R10" s="242"/>
      <c r="S10" s="242"/>
      <c r="T10" s="242"/>
      <c r="U10" s="242"/>
      <c r="V10" s="242"/>
      <c r="W10" s="242"/>
      <c r="X10" s="3142"/>
      <c r="Y10" s="3142"/>
      <c r="Z10" s="3143"/>
      <c r="AA10" s="3964" t="s">
        <v>1518</v>
      </c>
      <c r="AB10" s="3965"/>
      <c r="AC10" s="3965"/>
      <c r="AD10" s="3965"/>
      <c r="AE10" s="3965"/>
      <c r="AF10" s="3965"/>
      <c r="AG10" s="3965"/>
      <c r="AH10" s="3965"/>
      <c r="AI10" s="3965"/>
    </row>
    <row r="11" spans="1:37" ht="16.5" customHeight="1">
      <c r="A11" s="239"/>
      <c r="B11" s="748" t="str">
        <f>'Cashflow Governmental'!C13</f>
        <v>2022</v>
      </c>
      <c r="C11" s="243"/>
      <c r="D11" s="243"/>
      <c r="E11" s="243"/>
      <c r="F11" s="243"/>
      <c r="G11" s="243"/>
      <c r="H11" s="243"/>
      <c r="I11" s="243"/>
      <c r="J11" s="243"/>
      <c r="K11" s="243"/>
      <c r="L11" s="243"/>
      <c r="M11" s="243"/>
      <c r="N11" s="243"/>
      <c r="O11" s="243"/>
      <c r="P11" s="243"/>
      <c r="Q11" s="243"/>
      <c r="R11" s="243"/>
      <c r="S11" s="243"/>
      <c r="T11" s="748">
        <f>'Cashflow Governmental'!U13</f>
        <v>2023</v>
      </c>
      <c r="U11" s="243"/>
      <c r="V11" s="243"/>
      <c r="W11" s="243"/>
      <c r="X11" s="1606"/>
      <c r="Y11" s="1606"/>
      <c r="Z11" s="3143"/>
      <c r="AA11" s="3143"/>
      <c r="AB11" s="3143"/>
      <c r="AC11" s="3143"/>
      <c r="AD11" s="3143"/>
      <c r="AE11" s="3121"/>
      <c r="AF11" s="3122"/>
      <c r="AG11" s="3125" t="s">
        <v>7</v>
      </c>
      <c r="AH11" s="1113"/>
      <c r="AI11" s="1114" t="s">
        <v>8</v>
      </c>
    </row>
    <row r="12" spans="1:37" ht="16.5" customHeight="1">
      <c r="A12" s="239"/>
      <c r="B12" s="750" t="s">
        <v>122</v>
      </c>
      <c r="C12" s="243"/>
      <c r="D12" s="750" t="s">
        <v>123</v>
      </c>
      <c r="E12" s="243"/>
      <c r="F12" s="750" t="s">
        <v>124</v>
      </c>
      <c r="G12" s="243"/>
      <c r="H12" s="750" t="s">
        <v>125</v>
      </c>
      <c r="I12" s="243"/>
      <c r="J12" s="750" t="s">
        <v>126</v>
      </c>
      <c r="K12" s="243"/>
      <c r="L12" s="748" t="s">
        <v>141</v>
      </c>
      <c r="M12" s="243"/>
      <c r="N12" s="748" t="s">
        <v>142</v>
      </c>
      <c r="O12" s="243"/>
      <c r="P12" s="750" t="s">
        <v>129</v>
      </c>
      <c r="Q12" s="243"/>
      <c r="R12" s="750" t="s">
        <v>130</v>
      </c>
      <c r="S12" s="243"/>
      <c r="T12" s="750" t="s">
        <v>131</v>
      </c>
      <c r="U12" s="243"/>
      <c r="V12" s="750" t="s">
        <v>132</v>
      </c>
      <c r="W12" s="243"/>
      <c r="X12" s="3144" t="s">
        <v>182</v>
      </c>
      <c r="Y12" s="1606"/>
      <c r="Z12" s="1606"/>
      <c r="AA12" s="3145">
        <f>'Cashflow Governmental'!AB14</f>
        <v>2022</v>
      </c>
      <c r="AB12" s="1606" t="s">
        <v>14</v>
      </c>
      <c r="AC12" s="1606"/>
      <c r="AD12" s="3145">
        <f>'Cashflow Governmental'!AE14</f>
        <v>2021</v>
      </c>
      <c r="AE12" s="3160"/>
      <c r="AF12" s="3161"/>
      <c r="AG12" s="3128" t="s">
        <v>11</v>
      </c>
      <c r="AH12" s="1116"/>
      <c r="AI12" s="1115" t="s">
        <v>12</v>
      </c>
    </row>
    <row r="13" spans="1:37" ht="4.5" customHeight="1">
      <c r="A13" s="239"/>
      <c r="B13" s="369"/>
      <c r="C13" s="239"/>
      <c r="D13" s="369"/>
      <c r="E13" s="239"/>
      <c r="F13" s="369"/>
      <c r="G13" s="239"/>
      <c r="H13" s="369"/>
      <c r="I13" s="239"/>
      <c r="J13" s="369"/>
      <c r="K13" s="239"/>
      <c r="L13" s="369"/>
      <c r="M13" s="239"/>
      <c r="N13" s="369"/>
      <c r="O13" s="239"/>
      <c r="P13" s="369"/>
      <c r="Q13" s="239"/>
      <c r="R13" s="369"/>
      <c r="S13" s="239"/>
      <c r="T13" s="369"/>
      <c r="U13" s="239"/>
      <c r="V13" s="369"/>
      <c r="W13" s="239"/>
      <c r="X13" s="3146"/>
      <c r="Y13" s="3147"/>
      <c r="Z13" s="3147"/>
      <c r="AA13" s="3146"/>
      <c r="AB13" s="3147"/>
      <c r="AC13" s="3147"/>
      <c r="AD13" s="3146"/>
      <c r="AE13" s="3123"/>
      <c r="AF13" s="1613"/>
    </row>
    <row r="14" spans="1:37" ht="16.5" customHeight="1">
      <c r="A14" s="314" t="s">
        <v>134</v>
      </c>
      <c r="B14" s="2082">
        <v>-136.69999999999999</v>
      </c>
      <c r="C14" s="370"/>
      <c r="D14" s="370">
        <f>B46</f>
        <v>-149.9</v>
      </c>
      <c r="E14" s="370"/>
      <c r="F14" s="370"/>
      <c r="G14" s="370"/>
      <c r="H14" s="370"/>
      <c r="I14" s="370"/>
      <c r="J14" s="370"/>
      <c r="K14" s="370"/>
      <c r="L14" s="370"/>
      <c r="M14" s="370"/>
      <c r="N14" s="370"/>
      <c r="O14" s="370"/>
      <c r="P14" s="370"/>
      <c r="Q14" s="370"/>
      <c r="R14" s="370"/>
      <c r="S14" s="370"/>
      <c r="T14" s="370"/>
      <c r="U14" s="370"/>
      <c r="V14" s="370"/>
      <c r="W14" s="370"/>
      <c r="X14" s="1608"/>
      <c r="Y14" s="1608"/>
      <c r="Z14" s="3148"/>
      <c r="AA14" s="1608">
        <f>B14</f>
        <v>-136.69999999999999</v>
      </c>
      <c r="AB14" s="3149"/>
      <c r="AC14" s="2146"/>
      <c r="AD14" s="2082">
        <v>-363.5</v>
      </c>
      <c r="AE14" s="3126"/>
      <c r="AF14" s="3162"/>
      <c r="AG14" s="1614">
        <f>ROUND(SUM(AA14-AD14),1)</f>
        <v>226.8</v>
      </c>
      <c r="AI14" s="1341">
        <f>-ROUND(IF(AG14=0,0,AG14/(AD14)),3)</f>
        <v>0.624</v>
      </c>
    </row>
    <row r="15" spans="1:37" ht="16.5" customHeight="1">
      <c r="A15" s="143"/>
      <c r="B15" s="372"/>
      <c r="C15" s="372"/>
      <c r="D15" s="372"/>
      <c r="E15" s="372"/>
      <c r="F15" s="372"/>
      <c r="G15" s="372"/>
      <c r="H15" s="372"/>
      <c r="I15" s="372"/>
      <c r="J15" s="372"/>
      <c r="K15" s="372"/>
      <c r="L15" s="372"/>
      <c r="M15" s="372"/>
      <c r="N15" s="372"/>
      <c r="O15" s="372"/>
      <c r="P15" s="372"/>
      <c r="Q15" s="372"/>
      <c r="R15" s="372"/>
      <c r="S15" s="372"/>
      <c r="T15" s="372"/>
      <c r="U15" s="372"/>
      <c r="V15" s="372"/>
      <c r="W15" s="372"/>
      <c r="X15" s="3126"/>
      <c r="Y15" s="3126"/>
      <c r="Z15" s="3150"/>
      <c r="AA15" s="3126"/>
      <c r="AB15" s="3151"/>
      <c r="AC15" s="3152"/>
      <c r="AD15" s="3126"/>
      <c r="AE15" s="3126"/>
      <c r="AF15" s="3162"/>
      <c r="AG15" s="3131"/>
      <c r="AI15" s="1110"/>
    </row>
    <row r="16" spans="1:37" ht="16.5" customHeight="1">
      <c r="A16" s="243" t="s">
        <v>13</v>
      </c>
      <c r="B16" s="372"/>
      <c r="C16" s="372"/>
      <c r="D16" s="372"/>
      <c r="E16" s="372"/>
      <c r="F16" s="372"/>
      <c r="G16" s="372"/>
      <c r="H16" s="372"/>
      <c r="I16" s="372"/>
      <c r="J16" s="372"/>
      <c r="K16" s="372"/>
      <c r="L16" s="372"/>
      <c r="M16" s="372"/>
      <c r="N16" s="231"/>
      <c r="O16" s="372"/>
      <c r="P16" s="372"/>
      <c r="Q16" s="372"/>
      <c r="R16" s="372"/>
      <c r="S16" s="372"/>
      <c r="T16" s="372"/>
      <c r="U16" s="372"/>
      <c r="V16" s="372"/>
      <c r="W16" s="372"/>
      <c r="X16" s="3126"/>
      <c r="Y16" s="3126"/>
      <c r="Z16" s="3150"/>
      <c r="AA16" s="3126"/>
      <c r="AB16" s="3151"/>
      <c r="AC16" s="3152"/>
      <c r="AD16" s="3126"/>
      <c r="AE16" s="1641"/>
      <c r="AF16" s="1625"/>
      <c r="AG16" s="1642"/>
      <c r="AI16" s="1123"/>
    </row>
    <row r="17" spans="1:36" s="1065" customFormat="1" ht="16.5" customHeight="1">
      <c r="A17" s="187" t="s">
        <v>175</v>
      </c>
      <c r="B17" s="231">
        <v>31.8</v>
      </c>
      <c r="C17" s="231"/>
      <c r="D17" s="231">
        <f>AA17-$B17</f>
        <v>36</v>
      </c>
      <c r="E17" s="231"/>
      <c r="F17" s="231"/>
      <c r="G17" s="231"/>
      <c r="H17" s="231"/>
      <c r="I17" s="1533"/>
      <c r="J17" s="231"/>
      <c r="K17" s="1533"/>
      <c r="L17" s="231"/>
      <c r="M17" s="1533"/>
      <c r="N17" s="231"/>
      <c r="O17" s="1533"/>
      <c r="P17" s="1531"/>
      <c r="Q17" s="1533"/>
      <c r="R17" s="1531"/>
      <c r="S17" s="1533"/>
      <c r="T17" s="1531"/>
      <c r="U17" s="1533"/>
      <c r="V17" s="1531"/>
      <c r="W17" s="1533"/>
      <c r="X17" s="1531"/>
      <c r="Y17" s="1533"/>
      <c r="Z17" s="1652"/>
      <c r="AA17" s="3153">
        <v>67.8</v>
      </c>
      <c r="AB17" s="3154"/>
      <c r="AC17" s="1626"/>
      <c r="AD17" s="3153">
        <v>82.5</v>
      </c>
      <c r="AE17" s="1653"/>
      <c r="AF17" s="1625"/>
      <c r="AG17" s="1654">
        <f>ROUND(SUM(AA17-AD17),1)</f>
        <v>-14.7</v>
      </c>
      <c r="AH17" s="1615"/>
      <c r="AI17" s="1655">
        <f>ROUND(IF(AG17=0,0,AG17/ABS(AD17)),3)</f>
        <v>-0.17799999999999999</v>
      </c>
    </row>
    <row r="18" spans="1:36" ht="16.5" customHeight="1">
      <c r="A18" s="143"/>
      <c r="B18" s="374"/>
      <c r="C18" s="231"/>
      <c r="D18" s="374"/>
      <c r="E18" s="231"/>
      <c r="F18" s="374"/>
      <c r="G18" s="231"/>
      <c r="H18" s="374"/>
      <c r="I18" s="231"/>
      <c r="J18" s="374"/>
      <c r="K18" s="231"/>
      <c r="L18" s="374"/>
      <c r="M18" s="231"/>
      <c r="N18" s="374"/>
      <c r="O18" s="231"/>
      <c r="P18" s="374"/>
      <c r="Q18" s="231"/>
      <c r="R18" s="374"/>
      <c r="S18" s="231"/>
      <c r="T18" s="374"/>
      <c r="U18" s="231"/>
      <c r="V18" s="374"/>
      <c r="W18" s="231"/>
      <c r="X18" s="2139"/>
      <c r="Y18" s="1533"/>
      <c r="Z18" s="1652"/>
      <c r="AA18" s="1001"/>
      <c r="AB18" s="3154"/>
      <c r="AC18" s="1626"/>
      <c r="AD18" s="1001"/>
      <c r="AE18" s="1626"/>
      <c r="AF18" s="1625"/>
      <c r="AG18" s="1642"/>
      <c r="AI18" s="1110"/>
    </row>
    <row r="19" spans="1:36" ht="16.5" customHeight="1">
      <c r="A19" s="243" t="s">
        <v>147</v>
      </c>
      <c r="B19" s="375">
        <f>ROUND(SUM(B17),1)</f>
        <v>31.8</v>
      </c>
      <c r="C19" s="375"/>
      <c r="D19" s="375">
        <f>ROUND(SUM(D17),1)</f>
        <v>36</v>
      </c>
      <c r="E19" s="375"/>
      <c r="F19" s="375">
        <f>ROUND(SUM(F17),1)</f>
        <v>0</v>
      </c>
      <c r="G19" s="375"/>
      <c r="H19" s="375">
        <f>ROUND(SUM(H17),1)</f>
        <v>0</v>
      </c>
      <c r="I19" s="375"/>
      <c r="J19" s="375">
        <f>ROUND(SUM(J17),1)</f>
        <v>0</v>
      </c>
      <c r="K19" s="375"/>
      <c r="L19" s="375">
        <f>ROUND(SUM(L17),1)</f>
        <v>0</v>
      </c>
      <c r="M19" s="375"/>
      <c r="N19" s="375">
        <f>ROUND(SUM(N17),1)</f>
        <v>0</v>
      </c>
      <c r="O19" s="375"/>
      <c r="P19" s="375">
        <f>ROUND(SUM(P17),1)</f>
        <v>0</v>
      </c>
      <c r="Q19" s="375"/>
      <c r="R19" s="375">
        <f>ROUND(SUM(R17),1)</f>
        <v>0</v>
      </c>
      <c r="S19" s="375"/>
      <c r="T19" s="375">
        <f>ROUND(SUM(T17),1)</f>
        <v>0</v>
      </c>
      <c r="U19" s="375"/>
      <c r="V19" s="375">
        <f>ROUND(SUM(V17),1)</f>
        <v>0</v>
      </c>
      <c r="W19" s="375"/>
      <c r="X19" s="2141">
        <f>ROUND(SUM(X17),1)</f>
        <v>0</v>
      </c>
      <c r="Y19" s="2141"/>
      <c r="Z19" s="2142"/>
      <c r="AA19" s="2141">
        <f>ROUND(SUM(AA17),1)</f>
        <v>67.8</v>
      </c>
      <c r="AB19" s="3155"/>
      <c r="AC19" s="3156"/>
      <c r="AD19" s="2141">
        <f>ROUND(SUM(AD17),1)</f>
        <v>82.5</v>
      </c>
      <c r="AE19" s="1533"/>
      <c r="AF19" s="1625"/>
      <c r="AG19" s="3135">
        <f>ROUND(SUM(AG17),1)</f>
        <v>-14.7</v>
      </c>
      <c r="AH19" s="1121"/>
      <c r="AI19" s="1122">
        <f>ROUND(IF(AG19=0,0,AG19/ABS(AD19)),3)</f>
        <v>-0.17799999999999999</v>
      </c>
    </row>
    <row r="20" spans="1:36" ht="16.5" customHeight="1">
      <c r="A20" s="143"/>
      <c r="B20" s="374"/>
      <c r="C20" s="231"/>
      <c r="D20" s="374"/>
      <c r="E20" s="231"/>
      <c r="F20" s="374"/>
      <c r="G20" s="231"/>
      <c r="H20" s="374"/>
      <c r="I20" s="231"/>
      <c r="J20" s="374"/>
      <c r="K20" s="231"/>
      <c r="L20" s="374"/>
      <c r="M20" s="231"/>
      <c r="N20" s="374"/>
      <c r="O20" s="231"/>
      <c r="P20" s="374"/>
      <c r="Q20" s="231"/>
      <c r="R20" s="374"/>
      <c r="S20" s="231"/>
      <c r="T20" s="374"/>
      <c r="U20" s="231"/>
      <c r="V20" s="374"/>
      <c r="W20" s="231"/>
      <c r="X20" s="2139"/>
      <c r="Y20" s="1533"/>
      <c r="Z20" s="1652"/>
      <c r="AA20" s="2139"/>
      <c r="AB20" s="3154"/>
      <c r="AC20" s="1626"/>
      <c r="AD20" s="2139"/>
      <c r="AE20" s="1533"/>
      <c r="AF20" s="1625"/>
      <c r="AG20" s="1642"/>
      <c r="AI20" s="1110"/>
    </row>
    <row r="21" spans="1:36" ht="16.5" customHeight="1">
      <c r="A21" s="143"/>
      <c r="B21" s="231"/>
      <c r="C21" s="231"/>
      <c r="D21" s="231"/>
      <c r="E21" s="231"/>
      <c r="F21" s="231"/>
      <c r="G21" s="231"/>
      <c r="H21" s="231"/>
      <c r="I21" s="231"/>
      <c r="J21" s="231"/>
      <c r="K21" s="231"/>
      <c r="L21" s="231"/>
      <c r="M21" s="231"/>
      <c r="N21" s="231"/>
      <c r="O21" s="231"/>
      <c r="P21" s="231"/>
      <c r="Q21" s="231"/>
      <c r="R21" s="231"/>
      <c r="S21" s="231"/>
      <c r="T21" s="231"/>
      <c r="U21" s="231"/>
      <c r="V21" s="231"/>
      <c r="W21" s="231"/>
      <c r="X21" s="1533"/>
      <c r="Y21" s="1533"/>
      <c r="Z21" s="1652"/>
      <c r="AA21" s="1533"/>
      <c r="AB21" s="3154"/>
      <c r="AC21" s="1626"/>
      <c r="AD21" s="1533"/>
      <c r="AE21" s="1531"/>
      <c r="AF21" s="1631"/>
      <c r="AG21" s="1642"/>
      <c r="AI21" s="1123"/>
    </row>
    <row r="22" spans="1:36" ht="16.5" customHeight="1">
      <c r="A22" s="243" t="s">
        <v>22</v>
      </c>
      <c r="B22" s="231"/>
      <c r="C22" s="231"/>
      <c r="D22" s="231"/>
      <c r="E22" s="231"/>
      <c r="F22" s="231"/>
      <c r="G22" s="231"/>
      <c r="H22" s="231"/>
      <c r="I22" s="231"/>
      <c r="J22" s="231"/>
      <c r="K22" s="231"/>
      <c r="L22" s="231"/>
      <c r="M22" s="231"/>
      <c r="N22" s="231"/>
      <c r="O22" s="231"/>
      <c r="P22" s="231"/>
      <c r="Q22" s="231"/>
      <c r="R22" s="231"/>
      <c r="S22" s="231"/>
      <c r="T22" s="231"/>
      <c r="U22" s="231"/>
      <c r="V22" s="231"/>
      <c r="W22" s="231"/>
      <c r="X22" s="1533"/>
      <c r="Y22" s="1533"/>
      <c r="Z22" s="1652"/>
      <c r="AA22" s="1533"/>
      <c r="AB22" s="3154"/>
      <c r="AC22" s="1626"/>
      <c r="AD22" s="1533"/>
      <c r="AE22" s="1628"/>
      <c r="AF22" s="1631"/>
      <c r="AG22" s="1642"/>
      <c r="AH22" s="1124"/>
      <c r="AI22" s="1123"/>
    </row>
    <row r="23" spans="1:36" ht="16.5" customHeight="1">
      <c r="A23" s="143" t="s">
        <v>149</v>
      </c>
      <c r="B23" s="231"/>
      <c r="C23" s="231"/>
      <c r="D23" s="231"/>
      <c r="E23" s="231"/>
      <c r="F23" s="231"/>
      <c r="G23" s="231"/>
      <c r="H23" s="231"/>
      <c r="I23" s="231"/>
      <c r="J23" s="231"/>
      <c r="K23" s="231"/>
      <c r="L23" s="231"/>
      <c r="M23" s="231"/>
      <c r="N23" s="231"/>
      <c r="O23" s="231"/>
      <c r="P23" s="231"/>
      <c r="Q23" s="231"/>
      <c r="R23" s="231"/>
      <c r="S23" s="231"/>
      <c r="T23" s="231"/>
      <c r="U23" s="231"/>
      <c r="V23" s="231"/>
      <c r="W23" s="231"/>
      <c r="X23" s="1533" t="s">
        <v>14</v>
      </c>
      <c r="Y23" s="1533"/>
      <c r="Z23" s="1652"/>
      <c r="AA23" s="1628"/>
      <c r="AB23" s="3154"/>
      <c r="AC23" s="1626"/>
      <c r="AD23" s="1628"/>
      <c r="AE23" s="2137"/>
      <c r="AF23" s="1631"/>
      <c r="AG23" s="1642"/>
      <c r="AI23" s="1123"/>
    </row>
    <row r="24" spans="1:36" ht="16.5" customHeight="1">
      <c r="A24" s="143" t="s">
        <v>215</v>
      </c>
      <c r="B24" s="231">
        <v>10.4</v>
      </c>
      <c r="C24" s="231"/>
      <c r="D24" s="231">
        <f t="shared" ref="D24:D26" si="0">AA24-$B24</f>
        <v>9.7000000000000011</v>
      </c>
      <c r="E24" s="231"/>
      <c r="F24" s="231"/>
      <c r="G24" s="231"/>
      <c r="H24" s="231"/>
      <c r="I24" s="1533"/>
      <c r="J24" s="231"/>
      <c r="K24" s="1533"/>
      <c r="L24" s="231"/>
      <c r="M24" s="1533"/>
      <c r="N24" s="231"/>
      <c r="O24" s="1533"/>
      <c r="P24" s="1531"/>
      <c r="Q24" s="1533"/>
      <c r="R24" s="1531"/>
      <c r="S24" s="1533"/>
      <c r="T24" s="1531"/>
      <c r="U24" s="1533"/>
      <c r="V24" s="1531"/>
      <c r="W24" s="1533"/>
      <c r="X24" s="1531"/>
      <c r="Y24" s="1533"/>
      <c r="Z24" s="1652"/>
      <c r="AA24" s="1531">
        <v>20.100000000000001</v>
      </c>
      <c r="AB24" s="3154"/>
      <c r="AC24" s="1626"/>
      <c r="AD24" s="1531">
        <v>21.4</v>
      </c>
      <c r="AE24" s="2138"/>
      <c r="AF24" s="1631"/>
      <c r="AG24" s="1642">
        <f>ROUND(SUM(AA24-AD24),1)</f>
        <v>-1.3</v>
      </c>
      <c r="AI24" s="1125">
        <f>ROUND(IF(AG24=0,0,AG24/ABS(AD24)),3)</f>
        <v>-6.0999999999999999E-2</v>
      </c>
    </row>
    <row r="25" spans="1:36" ht="16.5" customHeight="1">
      <c r="A25" s="143" t="s">
        <v>176</v>
      </c>
      <c r="B25" s="231">
        <v>33.799999999999997</v>
      </c>
      <c r="C25" s="231"/>
      <c r="D25" s="231">
        <f t="shared" si="0"/>
        <v>33.5</v>
      </c>
      <c r="E25" s="231"/>
      <c r="F25" s="231"/>
      <c r="G25" s="231"/>
      <c r="H25" s="231"/>
      <c r="I25" s="1533"/>
      <c r="J25" s="231"/>
      <c r="K25" s="1533"/>
      <c r="L25" s="231"/>
      <c r="M25" s="1533"/>
      <c r="N25" s="231"/>
      <c r="O25" s="1533"/>
      <c r="P25" s="1531"/>
      <c r="Q25" s="1533"/>
      <c r="R25" s="1531"/>
      <c r="S25" s="1533"/>
      <c r="T25" s="1531"/>
      <c r="U25" s="1533"/>
      <c r="V25" s="1531"/>
      <c r="W25" s="1533"/>
      <c r="X25" s="1531"/>
      <c r="Y25" s="1533"/>
      <c r="Z25" s="1652"/>
      <c r="AA25" s="1531">
        <v>67.3</v>
      </c>
      <c r="AB25" s="3154"/>
      <c r="AC25" s="1626"/>
      <c r="AD25" s="1531">
        <v>92.7</v>
      </c>
      <c r="AE25" s="1626"/>
      <c r="AF25" s="1625"/>
      <c r="AG25" s="1642">
        <f>ROUND(SUM(AA25-AD25),1)</f>
        <v>-25.4</v>
      </c>
      <c r="AI25" s="1125">
        <f>ROUND(IF(AG25=0,0,AG25/ABS(AD25)),3)</f>
        <v>-0.27400000000000002</v>
      </c>
      <c r="AJ25" s="3443"/>
    </row>
    <row r="26" spans="1:36" ht="16.5" customHeight="1">
      <c r="A26" s="143" t="s">
        <v>152</v>
      </c>
      <c r="B26" s="231">
        <v>3.3</v>
      </c>
      <c r="C26" s="231"/>
      <c r="D26" s="231">
        <f t="shared" si="0"/>
        <v>5.0000000000000009</v>
      </c>
      <c r="E26" s="231"/>
      <c r="F26" s="231"/>
      <c r="G26" s="231"/>
      <c r="H26" s="231"/>
      <c r="I26" s="1533"/>
      <c r="J26" s="231"/>
      <c r="K26" s="1533"/>
      <c r="L26" s="231"/>
      <c r="M26" s="1533"/>
      <c r="N26" s="231"/>
      <c r="O26" s="1533"/>
      <c r="P26" s="1531"/>
      <c r="Q26" s="1533"/>
      <c r="R26" s="1531"/>
      <c r="S26" s="1533"/>
      <c r="T26" s="1531"/>
      <c r="U26" s="1533"/>
      <c r="V26" s="1531"/>
      <c r="W26" s="1533"/>
      <c r="X26" s="1531"/>
      <c r="Y26" s="1533"/>
      <c r="Z26" s="1652"/>
      <c r="AA26" s="1531">
        <v>8.3000000000000007</v>
      </c>
      <c r="AB26" s="3154"/>
      <c r="AC26" s="1626"/>
      <c r="AD26" s="1531">
        <v>8.1999999999999993</v>
      </c>
      <c r="AE26" s="1533"/>
      <c r="AF26" s="1625"/>
      <c r="AG26" s="1654">
        <f>ROUND(SUM(AA26-AD26),1)</f>
        <v>0.1</v>
      </c>
      <c r="AI26" s="3445">
        <f>ROUND(IF(AD26=0,1,AG26/ABS(AD26)),3)</f>
        <v>1.2E-2</v>
      </c>
      <c r="AJ26" s="3443"/>
    </row>
    <row r="27" spans="1:36" ht="16.5" customHeight="1">
      <c r="A27" s="143"/>
      <c r="B27" s="374"/>
      <c r="C27" s="231"/>
      <c r="D27" s="374"/>
      <c r="E27" s="231"/>
      <c r="F27" s="374"/>
      <c r="G27" s="231"/>
      <c r="H27" s="374"/>
      <c r="I27" s="231"/>
      <c r="J27" s="374"/>
      <c r="K27" s="231"/>
      <c r="L27" s="374"/>
      <c r="M27" s="231"/>
      <c r="N27" s="374"/>
      <c r="O27" s="231"/>
      <c r="P27" s="374"/>
      <c r="Q27" s="231"/>
      <c r="R27" s="374"/>
      <c r="S27" s="231"/>
      <c r="T27" s="374"/>
      <c r="U27" s="231"/>
      <c r="V27" s="374"/>
      <c r="W27" s="231"/>
      <c r="X27" s="2139"/>
      <c r="Y27" s="1533"/>
      <c r="Z27" s="1652"/>
      <c r="AA27" s="2139"/>
      <c r="AB27" s="3154"/>
      <c r="AC27" s="1626"/>
      <c r="AD27" s="2139"/>
      <c r="AE27" s="2140"/>
      <c r="AF27" s="1631"/>
      <c r="AG27" s="1642"/>
      <c r="AH27" s="1126"/>
      <c r="AI27" s="1123"/>
    </row>
    <row r="28" spans="1:36" ht="16.5" customHeight="1">
      <c r="A28" s="243" t="s">
        <v>153</v>
      </c>
      <c r="B28" s="375">
        <f>ROUND(SUM(B24:B27),1)</f>
        <v>47.5</v>
      </c>
      <c r="C28" s="375"/>
      <c r="D28" s="375">
        <f>ROUND(SUM(D24:D27),1)</f>
        <v>48.2</v>
      </c>
      <c r="E28" s="375"/>
      <c r="F28" s="375">
        <f>ROUND(SUM(F24:F27),1)</f>
        <v>0</v>
      </c>
      <c r="G28" s="375"/>
      <c r="H28" s="375">
        <f>ROUND(SUM(H24:H27),1)</f>
        <v>0</v>
      </c>
      <c r="I28" s="375"/>
      <c r="J28" s="375">
        <f>ROUND(SUM(J24:J27),1)</f>
        <v>0</v>
      </c>
      <c r="K28" s="375"/>
      <c r="L28" s="375">
        <f>ROUND(SUM(L24:L27),1)</f>
        <v>0</v>
      </c>
      <c r="M28" s="375"/>
      <c r="N28" s="375">
        <f>ROUND(SUM(N24:N27),1)</f>
        <v>0</v>
      </c>
      <c r="O28" s="375"/>
      <c r="P28" s="375">
        <f>ROUND(SUM(P24:P27),1)</f>
        <v>0</v>
      </c>
      <c r="Q28" s="375"/>
      <c r="R28" s="375">
        <f>ROUND(SUM(R24:R27),1)</f>
        <v>0</v>
      </c>
      <c r="S28" s="375"/>
      <c r="T28" s="375">
        <f>ROUND(SUM(T24:T27),1)</f>
        <v>0</v>
      </c>
      <c r="U28" s="375"/>
      <c r="V28" s="375">
        <f>ROUND(SUM(V24:V27),1)</f>
        <v>0</v>
      </c>
      <c r="W28" s="375">
        <f>SUM(W24:W27)</f>
        <v>0</v>
      </c>
      <c r="X28" s="2141">
        <f>ROUND(SUM(X24:X26),1)</f>
        <v>0</v>
      </c>
      <c r="Y28" s="2141"/>
      <c r="Z28" s="2142"/>
      <c r="AA28" s="2141">
        <f>ROUND(SUM(AA23:AA26),1)</f>
        <v>95.7</v>
      </c>
      <c r="AB28" s="3155"/>
      <c r="AC28" s="3156"/>
      <c r="AD28" s="2141">
        <f>ROUND(SUM(AD23:AD26),1)</f>
        <v>122.3</v>
      </c>
      <c r="AE28" s="1626"/>
      <c r="AF28" s="1636"/>
      <c r="AG28" s="3135">
        <f>ROUND(SUM(AG24:AG26),1)</f>
        <v>-26.6</v>
      </c>
      <c r="AH28" s="1121"/>
      <c r="AI28" s="1122">
        <f>ROUND(IF(AG28=0,0,AG28/ABS(AD28)),3)</f>
        <v>-0.217</v>
      </c>
    </row>
    <row r="29" spans="1:36" ht="16.5" customHeight="1">
      <c r="A29" s="143"/>
      <c r="B29" s="374"/>
      <c r="C29" s="231"/>
      <c r="D29" s="374"/>
      <c r="E29" s="231"/>
      <c r="F29" s="374"/>
      <c r="G29" s="231"/>
      <c r="H29" s="374"/>
      <c r="I29" s="231"/>
      <c r="J29" s="374"/>
      <c r="K29" s="231"/>
      <c r="L29" s="374"/>
      <c r="M29" s="231"/>
      <c r="N29" s="374"/>
      <c r="O29" s="231"/>
      <c r="P29" s="374"/>
      <c r="Q29" s="231"/>
      <c r="R29" s="374"/>
      <c r="S29" s="231"/>
      <c r="T29" s="374"/>
      <c r="U29" s="231"/>
      <c r="V29" s="374"/>
      <c r="W29" s="231"/>
      <c r="X29" s="2139"/>
      <c r="Y29" s="1533"/>
      <c r="Z29" s="1652"/>
      <c r="AA29" s="2139"/>
      <c r="AB29" s="3154"/>
      <c r="AC29" s="1626"/>
      <c r="AD29" s="2139"/>
      <c r="AE29" s="1533"/>
      <c r="AF29" s="1636"/>
      <c r="AG29" s="1642"/>
      <c r="AI29" s="1110"/>
    </row>
    <row r="30" spans="1:36" ht="16.5" customHeight="1">
      <c r="A30" s="143"/>
      <c r="B30" s="231"/>
      <c r="C30" s="231"/>
      <c r="D30" s="231"/>
      <c r="E30" s="231"/>
      <c r="F30" s="231"/>
      <c r="G30" s="231"/>
      <c r="H30" s="231"/>
      <c r="I30" s="231"/>
      <c r="J30" s="231"/>
      <c r="K30" s="231"/>
      <c r="L30" s="231"/>
      <c r="M30" s="231"/>
      <c r="N30" s="231"/>
      <c r="O30" s="231"/>
      <c r="P30" s="231"/>
      <c r="Q30" s="231"/>
      <c r="R30" s="231"/>
      <c r="S30" s="231"/>
      <c r="T30" s="231"/>
      <c r="U30" s="231"/>
      <c r="V30" s="231"/>
      <c r="W30" s="231"/>
      <c r="X30" s="1533"/>
      <c r="Y30" s="1533"/>
      <c r="Z30" s="1652"/>
      <c r="AA30" s="1533"/>
      <c r="AB30" s="3154"/>
      <c r="AC30" s="1626"/>
      <c r="AD30" s="1533"/>
      <c r="AE30" s="1628"/>
      <c r="AF30" s="1636"/>
      <c r="AG30" s="1642"/>
      <c r="AH30" s="1124"/>
      <c r="AI30" s="1123"/>
    </row>
    <row r="31" spans="1:36" ht="16.5" customHeight="1">
      <c r="A31" s="243" t="s">
        <v>154</v>
      </c>
      <c r="B31" s="231"/>
      <c r="C31" s="231"/>
      <c r="D31" s="231"/>
      <c r="E31" s="231"/>
      <c r="F31" s="231"/>
      <c r="G31" s="231"/>
      <c r="H31" s="231"/>
      <c r="I31" s="231"/>
      <c r="J31" s="231"/>
      <c r="K31" s="231"/>
      <c r="L31" s="231"/>
      <c r="M31" s="231"/>
      <c r="N31" s="231"/>
      <c r="O31" s="231"/>
      <c r="P31" s="231"/>
      <c r="Q31" s="231"/>
      <c r="R31" s="231"/>
      <c r="S31" s="231"/>
      <c r="T31" s="231"/>
      <c r="U31" s="231"/>
      <c r="V31" s="231"/>
      <c r="W31" s="231"/>
      <c r="X31" s="1533"/>
      <c r="Y31" s="1533"/>
      <c r="Z31" s="1652"/>
      <c r="AA31" s="1533"/>
      <c r="AB31" s="3154"/>
      <c r="AC31" s="1626"/>
      <c r="AD31" s="1533"/>
      <c r="AE31" s="2143"/>
      <c r="AF31" s="1635"/>
      <c r="AG31" s="1642"/>
      <c r="AH31" s="1124"/>
      <c r="AI31" s="1123"/>
    </row>
    <row r="32" spans="1:36" ht="16.5" customHeight="1">
      <c r="A32" s="243" t="s">
        <v>44</v>
      </c>
      <c r="B32" s="375">
        <f>ROUND(B19-B28,1)</f>
        <v>-15.7</v>
      </c>
      <c r="C32" s="375"/>
      <c r="D32" s="375">
        <f>ROUND(D19-D28,1)</f>
        <v>-12.2</v>
      </c>
      <c r="E32" s="375"/>
      <c r="F32" s="375">
        <f>ROUND(F19-F28,1)</f>
        <v>0</v>
      </c>
      <c r="G32" s="375"/>
      <c r="H32" s="375">
        <f>ROUND(H19-H28,1)</f>
        <v>0</v>
      </c>
      <c r="I32" s="375"/>
      <c r="J32" s="375">
        <f>ROUND(J19-J28,1)</f>
        <v>0</v>
      </c>
      <c r="K32" s="375"/>
      <c r="L32" s="375">
        <f>ROUND(L19-L28,1)</f>
        <v>0</v>
      </c>
      <c r="M32" s="375"/>
      <c r="N32" s="375">
        <f>ROUND(N19-N28,1)</f>
        <v>0</v>
      </c>
      <c r="O32" s="375"/>
      <c r="P32" s="375">
        <f>ROUND(P19-P28,1)</f>
        <v>0</v>
      </c>
      <c r="Q32" s="375"/>
      <c r="R32" s="375">
        <f>ROUND(R19-R28,1)</f>
        <v>0</v>
      </c>
      <c r="S32" s="375"/>
      <c r="T32" s="375">
        <f>ROUND(T19-T28,1)</f>
        <v>0</v>
      </c>
      <c r="U32" s="375"/>
      <c r="V32" s="375">
        <f>ROUND(V19-V28,1)</f>
        <v>0</v>
      </c>
      <c r="W32" s="375"/>
      <c r="X32" s="2141">
        <f>ROUND(X19-X28,1)</f>
        <v>0</v>
      </c>
      <c r="Y32" s="2141"/>
      <c r="Z32" s="2142"/>
      <c r="AA32" s="2141">
        <f>ROUND(AA19-AA28,1)</f>
        <v>-27.9</v>
      </c>
      <c r="AB32" s="3155"/>
      <c r="AC32" s="3156"/>
      <c r="AD32" s="2141">
        <f>ROUND(AD19-AD28,1)</f>
        <v>-39.799999999999997</v>
      </c>
      <c r="AE32" s="1626"/>
      <c r="AF32" s="1625"/>
      <c r="AG32" s="3135">
        <f>ROUND(SUM(AG19-AG28),1)</f>
        <v>11.9</v>
      </c>
      <c r="AH32" s="1121"/>
      <c r="AI32" s="2061">
        <f>ROUND(IF(AG32=0,0,AG32/ABS(AD32)),3)</f>
        <v>0.29899999999999999</v>
      </c>
    </row>
    <row r="33" spans="1:35" ht="16.5" customHeight="1">
      <c r="A33" s="143"/>
      <c r="B33" s="374"/>
      <c r="C33" s="231"/>
      <c r="D33" s="374"/>
      <c r="E33" s="231"/>
      <c r="F33" s="374"/>
      <c r="G33" s="231"/>
      <c r="H33" s="374"/>
      <c r="I33" s="231"/>
      <c r="J33" s="374"/>
      <c r="K33" s="231"/>
      <c r="L33" s="374"/>
      <c r="M33" s="231"/>
      <c r="N33" s="374"/>
      <c r="O33" s="231"/>
      <c r="P33" s="374"/>
      <c r="Q33" s="231"/>
      <c r="R33" s="374"/>
      <c r="S33" s="231"/>
      <c r="T33" s="374"/>
      <c r="U33" s="231"/>
      <c r="V33" s="374"/>
      <c r="W33" s="231"/>
      <c r="X33" s="2139"/>
      <c r="Y33" s="1533"/>
      <c r="Z33" s="1652"/>
      <c r="AA33" s="2139"/>
      <c r="AB33" s="3154"/>
      <c r="AC33" s="1626"/>
      <c r="AD33" s="2139"/>
      <c r="AE33" s="1533"/>
      <c r="AF33" s="1625"/>
      <c r="AG33" s="1642"/>
      <c r="AI33" s="1110"/>
    </row>
    <row r="34" spans="1:35" ht="16.5" customHeight="1">
      <c r="A34" s="143"/>
      <c r="B34" s="231"/>
      <c r="C34" s="231"/>
      <c r="D34" s="231"/>
      <c r="E34" s="231"/>
      <c r="F34" s="231"/>
      <c r="G34" s="231"/>
      <c r="H34" s="231"/>
      <c r="I34" s="231"/>
      <c r="J34" s="231"/>
      <c r="K34" s="231"/>
      <c r="L34" s="231"/>
      <c r="M34" s="231"/>
      <c r="N34" s="231"/>
      <c r="O34" s="231"/>
      <c r="P34" s="231"/>
      <c r="Q34" s="231"/>
      <c r="R34" s="231"/>
      <c r="S34" s="231"/>
      <c r="T34" s="231"/>
      <c r="U34" s="231"/>
      <c r="V34" s="231"/>
      <c r="W34" s="231"/>
      <c r="X34" s="1533"/>
      <c r="Y34" s="1533"/>
      <c r="Z34" s="1652"/>
      <c r="AA34" s="1533"/>
      <c r="AB34" s="3154"/>
      <c r="AC34" s="1626"/>
      <c r="AD34" s="1533"/>
      <c r="AE34" s="2140"/>
      <c r="AF34" s="2145"/>
      <c r="AG34" s="1642"/>
      <c r="AI34" s="1123"/>
    </row>
    <row r="35" spans="1:35" ht="16.5" customHeight="1">
      <c r="A35" s="243" t="s">
        <v>45</v>
      </c>
      <c r="B35" s="231"/>
      <c r="C35" s="231"/>
      <c r="D35" s="231"/>
      <c r="E35" s="231"/>
      <c r="F35" s="231"/>
      <c r="G35" s="231"/>
      <c r="H35" s="231"/>
      <c r="I35" s="231"/>
      <c r="J35" s="231"/>
      <c r="K35" s="231"/>
      <c r="L35" s="231"/>
      <c r="M35" s="231"/>
      <c r="N35" s="231"/>
      <c r="O35" s="231"/>
      <c r="P35" s="231"/>
      <c r="Q35" s="231"/>
      <c r="R35" s="231"/>
      <c r="S35" s="231"/>
      <c r="T35" s="231"/>
      <c r="U35" s="231"/>
      <c r="V35" s="231"/>
      <c r="W35" s="231"/>
      <c r="X35" s="1533"/>
      <c r="Y35" s="1533"/>
      <c r="Z35" s="1652"/>
      <c r="AA35" s="1533"/>
      <c r="AB35" s="3154"/>
      <c r="AC35" s="1626"/>
      <c r="AD35" s="1533"/>
      <c r="AE35" s="2146"/>
      <c r="AF35" s="2147"/>
      <c r="AG35" s="1664"/>
      <c r="AH35" s="1127"/>
      <c r="AI35" s="1123"/>
    </row>
    <row r="36" spans="1:35" ht="16.5" customHeight="1">
      <c r="A36" s="143" t="s">
        <v>178</v>
      </c>
      <c r="B36" s="231">
        <v>2.5</v>
      </c>
      <c r="C36" s="231"/>
      <c r="D36" s="231">
        <f t="shared" ref="D36:D37" si="1">AA36-$B36</f>
        <v>3</v>
      </c>
      <c r="E36" s="231"/>
      <c r="F36" s="231"/>
      <c r="G36" s="231"/>
      <c r="H36" s="231"/>
      <c r="I36" s="1533"/>
      <c r="J36" s="231"/>
      <c r="K36" s="1533"/>
      <c r="L36" s="231"/>
      <c r="M36" s="1533"/>
      <c r="N36" s="231"/>
      <c r="O36" s="1533"/>
      <c r="P36" s="1531"/>
      <c r="Q36" s="1533"/>
      <c r="R36" s="1531"/>
      <c r="S36" s="1533"/>
      <c r="T36" s="1531"/>
      <c r="U36" s="1533"/>
      <c r="V36" s="1531"/>
      <c r="W36" s="1533"/>
      <c r="X36" s="1531"/>
      <c r="Y36" s="1533"/>
      <c r="Z36" s="1652"/>
      <c r="AA36" s="1531">
        <v>5.5</v>
      </c>
      <c r="AB36" s="3154"/>
      <c r="AC36" s="1626"/>
      <c r="AD36" s="1531">
        <v>5.2</v>
      </c>
      <c r="AE36" s="2148"/>
      <c r="AF36" s="1663"/>
      <c r="AG36" s="1642">
        <f>ROUND(SUM(AA36-AD36),1)</f>
        <v>0.3</v>
      </c>
      <c r="AH36" s="1124"/>
      <c r="AI36" s="1125">
        <f>ROUND(IF(AG36=0,0,AG36/ABS(AD36)),3)</f>
        <v>5.8000000000000003E-2</v>
      </c>
    </row>
    <row r="37" spans="1:35" s="1065" customFormat="1" ht="16.5" customHeight="1">
      <c r="A37" s="187" t="s">
        <v>179</v>
      </c>
      <c r="B37" s="231">
        <v>0</v>
      </c>
      <c r="C37" s="1533"/>
      <c r="D37" s="231">
        <f t="shared" si="1"/>
        <v>-0.1</v>
      </c>
      <c r="E37" s="1533"/>
      <c r="F37" s="231"/>
      <c r="G37" s="1533"/>
      <c r="H37" s="231"/>
      <c r="I37" s="1533"/>
      <c r="J37" s="231"/>
      <c r="K37" s="1533"/>
      <c r="L37" s="231"/>
      <c r="M37" s="1533"/>
      <c r="N37" s="231"/>
      <c r="O37" s="1533"/>
      <c r="P37" s="1531"/>
      <c r="Q37" s="1533"/>
      <c r="R37" s="1531"/>
      <c r="S37" s="1533"/>
      <c r="T37" s="1531"/>
      <c r="U37" s="1533"/>
      <c r="V37" s="1531"/>
      <c r="W37" s="1533"/>
      <c r="X37" s="1531"/>
      <c r="Y37" s="1533"/>
      <c r="Z37" s="1652"/>
      <c r="AA37" s="1531">
        <v>-0.1</v>
      </c>
      <c r="AB37" s="3154"/>
      <c r="AC37" s="1626"/>
      <c r="AD37" s="1531">
        <v>-0.1</v>
      </c>
      <c r="AE37" s="111"/>
      <c r="AF37" s="1663"/>
      <c r="AG37" s="2939">
        <f>-ROUND(SUM(AA37-AD37),1)</f>
        <v>0</v>
      </c>
      <c r="AH37" s="1634"/>
      <c r="AI37" s="3802">
        <f>ROUND(IF(AG37=0,0,AG37/ABS(AD37)),3)</f>
        <v>0</v>
      </c>
    </row>
    <row r="38" spans="1:35" ht="16.5" customHeight="1">
      <c r="A38" s="143"/>
      <c r="B38" s="374"/>
      <c r="C38" s="231"/>
      <c r="D38" s="374"/>
      <c r="E38" s="231"/>
      <c r="F38" s="374"/>
      <c r="G38" s="231"/>
      <c r="H38" s="374"/>
      <c r="I38" s="231"/>
      <c r="J38" s="374"/>
      <c r="K38" s="231"/>
      <c r="L38" s="374"/>
      <c r="M38" s="231"/>
      <c r="N38" s="374"/>
      <c r="O38" s="231"/>
      <c r="P38" s="374"/>
      <c r="Q38" s="231"/>
      <c r="R38" s="374"/>
      <c r="S38" s="231"/>
      <c r="T38" s="374"/>
      <c r="U38" s="231"/>
      <c r="V38" s="374"/>
      <c r="W38" s="231"/>
      <c r="X38" s="2139"/>
      <c r="Y38" s="1533"/>
      <c r="Z38" s="1652"/>
      <c r="AA38" s="3157"/>
      <c r="AB38" s="3154"/>
      <c r="AC38" s="1626"/>
      <c r="AD38" s="3157"/>
      <c r="AE38" s="134"/>
      <c r="AF38" s="1663"/>
      <c r="AG38" s="3131"/>
    </row>
    <row r="39" spans="1:35" ht="16.5" customHeight="1">
      <c r="A39" s="243" t="s">
        <v>204</v>
      </c>
      <c r="B39" s="375">
        <f>ROUND(SUM(B36:B38),1)</f>
        <v>2.5</v>
      </c>
      <c r="C39" s="375"/>
      <c r="D39" s="375">
        <f>ROUND(SUM(D36:D38),1)</f>
        <v>2.9</v>
      </c>
      <c r="E39" s="375"/>
      <c r="F39" s="375">
        <f>ROUND(SUM(F36:F38),1)</f>
        <v>0</v>
      </c>
      <c r="G39" s="375"/>
      <c r="H39" s="375">
        <f>ROUND(SUM(H36:H38),1)</f>
        <v>0</v>
      </c>
      <c r="I39" s="375"/>
      <c r="J39" s="375">
        <f>ROUND(SUM(J36:J38),1)</f>
        <v>0</v>
      </c>
      <c r="K39" s="375"/>
      <c r="L39" s="375">
        <f>ROUND(SUM(L36:L38),1)</f>
        <v>0</v>
      </c>
      <c r="M39" s="375"/>
      <c r="N39" s="375">
        <f>ROUND(SUM(N36:N38),1)</f>
        <v>0</v>
      </c>
      <c r="O39" s="375"/>
      <c r="P39" s="375">
        <f>ROUND(SUM(P36:P38),1)</f>
        <v>0</v>
      </c>
      <c r="Q39" s="375"/>
      <c r="R39" s="375">
        <f>ROUND(SUM(R36:R38),1)</f>
        <v>0</v>
      </c>
      <c r="S39" s="375"/>
      <c r="T39" s="375">
        <f>ROUND(SUM(T36:T38),1)</f>
        <v>0</v>
      </c>
      <c r="U39" s="375"/>
      <c r="V39" s="375">
        <f>ROUND(SUM(V36:V38),1)</f>
        <v>0</v>
      </c>
      <c r="W39" s="375"/>
      <c r="X39" s="2141">
        <f>ROUND(SUM(X36:X38),1)</f>
        <v>0</v>
      </c>
      <c r="Y39" s="2141"/>
      <c r="Z39" s="2142"/>
      <c r="AA39" s="2141">
        <f>ROUND(SUM(AA36:AA38),1)</f>
        <v>5.4</v>
      </c>
      <c r="AB39" s="3155"/>
      <c r="AC39" s="3156"/>
      <c r="AD39" s="2141">
        <f>ROUND(SUM(AD36:AD38),1)</f>
        <v>5.0999999999999996</v>
      </c>
      <c r="AF39" s="1631"/>
      <c r="AG39" s="3135">
        <f>AA39-AD39</f>
        <v>0.30000000000000071</v>
      </c>
      <c r="AH39" s="1128"/>
      <c r="AI39" s="1122">
        <f>ROUND(IF(AG39=0,0,AG39/ABS(AD39)),3)</f>
        <v>5.8999999999999997E-2</v>
      </c>
    </row>
    <row r="40" spans="1:35" ht="16.5" customHeight="1">
      <c r="A40" s="143"/>
      <c r="B40" s="374"/>
      <c r="C40" s="231"/>
      <c r="D40" s="374"/>
      <c r="E40" s="231"/>
      <c r="F40" s="374"/>
      <c r="G40" s="231"/>
      <c r="H40" s="374"/>
      <c r="I40" s="231"/>
      <c r="J40" s="374"/>
      <c r="K40" s="231"/>
      <c r="L40" s="374"/>
      <c r="M40" s="231"/>
      <c r="N40" s="374"/>
      <c r="O40" s="231"/>
      <c r="P40" s="374"/>
      <c r="Q40" s="231"/>
      <c r="R40" s="374"/>
      <c r="S40" s="231"/>
      <c r="T40" s="374"/>
      <c r="U40" s="231"/>
      <c r="V40" s="374"/>
      <c r="W40" s="231"/>
      <c r="X40" s="2139"/>
      <c r="Y40" s="1533"/>
      <c r="Z40" s="1652"/>
      <c r="AA40" s="2139"/>
      <c r="AB40" s="3154"/>
      <c r="AC40" s="1626"/>
      <c r="AD40" s="2139"/>
      <c r="AE40" s="134"/>
      <c r="AF40" s="1663"/>
      <c r="AG40" s="3131"/>
    </row>
    <row r="41" spans="1:35" ht="16.5" customHeight="1">
      <c r="A41" s="143"/>
      <c r="B41" s="231"/>
      <c r="C41" s="231"/>
      <c r="D41" s="231"/>
      <c r="E41" s="231"/>
      <c r="F41" s="231"/>
      <c r="G41" s="231"/>
      <c r="H41" s="231"/>
      <c r="I41" s="231"/>
      <c r="J41" s="231"/>
      <c r="K41" s="231"/>
      <c r="L41" s="231"/>
      <c r="M41" s="231"/>
      <c r="N41" s="231"/>
      <c r="O41" s="231"/>
      <c r="P41" s="231"/>
      <c r="Q41" s="231"/>
      <c r="R41" s="231"/>
      <c r="S41" s="231"/>
      <c r="T41" s="231"/>
      <c r="U41" s="231"/>
      <c r="V41" s="231"/>
      <c r="W41" s="231"/>
      <c r="X41" s="1533"/>
      <c r="Y41" s="1533"/>
      <c r="Z41" s="1652"/>
      <c r="AA41" s="1533"/>
      <c r="AB41" s="3154"/>
      <c r="AC41" s="1626"/>
      <c r="AD41" s="1533"/>
      <c r="AE41" s="134"/>
      <c r="AF41" s="1663"/>
    </row>
    <row r="42" spans="1:35" ht="16.5" customHeight="1">
      <c r="A42" s="243" t="s">
        <v>162</v>
      </c>
      <c r="B42" s="231"/>
      <c r="C42" s="231"/>
      <c r="D42" s="231"/>
      <c r="E42" s="231"/>
      <c r="F42" s="231"/>
      <c r="G42" s="231"/>
      <c r="H42" s="231"/>
      <c r="I42" s="231"/>
      <c r="J42" s="231"/>
      <c r="K42" s="231"/>
      <c r="L42" s="231"/>
      <c r="M42" s="231"/>
      <c r="N42" s="231"/>
      <c r="O42" s="231"/>
      <c r="P42" s="231"/>
      <c r="Q42" s="231"/>
      <c r="R42" s="231"/>
      <c r="S42" s="231"/>
      <c r="T42" s="231"/>
      <c r="U42" s="231"/>
      <c r="V42" s="231"/>
      <c r="W42" s="231"/>
      <c r="X42" s="1533"/>
      <c r="Y42" s="1533"/>
      <c r="Z42" s="1652"/>
      <c r="AA42" s="1533"/>
      <c r="AB42" s="3154"/>
      <c r="AC42" s="1626"/>
      <c r="AD42" s="1533"/>
      <c r="AE42" s="134"/>
      <c r="AF42" s="1663"/>
    </row>
    <row r="43" spans="1:35" ht="16.5" customHeight="1">
      <c r="A43" s="243" t="s">
        <v>222</v>
      </c>
      <c r="B43" s="231"/>
      <c r="C43" s="231"/>
      <c r="D43" s="231"/>
      <c r="E43" s="231"/>
      <c r="F43" s="231"/>
      <c r="G43" s="231"/>
      <c r="H43" s="231"/>
      <c r="I43" s="231"/>
      <c r="J43" s="231"/>
      <c r="K43" s="231"/>
      <c r="L43" s="231"/>
      <c r="M43" s="231"/>
      <c r="N43" s="231"/>
      <c r="O43" s="231"/>
      <c r="P43" s="231"/>
      <c r="Q43" s="231"/>
      <c r="R43" s="231"/>
      <c r="S43" s="231"/>
      <c r="T43" s="231"/>
      <c r="U43" s="231"/>
      <c r="V43" s="231"/>
      <c r="W43" s="231"/>
      <c r="X43" s="1533"/>
      <c r="Y43" s="1533"/>
      <c r="Z43" s="1652"/>
      <c r="AA43" s="1533"/>
      <c r="AB43" s="3154"/>
      <c r="AC43" s="1626"/>
      <c r="AD43" s="1533"/>
      <c r="AE43" s="101"/>
      <c r="AF43" s="1631"/>
    </row>
    <row r="44" spans="1:35" s="211" customFormat="1" ht="16.5" customHeight="1">
      <c r="A44" s="243" t="s">
        <v>164</v>
      </c>
      <c r="B44" s="375">
        <f>ROUND(SUM(B32,B39),1)</f>
        <v>-13.2</v>
      </c>
      <c r="C44" s="375"/>
      <c r="D44" s="375">
        <f>ROUND(SUM(D32,D39),1)</f>
        <v>-9.3000000000000007</v>
      </c>
      <c r="E44" s="375"/>
      <c r="F44" s="375">
        <f>ROUND(SUM(F32,F39),1)</f>
        <v>0</v>
      </c>
      <c r="G44" s="375"/>
      <c r="H44" s="375">
        <f>ROUND(SUM(H32,H39),1)</f>
        <v>0</v>
      </c>
      <c r="I44" s="375"/>
      <c r="J44" s="375">
        <f>ROUND(SUM(J32,J39),1)</f>
        <v>0</v>
      </c>
      <c r="K44" s="375"/>
      <c r="L44" s="375">
        <f>ROUND(SUM(L32,L39),1)</f>
        <v>0</v>
      </c>
      <c r="M44" s="375"/>
      <c r="N44" s="375">
        <f>ROUND(SUM(N32,N39),1)</f>
        <v>0</v>
      </c>
      <c r="O44" s="375"/>
      <c r="P44" s="375">
        <f>ROUND(SUM(P32,P39),1)</f>
        <v>0</v>
      </c>
      <c r="Q44" s="375"/>
      <c r="R44" s="375">
        <f>ROUND(SUM(R32,R39),1)</f>
        <v>0</v>
      </c>
      <c r="S44" s="375"/>
      <c r="T44" s="375">
        <f>ROUND(SUM(T32,T39),1)</f>
        <v>0</v>
      </c>
      <c r="U44" s="375"/>
      <c r="V44" s="375">
        <f>ROUND(SUM(V32,V39),1)</f>
        <v>0</v>
      </c>
      <c r="W44" s="375"/>
      <c r="X44" s="2141">
        <f>ROUND(SUM(X32,X39),1)</f>
        <v>0</v>
      </c>
      <c r="Y44" s="2141"/>
      <c r="Z44" s="2142"/>
      <c r="AA44" s="2144">
        <f>ROUND(AA32+AA39,1)</f>
        <v>-22.5</v>
      </c>
      <c r="AB44" s="3155"/>
      <c r="AC44" s="3156"/>
      <c r="AD44" s="2144">
        <f>ROUND(AD32+AD39,1)</f>
        <v>-34.700000000000003</v>
      </c>
      <c r="AE44" s="2149"/>
      <c r="AF44" s="1631"/>
      <c r="AG44" s="3135">
        <f>ROUND(SUM(AG32+AG39),1)</f>
        <v>12.2</v>
      </c>
      <c r="AH44" s="1101"/>
      <c r="AI44" s="2061">
        <f>ROUND(IF(AG44=0,0,AG44/ABS(AD44)),3)</f>
        <v>0.35199999999999998</v>
      </c>
    </row>
    <row r="45" spans="1:35" ht="16.5" customHeight="1">
      <c r="A45" s="143"/>
      <c r="B45" s="378"/>
      <c r="C45" s="372"/>
      <c r="D45" s="378"/>
      <c r="E45" s="372"/>
      <c r="F45" s="378"/>
      <c r="G45" s="372"/>
      <c r="H45" s="378"/>
      <c r="I45" s="372"/>
      <c r="J45" s="378"/>
      <c r="K45" s="372"/>
      <c r="L45" s="378"/>
      <c r="M45" s="372"/>
      <c r="N45" s="378"/>
      <c r="O45" s="372"/>
      <c r="P45" s="378"/>
      <c r="Q45" s="372"/>
      <c r="R45" s="378"/>
      <c r="S45" s="372"/>
      <c r="T45" s="378"/>
      <c r="U45" s="372"/>
      <c r="V45" s="378"/>
      <c r="W45" s="372"/>
      <c r="X45" s="3158"/>
      <c r="Y45" s="3126"/>
      <c r="Z45" s="3150"/>
      <c r="AA45" s="3158"/>
      <c r="AB45" s="3151"/>
      <c r="AC45" s="3152"/>
      <c r="AD45" s="3158"/>
      <c r="AF45" s="1631"/>
      <c r="AI45" s="1110"/>
    </row>
    <row r="46" spans="1:35" ht="16.5" customHeight="1" thickBot="1">
      <c r="A46" s="314" t="s">
        <v>139</v>
      </c>
      <c r="B46" s="370">
        <f>ROUND(SUM(B14,B44),1)</f>
        <v>-149.9</v>
      </c>
      <c r="C46" s="370"/>
      <c r="D46" s="370">
        <f>ROUND(SUM(D14,D44),1)</f>
        <v>-159.19999999999999</v>
      </c>
      <c r="E46" s="370"/>
      <c r="F46" s="370">
        <f>ROUND(SUM(F14,F44),1)</f>
        <v>0</v>
      </c>
      <c r="G46" s="370"/>
      <c r="H46" s="370">
        <f>ROUND(SUM(H14,H44),1)</f>
        <v>0</v>
      </c>
      <c r="I46" s="370"/>
      <c r="J46" s="370">
        <f>ROUND(SUM(J14,J44),1)</f>
        <v>0</v>
      </c>
      <c r="K46" s="370"/>
      <c r="L46" s="370">
        <f>ROUND(SUM(L14,L44),1)</f>
        <v>0</v>
      </c>
      <c r="M46" s="370"/>
      <c r="N46" s="370">
        <f>ROUND(SUM(N14,N44),1)</f>
        <v>0</v>
      </c>
      <c r="O46" s="370"/>
      <c r="P46" s="370">
        <f>ROUND(SUM(P14,P44),1)</f>
        <v>0</v>
      </c>
      <c r="Q46" s="370"/>
      <c r="R46" s="379">
        <f>ROUND(SUM(R14,R44),1)</f>
        <v>0</v>
      </c>
      <c r="S46" s="370"/>
      <c r="T46" s="370">
        <f>ROUND(SUM(T14,T44),1)</f>
        <v>0</v>
      </c>
      <c r="U46" s="370"/>
      <c r="V46" s="370">
        <f>ROUND(SUM(V14,V44),1)</f>
        <v>0</v>
      </c>
      <c r="W46" s="370"/>
      <c r="X46" s="1608">
        <f>ROUND(SUM(X14,X44),1)</f>
        <v>0</v>
      </c>
      <c r="Y46" s="1608"/>
      <c r="Z46" s="3148"/>
      <c r="AA46" s="1608">
        <f>ROUND(SUM(AA14,AA44),1)</f>
        <v>-159.19999999999999</v>
      </c>
      <c r="AB46" s="3149"/>
      <c r="AC46" s="2146"/>
      <c r="AD46" s="1608">
        <f>ROUND(SUM(AD14,AD44),1)</f>
        <v>-398.2</v>
      </c>
      <c r="AF46" s="1631"/>
      <c r="AG46" s="3138">
        <f>ROUND(SUM(AA46-AD46),1)</f>
        <v>239</v>
      </c>
      <c r="AH46" s="1127"/>
      <c r="AI46" s="1129">
        <f>ROUND(IF(AG46=0,0,AG46/ABS(AD46)),3)</f>
        <v>0.6</v>
      </c>
    </row>
    <row r="47" spans="1:35" ht="16.5" customHeight="1" thickTop="1">
      <c r="A47" s="143"/>
      <c r="B47" s="380"/>
      <c r="C47" s="372"/>
      <c r="D47" s="380"/>
      <c r="E47" s="372"/>
      <c r="F47" s="380"/>
      <c r="G47" s="372"/>
      <c r="H47" s="380"/>
      <c r="I47" s="372"/>
      <c r="J47" s="380"/>
      <c r="K47" s="372"/>
      <c r="L47" s="380"/>
      <c r="M47" s="372"/>
      <c r="N47" s="380"/>
      <c r="O47" s="372"/>
      <c r="P47" s="380"/>
      <c r="Q47" s="372"/>
      <c r="R47" s="373"/>
      <c r="S47" s="372"/>
      <c r="T47" s="380"/>
      <c r="U47" s="372"/>
      <c r="V47" s="380"/>
      <c r="W47" s="372"/>
      <c r="X47" s="3159"/>
      <c r="Y47" s="3126"/>
      <c r="Z47" s="3126"/>
      <c r="AA47" s="3159"/>
      <c r="AB47" s="3126"/>
      <c r="AC47" s="3126"/>
      <c r="AD47" s="3159"/>
    </row>
    <row r="49" spans="1:1" ht="16.5" customHeight="1">
      <c r="A49" s="381"/>
    </row>
    <row r="50" spans="1:1" ht="16.5" customHeight="1">
      <c r="A50" s="241"/>
    </row>
  </sheetData>
  <mergeCells count="1">
    <mergeCell ref="AA10:AI10"/>
  </mergeCells>
  <pageMargins left="0.25" right="0.25" top="0.5" bottom="0.25" header="0" footer="0.25"/>
  <pageSetup scale="43"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55" workbookViewId="0"/>
  </sheetViews>
  <sheetFormatPr defaultColWidth="8.6640625" defaultRowHeight="18"/>
  <cols>
    <col min="1" max="1" width="45.5546875" style="382" customWidth="1"/>
    <col min="2" max="2" width="11.109375" style="382" customWidth="1"/>
    <col min="3" max="3" width="1.6640625" style="382" customWidth="1"/>
    <col min="4" max="4" width="9.109375" style="382" customWidth="1"/>
    <col min="5" max="5" width="1.6640625" style="382" customWidth="1"/>
    <col min="6" max="6" width="8.6640625" style="382" customWidth="1"/>
    <col min="7" max="7" width="1.6640625" style="382" customWidth="1"/>
    <col min="8" max="8" width="9.44140625" style="382" customWidth="1"/>
    <col min="9" max="9" width="1.6640625" style="382" customWidth="1"/>
    <col min="10" max="10" width="10.6640625" style="382" customWidth="1"/>
    <col min="11" max="11" width="1.6640625" style="382" customWidth="1"/>
    <col min="12" max="12" width="14.109375" style="382" customWidth="1"/>
    <col min="13" max="13" width="1.6640625" style="382" customWidth="1"/>
    <col min="14" max="14" width="12" style="382" bestFit="1" customWidth="1"/>
    <col min="15" max="15" width="1.6640625" style="382" customWidth="1"/>
    <col min="16" max="16" width="13.5546875" style="382" bestFit="1" customWidth="1"/>
    <col min="17" max="17" width="1.6640625" style="382" customWidth="1"/>
    <col min="18" max="18" width="13.5546875" style="382" bestFit="1" customWidth="1"/>
    <col min="19" max="19" width="1.6640625" style="382" customWidth="1"/>
    <col min="20" max="20" width="11" style="382" bestFit="1" customWidth="1"/>
    <col min="21" max="21" width="1.6640625" style="382" customWidth="1"/>
    <col min="22" max="22" width="12.6640625" style="382" bestFit="1" customWidth="1"/>
    <col min="23" max="23" width="1.6640625" style="382" customWidth="1"/>
    <col min="24" max="24" width="11" style="382" customWidth="1"/>
    <col min="25" max="26" width="1.6640625" style="382" customWidth="1"/>
    <col min="27" max="27" width="10.109375" style="2149" customWidth="1"/>
    <col min="28" max="29" width="1.6640625" style="2149" customWidth="1"/>
    <col min="30" max="30" width="10.109375" style="3173" customWidth="1"/>
    <col min="31" max="31" width="1.6640625" style="1109" customWidth="1"/>
    <col min="32" max="32" width="2.44140625" style="1109" customWidth="1"/>
    <col min="33" max="33" width="10.109375" style="1110" bestFit="1" customWidth="1"/>
    <col min="34" max="34" width="1.6640625" style="1110" customWidth="1"/>
    <col min="35" max="35" width="11.109375" style="1109" customWidth="1"/>
    <col min="36" max="16384" width="8.6640625" style="382"/>
  </cols>
  <sheetData>
    <row r="1" spans="1:35">
      <c r="A1" s="625" t="s">
        <v>870</v>
      </c>
    </row>
    <row r="2" spans="1:35">
      <c r="A2" s="801"/>
    </row>
    <row r="3" spans="1:35" ht="20.25" customHeight="1">
      <c r="A3" s="3434" t="s">
        <v>0</v>
      </c>
      <c r="B3" s="28"/>
      <c r="C3" s="28"/>
      <c r="D3" s="28"/>
      <c r="E3" s="28"/>
      <c r="F3" s="28"/>
      <c r="G3" s="28"/>
      <c r="H3" s="28"/>
      <c r="I3" s="28"/>
      <c r="J3" s="28"/>
      <c r="K3" s="26"/>
      <c r="L3" s="26"/>
      <c r="M3" s="28"/>
      <c r="N3" s="28"/>
      <c r="O3" s="28"/>
      <c r="P3" s="28"/>
      <c r="Q3" s="28"/>
      <c r="R3" s="28"/>
      <c r="S3" s="28"/>
      <c r="T3" s="28"/>
      <c r="U3" s="28"/>
      <c r="V3" s="28"/>
      <c r="W3" s="28"/>
      <c r="X3" s="28"/>
      <c r="Y3" s="28"/>
      <c r="Z3" s="28"/>
      <c r="AA3" s="101"/>
      <c r="AB3" s="101"/>
      <c r="AC3" s="101"/>
      <c r="AD3" s="187"/>
      <c r="AI3" s="1148" t="s">
        <v>220</v>
      </c>
    </row>
    <row r="4" spans="1:35" ht="20.25" customHeight="1">
      <c r="A4" s="284" t="s">
        <v>782</v>
      </c>
      <c r="B4" s="28"/>
      <c r="C4" s="28"/>
      <c r="D4" s="28"/>
      <c r="E4" s="28"/>
      <c r="F4" s="28"/>
      <c r="G4" s="28"/>
      <c r="H4" s="26" t="s">
        <v>14</v>
      </c>
      <c r="I4" s="28"/>
      <c r="J4" s="28"/>
      <c r="K4" s="26"/>
      <c r="L4" s="26"/>
      <c r="M4" s="28"/>
      <c r="N4" s="28"/>
      <c r="O4" s="28"/>
      <c r="P4" s="28"/>
      <c r="Q4" s="28"/>
      <c r="R4" s="28"/>
      <c r="S4" s="28"/>
      <c r="T4" s="28"/>
      <c r="U4" s="28"/>
      <c r="V4" s="28"/>
      <c r="W4" s="28"/>
      <c r="X4" s="28" t="s">
        <v>14</v>
      </c>
      <c r="Y4" s="28"/>
      <c r="Z4" s="28"/>
      <c r="AA4" s="101"/>
      <c r="AB4" s="101"/>
      <c r="AC4" s="101"/>
      <c r="AD4" s="187"/>
    </row>
    <row r="5" spans="1:35" ht="20.25" customHeight="1">
      <c r="A5" s="1493" t="s">
        <v>121</v>
      </c>
      <c r="B5" s="28"/>
      <c r="C5" s="28"/>
      <c r="D5" s="28"/>
      <c r="E5" s="28"/>
      <c r="F5" s="28"/>
      <c r="G5" s="28"/>
      <c r="H5" s="28"/>
      <c r="I5" s="28"/>
      <c r="J5" s="28"/>
      <c r="K5" s="26"/>
      <c r="L5" s="26"/>
      <c r="M5" s="28"/>
      <c r="N5" s="28"/>
      <c r="O5" s="28"/>
      <c r="P5" s="28"/>
      <c r="Q5" s="28"/>
      <c r="R5" s="28"/>
      <c r="S5" s="28"/>
      <c r="T5" s="28"/>
      <c r="U5" s="28"/>
      <c r="V5" s="28"/>
      <c r="W5" s="28"/>
      <c r="X5" s="28"/>
      <c r="Y5" s="28"/>
      <c r="Z5" s="28"/>
      <c r="AB5" s="3163"/>
      <c r="AC5" s="3163"/>
      <c r="AE5" s="1131"/>
    </row>
    <row r="6" spans="1:35" ht="20.25" customHeight="1">
      <c r="A6" s="1493" t="str">
        <f>'Cashflow Governmental'!A6</f>
        <v xml:space="preserve">FISCAL YEAR 2022-2023   </v>
      </c>
      <c r="B6" s="28"/>
      <c r="C6" s="28"/>
      <c r="D6" s="28"/>
      <c r="E6" s="28"/>
      <c r="F6" s="28"/>
      <c r="G6" s="28"/>
      <c r="H6" s="28"/>
      <c r="I6" s="28"/>
      <c r="J6" s="28"/>
      <c r="K6" s="26"/>
      <c r="L6" s="26"/>
      <c r="M6" s="28"/>
      <c r="N6" s="28"/>
      <c r="O6" s="28"/>
      <c r="P6" s="28"/>
      <c r="Q6" s="28"/>
      <c r="R6" s="28"/>
      <c r="S6" s="28"/>
      <c r="T6" s="28"/>
      <c r="U6" s="28"/>
      <c r="V6" s="28"/>
      <c r="W6" s="28"/>
      <c r="X6" s="28"/>
      <c r="Y6" s="28"/>
      <c r="Z6" s="28"/>
      <c r="AA6" s="101"/>
      <c r="AB6" s="101"/>
      <c r="AC6" s="101"/>
      <c r="AD6" s="187"/>
    </row>
    <row r="7" spans="1:35" ht="20.25" customHeight="1">
      <c r="A7" s="3434" t="s">
        <v>1250</v>
      </c>
      <c r="B7" s="28"/>
      <c r="C7" s="28"/>
      <c r="D7" s="28"/>
      <c r="E7" s="28"/>
      <c r="F7" s="28"/>
      <c r="G7" s="28"/>
      <c r="H7" s="28"/>
      <c r="I7" s="28"/>
      <c r="J7" s="28"/>
      <c r="K7" s="26"/>
      <c r="L7" s="28"/>
      <c r="M7" s="28"/>
      <c r="N7" s="28"/>
      <c r="O7" s="28"/>
      <c r="P7" s="28"/>
      <c r="Q7" s="28"/>
      <c r="R7" s="28"/>
      <c r="S7" s="28"/>
      <c r="T7" s="28"/>
      <c r="U7" s="28"/>
      <c r="V7" s="28"/>
      <c r="W7" s="28"/>
      <c r="X7" s="28"/>
      <c r="Y7" s="28"/>
      <c r="Z7" s="28"/>
      <c r="AA7" s="101"/>
      <c r="AB7" s="101"/>
      <c r="AC7" s="101"/>
      <c r="AD7" s="187"/>
    </row>
    <row r="8" spans="1:35" s="384" customFormat="1" ht="19.350000000000001" customHeight="1">
      <c r="A8" s="314"/>
      <c r="B8" s="28"/>
      <c r="C8" s="28"/>
      <c r="D8" s="28"/>
      <c r="E8" s="28"/>
      <c r="F8" s="28"/>
      <c r="G8" s="28"/>
      <c r="H8" s="28"/>
      <c r="I8" s="28"/>
      <c r="J8" s="28"/>
      <c r="K8" s="28"/>
      <c r="L8" s="28"/>
      <c r="M8" s="28"/>
      <c r="N8" s="28"/>
      <c r="O8" s="28"/>
      <c r="P8" s="28"/>
      <c r="Q8" s="28"/>
      <c r="R8" s="28"/>
      <c r="S8" s="28"/>
      <c r="T8" s="28"/>
      <c r="U8" s="28"/>
      <c r="V8" s="28"/>
      <c r="W8" s="28"/>
      <c r="X8" s="28"/>
      <c r="Y8" s="28"/>
      <c r="Z8" s="143"/>
      <c r="AA8" s="187"/>
      <c r="AB8" s="187"/>
      <c r="AC8" s="187"/>
      <c r="AD8" s="187"/>
      <c r="AE8" s="1109"/>
      <c r="AF8" s="1109"/>
      <c r="AG8" s="1110"/>
      <c r="AH8" s="1110"/>
      <c r="AI8" s="1109"/>
    </row>
    <row r="9" spans="1:35" s="384" customFormat="1" ht="19.350000000000001" customHeight="1">
      <c r="A9" s="669"/>
      <c r="B9" s="669"/>
      <c r="C9" s="669"/>
      <c r="D9" s="669"/>
      <c r="E9" s="669"/>
      <c r="F9" s="669"/>
      <c r="G9" s="669"/>
      <c r="H9" s="26"/>
      <c r="I9" s="26"/>
      <c r="J9" s="26"/>
      <c r="K9" s="669"/>
      <c r="L9" s="669"/>
      <c r="M9" s="669"/>
      <c r="N9" s="669"/>
      <c r="O9" s="669"/>
      <c r="P9" s="669"/>
      <c r="Q9" s="669"/>
      <c r="R9" s="669"/>
      <c r="S9" s="669"/>
      <c r="T9" s="669"/>
      <c r="U9" s="669"/>
      <c r="V9" s="669"/>
      <c r="W9" s="669"/>
      <c r="X9" s="669"/>
      <c r="Y9" s="669"/>
      <c r="Z9" s="143"/>
      <c r="AA9" s="187"/>
      <c r="AB9" s="187"/>
      <c r="AC9" s="3966"/>
      <c r="AD9" s="3967"/>
      <c r="AE9" s="3967"/>
      <c r="AF9" s="3967"/>
      <c r="AG9" s="3967"/>
      <c r="AH9" s="3967"/>
      <c r="AI9" s="3967"/>
    </row>
    <row r="10" spans="1:35" s="384" customFormat="1" ht="19.350000000000001" customHeight="1">
      <c r="A10" s="143"/>
      <c r="B10" s="143"/>
      <c r="C10" s="143"/>
      <c r="D10" s="143"/>
      <c r="E10" s="143"/>
      <c r="F10" s="143"/>
      <c r="G10" s="143"/>
      <c r="H10" s="143"/>
      <c r="I10" s="143"/>
      <c r="J10" s="143"/>
      <c r="K10" s="143"/>
      <c r="L10" s="143"/>
      <c r="M10" s="143"/>
      <c r="N10" s="143"/>
      <c r="O10" s="143"/>
      <c r="P10" s="143"/>
      <c r="Q10" s="143"/>
      <c r="R10" s="143"/>
      <c r="S10" s="143"/>
      <c r="T10" s="143"/>
      <c r="U10" s="143"/>
      <c r="V10" s="2057"/>
      <c r="W10" s="808"/>
      <c r="X10" s="809"/>
      <c r="Y10" s="810"/>
      <c r="Z10" s="3968" t="s">
        <v>1518</v>
      </c>
      <c r="AA10" s="3968"/>
      <c r="AB10" s="3968"/>
      <c r="AC10" s="3968"/>
      <c r="AD10" s="3968"/>
      <c r="AE10" s="3968"/>
      <c r="AF10" s="3968"/>
      <c r="AG10" s="3968"/>
      <c r="AH10" s="3968"/>
      <c r="AI10" s="3968"/>
    </row>
    <row r="11" spans="1:35" s="384" customFormat="1" ht="19.350000000000001" customHeight="1">
      <c r="A11" s="143"/>
      <c r="B11" s="748" t="str">
        <f>'Cashflow Governmental'!C13</f>
        <v>2022</v>
      </c>
      <c r="C11" s="243"/>
      <c r="D11" s="243"/>
      <c r="E11" s="243"/>
      <c r="F11" s="243"/>
      <c r="G11" s="243"/>
      <c r="H11" s="243"/>
      <c r="I11" s="243"/>
      <c r="J11" s="243"/>
      <c r="K11" s="243"/>
      <c r="L11" s="243"/>
      <c r="M11" s="243"/>
      <c r="N11" s="243"/>
      <c r="O11" s="243"/>
      <c r="P11" s="243"/>
      <c r="Q11" s="243"/>
      <c r="R11" s="243"/>
      <c r="S11" s="243"/>
      <c r="T11" s="748">
        <f>'Cashflow Governmental'!U13</f>
        <v>2023</v>
      </c>
      <c r="U11" s="243"/>
      <c r="V11" s="750"/>
      <c r="W11" s="243"/>
      <c r="X11" s="243"/>
      <c r="Y11" s="243"/>
      <c r="Z11" s="749"/>
      <c r="AA11" s="3143"/>
      <c r="AB11" s="3143"/>
      <c r="AC11" s="3143"/>
      <c r="AD11" s="3121"/>
      <c r="AE11" s="1132"/>
      <c r="AF11" s="1101"/>
      <c r="AG11" s="1113" t="s">
        <v>7</v>
      </c>
      <c r="AH11" s="1113"/>
      <c r="AI11" s="1114" t="s">
        <v>8</v>
      </c>
    </row>
    <row r="12" spans="1:35" s="384" customFormat="1" ht="19.350000000000001" customHeight="1">
      <c r="A12" s="143"/>
      <c r="B12" s="811" t="s">
        <v>122</v>
      </c>
      <c r="C12" s="243"/>
      <c r="D12" s="811" t="s">
        <v>123</v>
      </c>
      <c r="E12" s="243"/>
      <c r="F12" s="811" t="s">
        <v>124</v>
      </c>
      <c r="G12" s="243"/>
      <c r="H12" s="811" t="s">
        <v>125</v>
      </c>
      <c r="I12" s="243"/>
      <c r="J12" s="812" t="s">
        <v>221</v>
      </c>
      <c r="K12" s="243"/>
      <c r="L12" s="812" t="s">
        <v>141</v>
      </c>
      <c r="M12" s="243"/>
      <c r="N12" s="812" t="s">
        <v>142</v>
      </c>
      <c r="O12" s="243"/>
      <c r="P12" s="811" t="s">
        <v>129</v>
      </c>
      <c r="Q12" s="243"/>
      <c r="R12" s="811" t="s">
        <v>130</v>
      </c>
      <c r="S12" s="243"/>
      <c r="T12" s="812" t="s">
        <v>131</v>
      </c>
      <c r="U12" s="243"/>
      <c r="V12" s="811" t="s">
        <v>132</v>
      </c>
      <c r="W12" s="243"/>
      <c r="X12" s="812" t="s">
        <v>182</v>
      </c>
      <c r="Y12" s="243"/>
      <c r="Z12" s="243"/>
      <c r="AA12" s="3145">
        <f>'Cashflow Governmental'!AB14</f>
        <v>2022</v>
      </c>
      <c r="AB12" s="3145"/>
      <c r="AC12" s="3160"/>
      <c r="AD12" s="3344">
        <f>'Cashflow Governmental'!AE14</f>
        <v>2021</v>
      </c>
      <c r="AE12" s="1128"/>
      <c r="AF12" s="1128"/>
      <c r="AG12" s="1115" t="s">
        <v>11</v>
      </c>
      <c r="AH12" s="1116"/>
      <c r="AI12" s="1115" t="s">
        <v>12</v>
      </c>
    </row>
    <row r="13" spans="1:35" s="1617" customFormat="1" ht="19.350000000000001" customHeight="1">
      <c r="A13" s="1606" t="s">
        <v>134</v>
      </c>
      <c r="B13" s="1637">
        <v>318.89999999999998</v>
      </c>
      <c r="C13" s="1608"/>
      <c r="D13" s="1637">
        <f>B38</f>
        <v>320.10000000000002</v>
      </c>
      <c r="E13" s="1608"/>
      <c r="F13" s="1637"/>
      <c r="G13" s="1638"/>
      <c r="H13" s="1637"/>
      <c r="I13" s="1638"/>
      <c r="J13" s="1637"/>
      <c r="K13" s="1638"/>
      <c r="L13" s="1637"/>
      <c r="M13" s="1638"/>
      <c r="N13" s="1637"/>
      <c r="O13" s="1638"/>
      <c r="P13" s="1637"/>
      <c r="Q13" s="1638"/>
      <c r="R13" s="1637"/>
      <c r="S13" s="1638"/>
      <c r="T13" s="1637"/>
      <c r="U13" s="1638"/>
      <c r="V13" s="1637"/>
      <c r="W13" s="1638"/>
      <c r="X13" s="1637"/>
      <c r="Y13" s="1610"/>
      <c r="Z13" s="1611"/>
      <c r="AA13" s="1637">
        <f>B13</f>
        <v>318.89999999999998</v>
      </c>
      <c r="AB13" s="1610"/>
      <c r="AC13" s="3164"/>
      <c r="AD13" s="1637">
        <v>0</v>
      </c>
      <c r="AE13" s="1612"/>
      <c r="AF13" s="1613"/>
      <c r="AG13" s="1614">
        <f>ROUND(SUM(AA13-AD13),1)</f>
        <v>318.89999999999998</v>
      </c>
      <c r="AH13" s="1615"/>
      <c r="AI13" s="3899">
        <f>ROUND(IF(AD13=0,1,AG13/ABS(AD13)),3)</f>
        <v>1</v>
      </c>
    </row>
    <row r="14" spans="1:35" s="384" customFormat="1" ht="19.350000000000001" customHeight="1">
      <c r="A14" s="143"/>
      <c r="B14" s="372"/>
      <c r="C14" s="372"/>
      <c r="D14" s="372"/>
      <c r="E14" s="372"/>
      <c r="F14" s="3595"/>
      <c r="G14" s="815"/>
      <c r="H14" s="816"/>
      <c r="I14" s="816"/>
      <c r="J14" s="816"/>
      <c r="K14" s="815"/>
      <c r="L14" s="816"/>
      <c r="M14" s="816"/>
      <c r="N14" s="816"/>
      <c r="O14" s="816"/>
      <c r="P14" s="816"/>
      <c r="Q14" s="816"/>
      <c r="R14" s="816"/>
      <c r="S14" s="816"/>
      <c r="T14" s="816"/>
      <c r="U14" s="816"/>
      <c r="V14" s="816"/>
      <c r="W14" s="816"/>
      <c r="X14" s="816"/>
      <c r="Y14" s="817"/>
      <c r="Z14" s="818"/>
      <c r="AA14" s="3126"/>
      <c r="AB14" s="3165"/>
      <c r="AC14" s="3166"/>
      <c r="AD14" s="3126"/>
      <c r="AE14" s="1133"/>
      <c r="AF14" s="1130"/>
      <c r="AG14" s="1118"/>
      <c r="AH14" s="1110"/>
      <c r="AI14" s="1109"/>
    </row>
    <row r="15" spans="1:35" s="384" customFormat="1" ht="19.350000000000001" customHeight="1">
      <c r="A15" s="243" t="s">
        <v>13</v>
      </c>
      <c r="B15" s="372"/>
      <c r="C15" s="372"/>
      <c r="D15" s="372"/>
      <c r="E15" s="372"/>
      <c r="F15" s="3595"/>
      <c r="G15" s="815"/>
      <c r="H15" s="816"/>
      <c r="I15" s="816"/>
      <c r="J15" s="816"/>
      <c r="K15" s="815"/>
      <c r="L15" s="816"/>
      <c r="M15" s="816"/>
      <c r="N15" s="816"/>
      <c r="O15" s="816"/>
      <c r="P15" s="816"/>
      <c r="Q15" s="816"/>
      <c r="R15" s="816"/>
      <c r="S15" s="816"/>
      <c r="T15" s="816"/>
      <c r="U15" s="816"/>
      <c r="V15" s="816"/>
      <c r="W15" s="816"/>
      <c r="X15" s="816"/>
      <c r="Y15" s="817"/>
      <c r="Z15" s="818"/>
      <c r="AA15" s="3126"/>
      <c r="AB15" s="3165"/>
      <c r="AC15" s="3166"/>
      <c r="AD15" s="3126"/>
      <c r="AE15" s="1133"/>
      <c r="AF15" s="1130"/>
      <c r="AG15" s="1118"/>
      <c r="AH15" s="1110"/>
      <c r="AI15" s="1109"/>
    </row>
    <row r="16" spans="1:35" s="384" customFormat="1" ht="19.350000000000001" customHeight="1">
      <c r="A16" s="820" t="s">
        <v>175</v>
      </c>
      <c r="B16" s="2101">
        <v>11.4</v>
      </c>
      <c r="C16" s="231"/>
      <c r="D16" s="2101">
        <f>AA16-$B16</f>
        <v>10.9</v>
      </c>
      <c r="E16" s="231"/>
      <c r="F16" s="2101"/>
      <c r="G16" s="231"/>
      <c r="H16" s="2101"/>
      <c r="I16" s="1620"/>
      <c r="J16" s="2101"/>
      <c r="K16" s="1533"/>
      <c r="L16" s="2101"/>
      <c r="M16" s="1621"/>
      <c r="N16" s="2101"/>
      <c r="O16" s="1621"/>
      <c r="P16" s="1619"/>
      <c r="Q16" s="1621"/>
      <c r="R16" s="1619"/>
      <c r="S16" s="1621"/>
      <c r="T16" s="1619"/>
      <c r="U16" s="1621"/>
      <c r="V16" s="1619"/>
      <c r="W16" s="1621"/>
      <c r="X16" s="1619"/>
      <c r="Y16" s="1622"/>
      <c r="Z16" s="1623"/>
      <c r="AA16" s="1619">
        <v>22.3</v>
      </c>
      <c r="AB16" s="1622"/>
      <c r="AC16" s="1621"/>
      <c r="AD16" s="1619">
        <v>19</v>
      </c>
      <c r="AE16" s="1134"/>
      <c r="AF16" s="1102"/>
      <c r="AG16" s="1120">
        <f>ROUND(SUM(AA16-AD16),1)</f>
        <v>3.3</v>
      </c>
      <c r="AH16" s="1110"/>
      <c r="AI16" s="1125">
        <f>ROUND(IF(AG16=0,0,AG16/ABS(AD16)),3)</f>
        <v>0.17399999999999999</v>
      </c>
    </row>
    <row r="17" spans="1:35" s="384" customFormat="1" ht="24" customHeight="1">
      <c r="A17" s="243" t="s">
        <v>147</v>
      </c>
      <c r="B17" s="2090">
        <f>ROUND(SUM(B16),1)</f>
        <v>11.4</v>
      </c>
      <c r="C17" s="375"/>
      <c r="D17" s="825">
        <f>ROUND(SUM(D16),1)</f>
        <v>10.9</v>
      </c>
      <c r="E17" s="375"/>
      <c r="F17" s="3596">
        <f>ROUND(SUM(F16),1)</f>
        <v>0</v>
      </c>
      <c r="G17" s="375"/>
      <c r="H17" s="825">
        <f>ROUND(SUM(H16),1)</f>
        <v>0</v>
      </c>
      <c r="I17" s="826"/>
      <c r="J17" s="825">
        <f>ROUND(SUM(J16),1)</f>
        <v>0</v>
      </c>
      <c r="K17" s="375"/>
      <c r="L17" s="825">
        <f>ROUND(SUM(L16),1)</f>
        <v>0</v>
      </c>
      <c r="M17" s="827"/>
      <c r="N17" s="825">
        <f>ROUND(SUM(N16),1)</f>
        <v>0</v>
      </c>
      <c r="O17" s="827"/>
      <c r="P17" s="825">
        <f>ROUND(SUM(P16),1)</f>
        <v>0</v>
      </c>
      <c r="Q17" s="827"/>
      <c r="R17" s="2090">
        <f>ROUND(SUM(R16),1)</f>
        <v>0</v>
      </c>
      <c r="S17" s="827"/>
      <c r="T17" s="825">
        <f>ROUND(SUM(T16),1)</f>
        <v>0</v>
      </c>
      <c r="U17" s="827"/>
      <c r="V17" s="825">
        <f>ROUND(SUM(V16),1)</f>
        <v>0</v>
      </c>
      <c r="W17" s="827"/>
      <c r="X17" s="825">
        <f>ROUND(SUM(X16),1)</f>
        <v>0</v>
      </c>
      <c r="Y17" s="828"/>
      <c r="Z17" s="829"/>
      <c r="AA17" s="1653">
        <f>ROUND(SUM(AA16),1)</f>
        <v>22.3</v>
      </c>
      <c r="AB17" s="3167"/>
      <c r="AC17" s="3168"/>
      <c r="AD17" s="1653">
        <f>ROUND(SUM(AD16),1)</f>
        <v>19</v>
      </c>
      <c r="AE17" s="1135"/>
      <c r="AF17" s="1102"/>
      <c r="AG17" s="1142">
        <f>ROUND(SUM(AG16),1)</f>
        <v>3.3</v>
      </c>
      <c r="AH17" s="1143"/>
      <c r="AI17" s="1144">
        <f>ROUND(IF(AG17=0,0,AG17/ABS(AD17)),3)</f>
        <v>0.17399999999999999</v>
      </c>
    </row>
    <row r="18" spans="1:35" s="384" customFormat="1" ht="19.350000000000001" customHeight="1">
      <c r="A18" s="143"/>
      <c r="B18" s="374"/>
      <c r="C18" s="231"/>
      <c r="D18" s="374" t="s">
        <v>14</v>
      </c>
      <c r="E18" s="231"/>
      <c r="F18" s="2139"/>
      <c r="G18" s="231"/>
      <c r="H18" s="830"/>
      <c r="I18" s="822"/>
      <c r="J18" s="830"/>
      <c r="K18" s="231"/>
      <c r="L18" s="830"/>
      <c r="M18" s="822"/>
      <c r="N18" s="830"/>
      <c r="O18" s="822"/>
      <c r="P18" s="830"/>
      <c r="Q18" s="822"/>
      <c r="R18" s="830"/>
      <c r="S18" s="822"/>
      <c r="T18" s="830"/>
      <c r="U18" s="822"/>
      <c r="V18" s="830"/>
      <c r="W18" s="822"/>
      <c r="X18" s="830"/>
      <c r="Y18" s="823"/>
      <c r="Z18" s="824"/>
      <c r="AA18" s="2139"/>
      <c r="AB18" s="1622"/>
      <c r="AC18" s="1620"/>
      <c r="AD18" s="2139"/>
      <c r="AE18" s="1120"/>
      <c r="AF18" s="1102"/>
      <c r="AG18" s="1120"/>
      <c r="AH18" s="1110"/>
      <c r="AI18" s="1109"/>
    </row>
    <row r="19" spans="1:35" s="384" customFormat="1" ht="19.350000000000001" customHeight="1">
      <c r="A19" s="143"/>
      <c r="B19" s="231"/>
      <c r="C19" s="231"/>
      <c r="D19" s="231" t="s">
        <v>14</v>
      </c>
      <c r="E19" s="231"/>
      <c r="F19" s="1533"/>
      <c r="G19" s="231"/>
      <c r="H19" s="822"/>
      <c r="I19" s="822"/>
      <c r="J19" s="822"/>
      <c r="K19" s="231"/>
      <c r="L19" s="822"/>
      <c r="M19" s="822"/>
      <c r="N19" s="822"/>
      <c r="O19" s="822"/>
      <c r="P19" s="822"/>
      <c r="Q19" s="822"/>
      <c r="R19" s="822"/>
      <c r="S19" s="822"/>
      <c r="T19" s="822"/>
      <c r="U19" s="822"/>
      <c r="V19" s="822"/>
      <c r="W19" s="822"/>
      <c r="X19" s="822"/>
      <c r="Y19" s="823"/>
      <c r="Z19" s="824"/>
      <c r="AA19" s="1533"/>
      <c r="AB19" s="1622"/>
      <c r="AC19" s="1621"/>
      <c r="AD19" s="1533"/>
      <c r="AE19" s="1136"/>
      <c r="AF19" s="1102"/>
      <c r="AG19" s="1120"/>
      <c r="AH19" s="1110"/>
      <c r="AI19" s="1109"/>
    </row>
    <row r="20" spans="1:35" s="384" customFormat="1" ht="19.350000000000001" customHeight="1">
      <c r="A20" s="243" t="s">
        <v>22</v>
      </c>
      <c r="B20" s="231"/>
      <c r="C20" s="231"/>
      <c r="D20" s="231" t="s">
        <v>14</v>
      </c>
      <c r="E20" s="231"/>
      <c r="F20" s="1533"/>
      <c r="G20" s="231"/>
      <c r="H20" s="822"/>
      <c r="I20" s="822"/>
      <c r="J20" s="822"/>
      <c r="K20" s="231"/>
      <c r="L20" s="822"/>
      <c r="M20" s="822"/>
      <c r="N20" s="822"/>
      <c r="O20" s="822"/>
      <c r="P20" s="822"/>
      <c r="Q20" s="822"/>
      <c r="R20" s="822"/>
      <c r="S20" s="822"/>
      <c r="T20" s="822"/>
      <c r="U20" s="822"/>
      <c r="V20" s="822"/>
      <c r="W20" s="822"/>
      <c r="X20" s="822"/>
      <c r="Y20" s="823"/>
      <c r="Z20" s="824"/>
      <c r="AA20" s="1533"/>
      <c r="AB20" s="1622"/>
      <c r="AC20" s="1621"/>
      <c r="AD20" s="1533"/>
      <c r="AE20" s="1136"/>
      <c r="AF20" s="1102"/>
      <c r="AG20" s="1120"/>
      <c r="AH20" s="1110"/>
      <c r="AI20" s="1109"/>
    </row>
    <row r="21" spans="1:35" s="384" customFormat="1" ht="19.350000000000001" customHeight="1">
      <c r="A21" s="143" t="s">
        <v>149</v>
      </c>
      <c r="B21" s="232"/>
      <c r="C21" s="231"/>
      <c r="D21" s="231"/>
      <c r="E21" s="231"/>
      <c r="F21" s="1533"/>
      <c r="G21" s="231"/>
      <c r="H21" s="822"/>
      <c r="I21" s="822"/>
      <c r="J21" s="822"/>
      <c r="K21" s="231"/>
      <c r="L21" s="822"/>
      <c r="M21" s="822"/>
      <c r="N21" s="822"/>
      <c r="O21" s="822"/>
      <c r="P21" s="822"/>
      <c r="Q21" s="822"/>
      <c r="R21" s="822"/>
      <c r="S21" s="822"/>
      <c r="T21" s="822"/>
      <c r="U21" s="822"/>
      <c r="V21" s="822"/>
      <c r="W21" s="822"/>
      <c r="X21" s="822"/>
      <c r="Y21" s="823"/>
      <c r="Z21" s="824"/>
      <c r="AA21" s="1628"/>
      <c r="AB21" s="3619"/>
      <c r="AC21" s="3620"/>
      <c r="AD21" s="1628"/>
      <c r="AE21" s="1137"/>
      <c r="AF21" s="1103"/>
      <c r="AG21" s="1120"/>
      <c r="AH21" s="1110"/>
      <c r="AI21" s="1109"/>
    </row>
    <row r="22" spans="1:35" s="1617" customFormat="1" ht="19.350000000000001" customHeight="1">
      <c r="A22" s="187" t="s">
        <v>215</v>
      </c>
      <c r="B22" s="831">
        <v>5.9</v>
      </c>
      <c r="C22" s="231"/>
      <c r="D22" s="831">
        <f t="shared" ref="D22:D24" si="0">AA22-$B22</f>
        <v>6.6</v>
      </c>
      <c r="E22" s="231"/>
      <c r="F22" s="1641"/>
      <c r="G22" s="231"/>
      <c r="H22" s="1641"/>
      <c r="I22" s="1621"/>
      <c r="J22" s="831"/>
      <c r="K22" s="1533"/>
      <c r="L22" s="831"/>
      <c r="M22" s="1621"/>
      <c r="N22" s="1641"/>
      <c r="O22" s="1621"/>
      <c r="P22" s="1641"/>
      <c r="Q22" s="1621"/>
      <c r="R22" s="1641"/>
      <c r="S22" s="1621"/>
      <c r="T22" s="1641"/>
      <c r="U22" s="1621"/>
      <c r="V22" s="1641"/>
      <c r="W22" s="1621"/>
      <c r="X22" s="1641"/>
      <c r="Y22" s="1622"/>
      <c r="Z22" s="1623"/>
      <c r="AA22" s="1641">
        <v>12.5</v>
      </c>
      <c r="AB22" s="1622"/>
      <c r="AC22" s="1621"/>
      <c r="AD22" s="1641">
        <v>11.5</v>
      </c>
      <c r="AE22" s="1630"/>
      <c r="AF22" s="1631"/>
      <c r="AG22" s="1642">
        <f>ROUND(SUM(AA22-AD22),1)</f>
        <v>1</v>
      </c>
      <c r="AH22" s="1615"/>
      <c r="AI22" s="1627">
        <f>ROUND(IF(AG22=0,0,AG22/ABS(AD22)),3)</f>
        <v>8.6999999999999994E-2</v>
      </c>
    </row>
    <row r="23" spans="1:35" s="384" customFormat="1" ht="19.350000000000001" customHeight="1">
      <c r="A23" s="820" t="s">
        <v>167</v>
      </c>
      <c r="B23" s="831">
        <v>0.6</v>
      </c>
      <c r="C23" s="231"/>
      <c r="D23" s="831">
        <f t="shared" si="0"/>
        <v>1</v>
      </c>
      <c r="E23" s="231"/>
      <c r="F23" s="1641"/>
      <c r="G23" s="231"/>
      <c r="H23" s="1641"/>
      <c r="I23" s="1621"/>
      <c r="J23" s="831"/>
      <c r="K23" s="1533"/>
      <c r="L23" s="831"/>
      <c r="M23" s="1621"/>
      <c r="N23" s="1641"/>
      <c r="O23" s="1621"/>
      <c r="P23" s="1641"/>
      <c r="Q23" s="1621"/>
      <c r="R23" s="1641"/>
      <c r="S23" s="1621"/>
      <c r="T23" s="1641"/>
      <c r="U23" s="1621"/>
      <c r="V23" s="1641"/>
      <c r="W23" s="1621"/>
      <c r="X23" s="1641"/>
      <c r="Y23" s="1622"/>
      <c r="Z23" s="1623"/>
      <c r="AA23" s="1641">
        <v>1.6</v>
      </c>
      <c r="AB23" s="1622"/>
      <c r="AC23" s="1621"/>
      <c r="AD23" s="1641">
        <v>1.8</v>
      </c>
      <c r="AE23" s="1137"/>
      <c r="AF23" s="1103"/>
      <c r="AG23" s="1120">
        <f>ROUND(SUM(AA23-AD23),1)</f>
        <v>-0.2</v>
      </c>
      <c r="AH23" s="1124"/>
      <c r="AI23" s="1125">
        <f>ROUND(IF(AG23=0,0,AG23/ABS(AD23)),3)</f>
        <v>-0.111</v>
      </c>
    </row>
    <row r="24" spans="1:35" s="1617" customFormat="1" ht="19.350000000000001" customHeight="1">
      <c r="A24" s="187" t="s">
        <v>152</v>
      </c>
      <c r="B24" s="831">
        <v>3.7</v>
      </c>
      <c r="C24" s="231"/>
      <c r="D24" s="2101">
        <f t="shared" si="0"/>
        <v>3.8</v>
      </c>
      <c r="E24" s="231"/>
      <c r="F24" s="1641"/>
      <c r="G24" s="231"/>
      <c r="H24" s="2101"/>
      <c r="I24" s="1621"/>
      <c r="J24" s="2101"/>
      <c r="K24" s="1533"/>
      <c r="L24" s="2101"/>
      <c r="M24" s="1621"/>
      <c r="N24" s="1641"/>
      <c r="O24" s="1621"/>
      <c r="P24" s="1641"/>
      <c r="Q24" s="1621"/>
      <c r="R24" s="1619"/>
      <c r="S24" s="1621"/>
      <c r="T24" s="1619"/>
      <c r="U24" s="1621"/>
      <c r="V24" s="1619"/>
      <c r="W24" s="1621"/>
      <c r="X24" s="1619"/>
      <c r="Y24" s="1622"/>
      <c r="Z24" s="1623"/>
      <c r="AA24" s="3621">
        <v>7.5</v>
      </c>
      <c r="AB24" s="1622"/>
      <c r="AC24" s="1621"/>
      <c r="AD24" s="3621">
        <v>5.7</v>
      </c>
      <c r="AE24" s="1629"/>
      <c r="AF24" s="1631"/>
      <c r="AG24" s="1642">
        <f>ROUND(SUM(AA24-AD24),1)</f>
        <v>1.8</v>
      </c>
      <c r="AH24" s="1615"/>
      <c r="AI24" s="1125">
        <f>ROUND(IF(AD24=0,1,AG24/ABS(AD24)),3)</f>
        <v>0.316</v>
      </c>
    </row>
    <row r="25" spans="1:35" s="384" customFormat="1" ht="22.5" customHeight="1">
      <c r="A25" s="243" t="s">
        <v>153</v>
      </c>
      <c r="B25" s="2055">
        <f>ROUND(SUM(B22)+SUM(B23)+SUM(B24),1)</f>
        <v>10.199999999999999</v>
      </c>
      <c r="C25" s="375"/>
      <c r="D25" s="832">
        <f>ROUND(SUM(D22)+SUM(D23)+SUM(D24),1)</f>
        <v>11.4</v>
      </c>
      <c r="E25" s="375"/>
      <c r="F25" s="3185">
        <f>ROUND(SUM(F22)+SUM(F23)+SUM(F24),1)</f>
        <v>0</v>
      </c>
      <c r="G25" s="832"/>
      <c r="H25" s="832">
        <f>ROUND(SUM(H22)+SUM(H23)+SUM(H24),1)</f>
        <v>0</v>
      </c>
      <c r="I25" s="827"/>
      <c r="J25" s="2059">
        <f>ROUND(SUM(J22)+SUM(J23)+SUM(J24),1)</f>
        <v>0</v>
      </c>
      <c r="K25" s="375"/>
      <c r="L25" s="2059">
        <f>ROUND(SUM(L22)+SUM(L23)+SUM(L24),1)</f>
        <v>0</v>
      </c>
      <c r="M25" s="827"/>
      <c r="N25" s="2059">
        <f>ROUND(SUM(N22)+SUM(N23)+SUM(N24),1)</f>
        <v>0</v>
      </c>
      <c r="O25" s="827"/>
      <c r="P25" s="2059">
        <f>ROUND(SUM(P22)+SUM(P23)+SUM(P24),1)</f>
        <v>0</v>
      </c>
      <c r="Q25" s="827"/>
      <c r="R25" s="2055">
        <f>ROUND(SUM(R22)+SUM(R23)+SUM(R24),1)</f>
        <v>0</v>
      </c>
      <c r="S25" s="827"/>
      <c r="T25" s="2055">
        <f>ROUND(SUM(T22)+SUM(T23)+SUM(T24),1)</f>
        <v>0</v>
      </c>
      <c r="U25" s="827"/>
      <c r="V25" s="3873">
        <f>ROUND(SUM(V22)+SUM(V23)+SUM(V24),1)</f>
        <v>0</v>
      </c>
      <c r="W25" s="827"/>
      <c r="X25" s="2059">
        <f>ROUND(SUM(X22)+SUM(X23)+SUM(X24),1)</f>
        <v>0</v>
      </c>
      <c r="Y25" s="828"/>
      <c r="Z25" s="829"/>
      <c r="AA25" s="2138">
        <f>ROUND(SUM(AA22:AA24),1)</f>
        <v>21.6</v>
      </c>
      <c r="AB25" s="3167"/>
      <c r="AC25" s="3168"/>
      <c r="AD25" s="2138">
        <f>ROUND(SUM(AD22:AD24),1)</f>
        <v>19</v>
      </c>
      <c r="AE25" s="1138"/>
      <c r="AF25" s="1103"/>
      <c r="AG25" s="1142">
        <f>ROUND(SUM(AG22:AG24),1)</f>
        <v>2.6</v>
      </c>
      <c r="AH25" s="1121"/>
      <c r="AI25" s="1144">
        <f>ROUND(IF(AG25=0,0,AG25/ABS(AD25)),3)</f>
        <v>0.13700000000000001</v>
      </c>
    </row>
    <row r="26" spans="1:35" s="384" customFormat="1" ht="19.350000000000001" customHeight="1">
      <c r="A26" s="143"/>
      <c r="B26" s="374"/>
      <c r="C26" s="231"/>
      <c r="D26" s="374" t="s">
        <v>14</v>
      </c>
      <c r="E26" s="231"/>
      <c r="F26" s="2139"/>
      <c r="G26" s="231"/>
      <c r="H26" s="830"/>
      <c r="I26" s="822"/>
      <c r="J26" s="830"/>
      <c r="K26" s="231"/>
      <c r="L26" s="830"/>
      <c r="M26" s="822"/>
      <c r="N26" s="830"/>
      <c r="O26" s="822"/>
      <c r="P26" s="830"/>
      <c r="Q26" s="822"/>
      <c r="R26" s="830"/>
      <c r="S26" s="822"/>
      <c r="T26" s="830"/>
      <c r="U26" s="822"/>
      <c r="V26" s="830"/>
      <c r="W26" s="822"/>
      <c r="X26" s="830"/>
      <c r="Y26" s="823"/>
      <c r="Z26" s="824"/>
      <c r="AA26" s="2139"/>
      <c r="AB26" s="1622"/>
      <c r="AC26" s="1620"/>
      <c r="AD26" s="2139"/>
      <c r="AE26" s="1120"/>
      <c r="AF26" s="1102"/>
      <c r="AG26" s="1120"/>
      <c r="AH26" s="1110"/>
      <c r="AI26" s="1109"/>
    </row>
    <row r="27" spans="1:35" s="384" customFormat="1" ht="19.350000000000001" customHeight="1">
      <c r="A27" s="243" t="s">
        <v>154</v>
      </c>
      <c r="B27" s="231"/>
      <c r="C27" s="231"/>
      <c r="D27" s="235" t="s">
        <v>14</v>
      </c>
      <c r="E27" s="231"/>
      <c r="F27" s="1533"/>
      <c r="G27" s="231"/>
      <c r="H27" s="822"/>
      <c r="I27" s="822"/>
      <c r="J27" s="822"/>
      <c r="K27" s="231"/>
      <c r="L27" s="822"/>
      <c r="M27" s="822"/>
      <c r="N27" s="822"/>
      <c r="O27" s="822"/>
      <c r="P27" s="822"/>
      <c r="Q27" s="822"/>
      <c r="R27" s="822"/>
      <c r="S27" s="822"/>
      <c r="T27" s="822"/>
      <c r="U27" s="822"/>
      <c r="V27" s="822"/>
      <c r="W27" s="822"/>
      <c r="X27" s="822"/>
      <c r="Y27" s="823"/>
      <c r="Z27" s="824"/>
      <c r="AA27" s="1533"/>
      <c r="AB27" s="1622"/>
      <c r="AC27" s="1621"/>
      <c r="AD27" s="1533"/>
      <c r="AE27" s="1136"/>
      <c r="AF27" s="1102"/>
      <c r="AG27" s="1120"/>
      <c r="AH27" s="1110"/>
      <c r="AI27" s="1109"/>
    </row>
    <row r="28" spans="1:35" s="384" customFormat="1" ht="18.75" customHeight="1">
      <c r="A28" s="243" t="s">
        <v>44</v>
      </c>
      <c r="B28" s="833">
        <f>ROUND(B17-B25,1)</f>
        <v>1.2</v>
      </c>
      <c r="C28" s="375"/>
      <c r="D28" s="833">
        <f>ROUND(D17-D25,1)</f>
        <v>-0.5</v>
      </c>
      <c r="E28" s="375"/>
      <c r="F28" s="3597">
        <f>ROUND(F17-F25,1)</f>
        <v>0</v>
      </c>
      <c r="G28" s="375"/>
      <c r="H28" s="833">
        <f>ROUND(H17-H25,1)</f>
        <v>0</v>
      </c>
      <c r="I28" s="376"/>
      <c r="J28" s="833">
        <f>ROUND(J17-J25,1)</f>
        <v>0</v>
      </c>
      <c r="K28" s="375"/>
      <c r="L28" s="833">
        <f>ROUND(L17-L25,1)</f>
        <v>0</v>
      </c>
      <c r="M28" s="827"/>
      <c r="N28" s="833">
        <f>ROUND(N17-N25,1)</f>
        <v>0</v>
      </c>
      <c r="O28" s="827"/>
      <c r="P28" s="833">
        <f>ROUND(P17-P25,1)</f>
        <v>0</v>
      </c>
      <c r="Q28" s="827"/>
      <c r="R28" s="833">
        <f>ROUND(R17-R25,1)</f>
        <v>0</v>
      </c>
      <c r="S28" s="827"/>
      <c r="T28" s="833">
        <f>ROUND(T17-T25,1)</f>
        <v>0</v>
      </c>
      <c r="U28" s="827"/>
      <c r="V28" s="833">
        <f>ROUND(V17-V25,1)</f>
        <v>0</v>
      </c>
      <c r="W28" s="827"/>
      <c r="X28" s="833">
        <f>ROUND(X17-X25,1)</f>
        <v>0</v>
      </c>
      <c r="Y28" s="828"/>
      <c r="Z28" s="829"/>
      <c r="AA28" s="3169">
        <f>ROUND(AA17-AA25,1)</f>
        <v>0.7</v>
      </c>
      <c r="AB28" s="3167"/>
      <c r="AC28" s="3622"/>
      <c r="AD28" s="3169">
        <f>ROUND(AD17-AD25,1)</f>
        <v>0</v>
      </c>
      <c r="AE28" s="1139"/>
      <c r="AF28" s="1103"/>
      <c r="AG28" s="1382">
        <f>ROUND(SUM(AA28-AD28),1)</f>
        <v>0.7</v>
      </c>
      <c r="AH28" s="1110"/>
      <c r="AI28" s="1540">
        <f>ROUND(IF(AD28=0,1,AG28/ABS(AD28)),3)</f>
        <v>1</v>
      </c>
    </row>
    <row r="29" spans="1:35" s="384" customFormat="1" ht="19.350000000000001" customHeight="1">
      <c r="A29" s="143"/>
      <c r="B29" s="235"/>
      <c r="C29" s="231"/>
      <c r="D29" s="235" t="s">
        <v>14</v>
      </c>
      <c r="E29" s="231"/>
      <c r="F29" s="1626"/>
      <c r="G29" s="231"/>
      <c r="H29" s="821"/>
      <c r="I29" s="822"/>
      <c r="J29" s="821" t="s">
        <v>1477</v>
      </c>
      <c r="K29" s="231"/>
      <c r="L29" s="821"/>
      <c r="M29" s="822"/>
      <c r="N29" s="830"/>
      <c r="O29" s="822"/>
      <c r="P29" s="821"/>
      <c r="Q29" s="822"/>
      <c r="R29" s="830"/>
      <c r="S29" s="822"/>
      <c r="T29" s="821"/>
      <c r="U29" s="822"/>
      <c r="V29" s="821"/>
      <c r="W29" s="822"/>
      <c r="X29" s="830"/>
      <c r="Y29" s="823"/>
      <c r="Z29" s="824"/>
      <c r="AA29" s="1626"/>
      <c r="AB29" s="1622"/>
      <c r="AC29" s="1620"/>
      <c r="AD29" s="1626"/>
      <c r="AE29" s="1120"/>
      <c r="AF29" s="1104"/>
      <c r="AG29" s="1120"/>
      <c r="AH29" s="1110"/>
      <c r="AI29" s="1109"/>
    </row>
    <row r="30" spans="1:35" s="384" customFormat="1" ht="19.350000000000001" customHeight="1">
      <c r="A30" s="243" t="s">
        <v>45</v>
      </c>
      <c r="B30" s="231"/>
      <c r="C30" s="231"/>
      <c r="D30" s="231"/>
      <c r="E30" s="231"/>
      <c r="F30" s="1533"/>
      <c r="G30" s="231"/>
      <c r="H30" s="822"/>
      <c r="I30" s="822"/>
      <c r="J30" s="822"/>
      <c r="K30" s="231"/>
      <c r="L30" s="822"/>
      <c r="M30" s="822"/>
      <c r="N30" s="822"/>
      <c r="O30" s="822"/>
      <c r="P30" s="822"/>
      <c r="Q30" s="822"/>
      <c r="R30" s="822"/>
      <c r="S30" s="822"/>
      <c r="T30" s="822"/>
      <c r="U30" s="822"/>
      <c r="V30" s="822"/>
      <c r="W30" s="822"/>
      <c r="X30" s="822"/>
      <c r="Y30" s="823"/>
      <c r="Z30" s="824"/>
      <c r="AA30" s="1533"/>
      <c r="AB30" s="1622"/>
      <c r="AC30" s="1621"/>
      <c r="AD30" s="1533"/>
      <c r="AE30" s="1136"/>
      <c r="AF30" s="1104"/>
      <c r="AG30" s="1120"/>
      <c r="AH30" s="1110"/>
      <c r="AI30" s="1109"/>
    </row>
    <row r="31" spans="1:35" s="384" customFormat="1" ht="19.350000000000001" customHeight="1">
      <c r="A31" s="143" t="s">
        <v>178</v>
      </c>
      <c r="B31" s="831">
        <v>0</v>
      </c>
      <c r="C31" s="231"/>
      <c r="D31" s="831">
        <f t="shared" ref="D31:D32" si="1">AA31-$B31</f>
        <v>0</v>
      </c>
      <c r="E31" s="231"/>
      <c r="F31" s="1641"/>
      <c r="G31" s="231"/>
      <c r="H31" s="1641"/>
      <c r="I31" s="1621"/>
      <c r="J31" s="831"/>
      <c r="K31" s="1533"/>
      <c r="L31" s="831"/>
      <c r="M31" s="1621"/>
      <c r="N31" s="1641"/>
      <c r="O31" s="1621"/>
      <c r="P31" s="1641"/>
      <c r="Q31" s="1621"/>
      <c r="R31" s="1641"/>
      <c r="S31" s="1621"/>
      <c r="T31" s="1641"/>
      <c r="U31" s="1621"/>
      <c r="V31" s="1641"/>
      <c r="W31" s="1621"/>
      <c r="X31" s="1641"/>
      <c r="Y31" s="1622"/>
      <c r="Z31" s="1623"/>
      <c r="AA31" s="1641">
        <v>0</v>
      </c>
      <c r="AB31" s="1622"/>
      <c r="AC31" s="1621"/>
      <c r="AD31" s="1641">
        <v>0</v>
      </c>
      <c r="AE31" s="1137"/>
      <c r="AF31" s="1105"/>
      <c r="AG31" s="235">
        <f>ROUND(SUM(AA31-AD31),1)</f>
        <v>0</v>
      </c>
      <c r="AH31" s="1124"/>
      <c r="AI31" s="1125">
        <f>ROUND(IF(AG31=0,0,AG31/ABS(AD31)),3)</f>
        <v>0</v>
      </c>
    </row>
    <row r="32" spans="1:35" s="384" customFormat="1" ht="19.350000000000001" customHeight="1">
      <c r="A32" s="143" t="s">
        <v>179</v>
      </c>
      <c r="B32" s="831">
        <v>0</v>
      </c>
      <c r="C32" s="231"/>
      <c r="D32" s="831">
        <f t="shared" si="1"/>
        <v>0</v>
      </c>
      <c r="E32" s="231"/>
      <c r="F32" s="1641"/>
      <c r="G32" s="231"/>
      <c r="H32" s="2101"/>
      <c r="I32" s="1621"/>
      <c r="J32" s="2101"/>
      <c r="K32" s="1533"/>
      <c r="L32" s="2101"/>
      <c r="M32" s="1621"/>
      <c r="N32" s="1641"/>
      <c r="O32" s="1621"/>
      <c r="P32" s="1641"/>
      <c r="Q32" s="1621"/>
      <c r="R32" s="1619"/>
      <c r="S32" s="1621"/>
      <c r="T32" s="1619"/>
      <c r="U32" s="1621"/>
      <c r="V32" s="1619"/>
      <c r="W32" s="1621"/>
      <c r="X32" s="1619"/>
      <c r="Y32" s="1622"/>
      <c r="Z32" s="1623"/>
      <c r="AA32" s="3621">
        <v>0</v>
      </c>
      <c r="AB32" s="1622"/>
      <c r="AC32" s="1621"/>
      <c r="AD32" s="3621">
        <v>0</v>
      </c>
      <c r="AE32" s="1137"/>
      <c r="AF32" s="1104"/>
      <c r="AG32" s="235">
        <f>ROUND(SUM(AA32-AD32),1)</f>
        <v>0</v>
      </c>
      <c r="AH32" s="1124"/>
      <c r="AI32" s="1125">
        <f>ROUND(IF(AG32=0,0,AG32/ABS(AD32)),3)</f>
        <v>0</v>
      </c>
    </row>
    <row r="33" spans="1:35" s="384" customFormat="1" ht="22.5" customHeight="1">
      <c r="A33" s="243" t="s">
        <v>204</v>
      </c>
      <c r="B33" s="835">
        <f>ROUND(SUM(B31:B32),1)</f>
        <v>0</v>
      </c>
      <c r="C33" s="375"/>
      <c r="D33" s="835">
        <f>ROUND(SUM(D31:D32),1)</f>
        <v>0</v>
      </c>
      <c r="E33" s="377"/>
      <c r="F33" s="3598">
        <f>ROUND(SUM(F31:F32),1)</f>
        <v>0</v>
      </c>
      <c r="G33" s="377"/>
      <c r="H33" s="835">
        <f>ROUND(SUM(H31:H32),1)</f>
        <v>0</v>
      </c>
      <c r="I33" s="836"/>
      <c r="J33" s="835">
        <f>ROUND(SUM(J31:J32),1)</f>
        <v>0</v>
      </c>
      <c r="K33" s="377"/>
      <c r="L33" s="835">
        <f>ROUND(SUM(L31:L32),1)</f>
        <v>0</v>
      </c>
      <c r="M33" s="836"/>
      <c r="N33" s="835">
        <f>ROUND(SUM(N31:N32),1)</f>
        <v>0</v>
      </c>
      <c r="O33" s="836"/>
      <c r="P33" s="835">
        <f>ROUND(SUM(P31:P32),1)</f>
        <v>0</v>
      </c>
      <c r="Q33" s="836"/>
      <c r="R33" s="835">
        <f>ROUND(SUM(R31:R32),1)</f>
        <v>0</v>
      </c>
      <c r="S33" s="836"/>
      <c r="T33" s="835">
        <f>ROUND(SUM(T31:T32),1)</f>
        <v>0</v>
      </c>
      <c r="U33" s="836"/>
      <c r="V33" s="846">
        <f>ROUND(SUM(V31:V32),1)</f>
        <v>0</v>
      </c>
      <c r="W33" s="836"/>
      <c r="X33" s="835">
        <f>ROUND(SUM(X31:X32),1)</f>
        <v>0</v>
      </c>
      <c r="Y33" s="828"/>
      <c r="Z33" s="829"/>
      <c r="AA33" s="3170">
        <f>ROUND(SUM(AA31:AA32),1)</f>
        <v>0</v>
      </c>
      <c r="AB33" s="3623"/>
      <c r="AC33" s="3624"/>
      <c r="AD33" s="3170">
        <f>ROUND(SUM(AD31:AD32),1)</f>
        <v>0</v>
      </c>
      <c r="AE33" s="1140"/>
      <c r="AF33" s="1105"/>
      <c r="AG33" s="1142">
        <f>ROUND(SUM(AG31-AG32),1)</f>
        <v>0</v>
      </c>
      <c r="AH33" s="1128"/>
      <c r="AI33" s="1144">
        <f>ROUND(IF(AG33=0,0,AG33/ABS(AD33)),3)</f>
        <v>0</v>
      </c>
    </row>
    <row r="34" spans="1:35" s="384" customFormat="1" ht="19.350000000000001" customHeight="1">
      <c r="A34" s="143"/>
      <c r="B34" s="374"/>
      <c r="C34" s="231"/>
      <c r="D34" s="374" t="s">
        <v>14</v>
      </c>
      <c r="E34" s="231"/>
      <c r="F34" s="2139"/>
      <c r="G34" s="231"/>
      <c r="H34" s="830"/>
      <c r="I34" s="822"/>
      <c r="J34" s="830"/>
      <c r="K34" s="231"/>
      <c r="L34" s="830"/>
      <c r="M34" s="822"/>
      <c r="N34" s="830"/>
      <c r="O34" s="822"/>
      <c r="P34" s="830"/>
      <c r="Q34" s="822"/>
      <c r="R34" s="830"/>
      <c r="S34" s="822"/>
      <c r="T34" s="830"/>
      <c r="U34" s="822"/>
      <c r="V34" s="830"/>
      <c r="W34" s="822"/>
      <c r="X34" s="830"/>
      <c r="Y34" s="823"/>
      <c r="Z34" s="824"/>
      <c r="AA34" s="2139"/>
      <c r="AB34" s="1622"/>
      <c r="AC34" s="1620"/>
      <c r="AD34" s="2139"/>
      <c r="AE34" s="1120"/>
      <c r="AF34" s="1102"/>
      <c r="AG34" s="1120"/>
      <c r="AH34" s="1110"/>
      <c r="AI34" s="1109"/>
    </row>
    <row r="35" spans="1:35" s="384" customFormat="1" ht="19.350000000000001" customHeight="1">
      <c r="A35" s="243" t="s">
        <v>162</v>
      </c>
      <c r="B35" s="231"/>
      <c r="C35" s="231"/>
      <c r="D35" s="231" t="s">
        <v>14</v>
      </c>
      <c r="E35" s="231"/>
      <c r="F35" s="1533"/>
      <c r="G35" s="231"/>
      <c r="H35" s="822"/>
      <c r="I35" s="822"/>
      <c r="J35" s="822"/>
      <c r="K35" s="231"/>
      <c r="L35" s="822"/>
      <c r="M35" s="822"/>
      <c r="N35" s="822"/>
      <c r="O35" s="822"/>
      <c r="P35" s="822"/>
      <c r="Q35" s="822"/>
      <c r="R35" s="822"/>
      <c r="S35" s="822"/>
      <c r="T35" s="822"/>
      <c r="U35" s="822"/>
      <c r="V35" s="822"/>
      <c r="W35" s="822"/>
      <c r="X35" s="822"/>
      <c r="Y35" s="823"/>
      <c r="Z35" s="824"/>
      <c r="AA35" s="1533"/>
      <c r="AB35" s="1622"/>
      <c r="AC35" s="1621"/>
      <c r="AD35" s="1533"/>
      <c r="AE35" s="1136"/>
      <c r="AF35" s="1102"/>
      <c r="AG35" s="1120"/>
      <c r="AH35" s="1110"/>
      <c r="AI35" s="1109"/>
    </row>
    <row r="36" spans="1:35" s="384" customFormat="1" ht="19.350000000000001" customHeight="1">
      <c r="A36" s="243" t="s">
        <v>222</v>
      </c>
      <c r="B36" s="231"/>
      <c r="C36" s="231"/>
      <c r="D36" s="231"/>
      <c r="E36" s="231"/>
      <c r="F36" s="1533"/>
      <c r="G36" s="231"/>
      <c r="H36" s="822"/>
      <c r="I36" s="822"/>
      <c r="J36" s="822"/>
      <c r="K36" s="231"/>
      <c r="L36" s="822"/>
      <c r="M36" s="822"/>
      <c r="N36" s="822"/>
      <c r="O36" s="822"/>
      <c r="P36" s="822"/>
      <c r="Q36" s="822"/>
      <c r="R36" s="822"/>
      <c r="S36" s="822"/>
      <c r="T36" s="843"/>
      <c r="U36" s="822"/>
      <c r="V36" s="843"/>
      <c r="W36" s="822"/>
      <c r="X36" s="822"/>
      <c r="Y36" s="823"/>
      <c r="Z36" s="824"/>
      <c r="AA36" s="1533"/>
      <c r="AB36" s="1622"/>
      <c r="AC36" s="1621"/>
      <c r="AD36" s="2144"/>
      <c r="AE36" s="1141"/>
      <c r="AF36" s="1106"/>
      <c r="AG36" s="1120"/>
      <c r="AH36" s="1110"/>
      <c r="AI36" s="1109"/>
    </row>
    <row r="37" spans="1:35" s="386" customFormat="1" ht="19.350000000000001" customHeight="1">
      <c r="A37" s="243" t="s">
        <v>844</v>
      </c>
      <c r="B37" s="832">
        <f>ROUND(+B28+B33,1)</f>
        <v>1.2</v>
      </c>
      <c r="C37" s="375"/>
      <c r="D37" s="832">
        <f>ROUND(+D28+D33,1)</f>
        <v>-0.5</v>
      </c>
      <c r="E37" s="377"/>
      <c r="F37" s="1653">
        <f>ROUND(+F28+F33,1)</f>
        <v>0</v>
      </c>
      <c r="G37" s="377"/>
      <c r="H37" s="832">
        <f>ROUND(+H28+H33,1)</f>
        <v>0</v>
      </c>
      <c r="I37" s="836"/>
      <c r="J37" s="832">
        <f>ROUND(+J28+J33,1)</f>
        <v>0</v>
      </c>
      <c r="K37" s="377"/>
      <c r="L37" s="832">
        <f>ROUND(+L28+L33,1)</f>
        <v>0</v>
      </c>
      <c r="M37" s="837"/>
      <c r="N37" s="832">
        <f>ROUND(+N28+N33,1)</f>
        <v>0</v>
      </c>
      <c r="O37" s="837"/>
      <c r="P37" s="832">
        <f>ROUND(+P28+P33,1)</f>
        <v>0</v>
      </c>
      <c r="Q37" s="837"/>
      <c r="R37" s="832">
        <f>ROUND(+R28+R33,1)</f>
        <v>0</v>
      </c>
      <c r="S37" s="836"/>
      <c r="T37" s="832">
        <f>ROUND(+T28+T33,1)</f>
        <v>0</v>
      </c>
      <c r="U37" s="836"/>
      <c r="V37" s="832">
        <f>ROUND(+V28+V33,1)</f>
        <v>0</v>
      </c>
      <c r="W37" s="836"/>
      <c r="X37" s="832">
        <f>ROUND(+X28+X33,1)</f>
        <v>0</v>
      </c>
      <c r="Y37" s="828"/>
      <c r="Z37" s="829"/>
      <c r="AA37" s="2140">
        <f>ROUND(AA28+AA33,1)</f>
        <v>0.7</v>
      </c>
      <c r="AB37" s="3156"/>
      <c r="AC37" s="3625"/>
      <c r="AD37" s="2140">
        <f>ROUND(AD28+AD33,1)</f>
        <v>0</v>
      </c>
      <c r="AE37" s="1139"/>
      <c r="AF37" s="1107"/>
      <c r="AG37" s="1382">
        <f>ROUND(SUM(AA37-AD37),1)</f>
        <v>0.7</v>
      </c>
      <c r="AH37" s="1110"/>
      <c r="AI37" s="1539">
        <f>ROUND(IF(AD37=0,1,AG37/ABS(AD37)),3)</f>
        <v>1</v>
      </c>
    </row>
    <row r="38" spans="1:35" s="384" customFormat="1" ht="22.5" customHeight="1" thickBot="1">
      <c r="A38" s="243" t="s">
        <v>139</v>
      </c>
      <c r="B38" s="838">
        <f>ROUND(B13+B37,1)</f>
        <v>320.10000000000002</v>
      </c>
      <c r="C38" s="370"/>
      <c r="D38" s="838">
        <f>ROUND(D13+D37,1)</f>
        <v>319.60000000000002</v>
      </c>
      <c r="E38" s="370"/>
      <c r="F38" s="3171">
        <f>ROUND(F13+F37,1)</f>
        <v>0</v>
      </c>
      <c r="G38" s="370"/>
      <c r="H38" s="838">
        <f>ROUND(H13+H37,1)</f>
        <v>0</v>
      </c>
      <c r="I38" s="839"/>
      <c r="J38" s="838">
        <f>ROUND(J13+J37,1)</f>
        <v>0</v>
      </c>
      <c r="K38" s="370"/>
      <c r="L38" s="838">
        <f>ROUND(L13+L37,1)</f>
        <v>0</v>
      </c>
      <c r="M38" s="371"/>
      <c r="N38" s="838">
        <f>ROUND(N13+N37,1)</f>
        <v>0</v>
      </c>
      <c r="O38" s="371"/>
      <c r="P38" s="838">
        <f>ROUND(P13+P37,1)</f>
        <v>0</v>
      </c>
      <c r="Q38" s="371"/>
      <c r="R38" s="838">
        <f>ROUND(R13+R37,1)</f>
        <v>0</v>
      </c>
      <c r="S38" s="839"/>
      <c r="T38" s="838">
        <f>ROUND(T13+T37,1)</f>
        <v>0</v>
      </c>
      <c r="U38" s="839"/>
      <c r="V38" s="838">
        <f>ROUND(V13+V37,1)</f>
        <v>0</v>
      </c>
      <c r="W38" s="839"/>
      <c r="X38" s="838">
        <f>ROUND(X13+X37,1)</f>
        <v>0</v>
      </c>
      <c r="Y38" s="813"/>
      <c r="Z38" s="814"/>
      <c r="AA38" s="3171">
        <f>ROUND(SUM(AA13,AA37),1)</f>
        <v>319.60000000000002</v>
      </c>
      <c r="AB38" s="2146"/>
      <c r="AC38" s="3626"/>
      <c r="AD38" s="3627">
        <f>ROUND(SUM(AD13,AD37),1)</f>
        <v>0</v>
      </c>
      <c r="AE38" s="1117"/>
      <c r="AF38" s="1108"/>
      <c r="AG38" s="1145">
        <f>ROUND(SUM(AA38-AD38),1)</f>
        <v>319.60000000000002</v>
      </c>
      <c r="AH38" s="1127"/>
      <c r="AI38" s="1441">
        <f>ROUND(IF(AD38=0,1,AG38/ABS(AD38)),3)</f>
        <v>1</v>
      </c>
    </row>
    <row r="39" spans="1:35" s="384" customFormat="1" ht="19.350000000000001" customHeight="1" thickTop="1">
      <c r="A39" s="143" t="s">
        <v>14</v>
      </c>
      <c r="B39" s="840"/>
      <c r="C39" s="841"/>
      <c r="D39" s="840"/>
      <c r="E39" s="841"/>
      <c r="F39" s="3172"/>
      <c r="G39" s="841"/>
      <c r="H39" s="840"/>
      <c r="I39" s="841"/>
      <c r="J39" s="840"/>
      <c r="K39" s="841"/>
      <c r="L39" s="840"/>
      <c r="M39" s="841"/>
      <c r="N39" s="840"/>
      <c r="O39" s="841"/>
      <c r="P39" s="840"/>
      <c r="Q39" s="841"/>
      <c r="R39" s="840"/>
      <c r="S39" s="841"/>
      <c r="T39" s="840"/>
      <c r="U39" s="841"/>
      <c r="V39" s="840"/>
      <c r="W39" s="841"/>
      <c r="X39" s="840"/>
      <c r="Y39" s="841"/>
      <c r="Z39" s="841"/>
      <c r="AA39" s="3172"/>
      <c r="AB39" s="2148"/>
      <c r="AC39" s="2148"/>
      <c r="AD39" s="2148"/>
      <c r="AE39" s="1126"/>
      <c r="AF39" s="1126"/>
      <c r="AG39" s="1118"/>
      <c r="AH39" s="1110"/>
      <c r="AI39" s="1109"/>
    </row>
    <row r="40" spans="1:35" s="384" customFormat="1" ht="19.350000000000001" customHeight="1">
      <c r="B40" s="648"/>
      <c r="C40" s="793"/>
      <c r="D40" s="648"/>
      <c r="E40" s="648"/>
      <c r="F40" s="630"/>
      <c r="G40" s="648"/>
      <c r="H40" s="648"/>
      <c r="I40" s="648"/>
      <c r="J40" s="648"/>
      <c r="K40" s="648"/>
      <c r="L40" s="648"/>
      <c r="M40" s="648"/>
      <c r="N40" s="648"/>
      <c r="O40" s="648"/>
      <c r="P40" s="648"/>
      <c r="Q40" s="648"/>
      <c r="R40" s="648"/>
      <c r="S40" s="648"/>
      <c r="T40" s="648"/>
      <c r="U40" s="648"/>
      <c r="V40" s="648"/>
      <c r="W40" s="648"/>
      <c r="X40" s="648"/>
      <c r="Y40" s="648"/>
      <c r="Z40" s="842"/>
      <c r="AA40" s="2148"/>
      <c r="AB40" s="2148"/>
      <c r="AC40" s="2148"/>
      <c r="AD40" s="2148"/>
      <c r="AE40" s="1126"/>
      <c r="AF40" s="1126"/>
      <c r="AG40" s="1118"/>
      <c r="AH40" s="1110"/>
      <c r="AI40" s="1109"/>
    </row>
    <row r="41" spans="1:35" ht="15.75" customHeight="1">
      <c r="A41" s="387"/>
      <c r="B41" s="793"/>
      <c r="C41" s="793"/>
      <c r="D41" s="793"/>
      <c r="E41" s="793"/>
      <c r="F41" s="793"/>
      <c r="G41" s="793"/>
      <c r="H41" s="793"/>
      <c r="I41" s="793"/>
      <c r="J41" s="793"/>
      <c r="K41" s="793"/>
      <c r="L41" s="793"/>
      <c r="M41" s="793"/>
      <c r="N41" s="793"/>
      <c r="O41" s="793"/>
      <c r="P41" s="793"/>
      <c r="Q41" s="793"/>
      <c r="R41" s="793"/>
      <c r="S41" s="793"/>
      <c r="T41" s="793"/>
      <c r="U41" s="793"/>
      <c r="V41" s="793"/>
      <c r="W41" s="793"/>
      <c r="X41" s="793"/>
      <c r="Y41" s="793"/>
      <c r="Z41" s="793"/>
      <c r="AA41" s="134"/>
      <c r="AB41" s="134"/>
      <c r="AC41" s="134"/>
      <c r="AD41" s="3174"/>
      <c r="AE41" s="1112"/>
      <c r="AF41" s="1112"/>
      <c r="AG41" s="1118"/>
    </row>
    <row r="42" spans="1:35">
      <c r="A42" s="384"/>
      <c r="B42" s="384"/>
      <c r="C42" s="384"/>
      <c r="D42" s="384"/>
      <c r="E42" s="384"/>
      <c r="F42" s="384"/>
      <c r="G42" s="384"/>
      <c r="H42" s="384"/>
      <c r="I42" s="384"/>
      <c r="J42" s="384"/>
      <c r="K42" s="384"/>
      <c r="L42" s="384"/>
      <c r="M42" s="384"/>
      <c r="N42" s="384"/>
      <c r="O42" s="384"/>
      <c r="P42" s="384"/>
      <c r="Q42" s="384"/>
      <c r="R42" s="384"/>
      <c r="S42" s="384"/>
      <c r="T42" s="384"/>
      <c r="U42" s="384"/>
      <c r="V42" s="384"/>
      <c r="W42" s="384"/>
      <c r="X42" s="384"/>
      <c r="Y42" s="384"/>
      <c r="Z42" s="384"/>
    </row>
    <row r="43" spans="1:35" ht="13.5" customHeight="1">
      <c r="A43" s="669"/>
      <c r="B43" s="793"/>
      <c r="C43" s="793"/>
      <c r="D43" s="793"/>
      <c r="E43" s="793"/>
      <c r="F43" s="793"/>
      <c r="G43" s="793"/>
      <c r="H43" s="793"/>
      <c r="I43" s="793"/>
      <c r="J43" s="793"/>
      <c r="K43" s="793"/>
      <c r="L43" s="793"/>
      <c r="M43" s="793"/>
      <c r="N43" s="793"/>
      <c r="O43" s="793"/>
      <c r="P43" s="793"/>
      <c r="Q43" s="793"/>
      <c r="R43" s="793"/>
      <c r="S43" s="793"/>
      <c r="T43" s="793"/>
      <c r="U43" s="793"/>
      <c r="V43" s="793"/>
      <c r="W43" s="793"/>
      <c r="X43" s="793"/>
      <c r="Y43" s="793"/>
      <c r="Z43" s="793"/>
      <c r="AA43" s="134"/>
      <c r="AB43" s="134"/>
      <c r="AC43" s="134"/>
      <c r="AD43" s="3174"/>
      <c r="AE43" s="1112"/>
      <c r="AF43" s="1112"/>
      <c r="AG43" s="1118"/>
    </row>
    <row r="44" spans="1:35">
      <c r="A44" s="669"/>
      <c r="B44" s="793"/>
      <c r="C44" s="793"/>
      <c r="D44" s="793"/>
      <c r="E44" s="793"/>
      <c r="F44" s="793"/>
      <c r="G44" s="793"/>
      <c r="H44" s="793"/>
      <c r="I44" s="793"/>
      <c r="J44" s="793"/>
      <c r="K44" s="793"/>
      <c r="L44" s="793"/>
      <c r="M44" s="793"/>
      <c r="N44" s="793"/>
      <c r="O44" s="793"/>
      <c r="P44" s="793"/>
      <c r="Q44" s="793"/>
      <c r="R44" s="793"/>
      <c r="S44" s="793"/>
      <c r="T44" s="793"/>
      <c r="U44" s="793"/>
      <c r="V44" s="793"/>
      <c r="W44" s="793"/>
      <c r="X44" s="793"/>
      <c r="Y44" s="793"/>
      <c r="Z44" s="793"/>
      <c r="AA44" s="134"/>
      <c r="AB44" s="134"/>
      <c r="AC44" s="134"/>
      <c r="AD44" s="3174"/>
      <c r="AE44" s="1112"/>
      <c r="AF44" s="1112"/>
      <c r="AG44" s="1118"/>
    </row>
    <row r="45" spans="1:35">
      <c r="A45" s="669"/>
      <c r="B45" s="793"/>
      <c r="C45" s="793"/>
      <c r="D45" s="793"/>
      <c r="E45" s="793"/>
      <c r="F45" s="793"/>
      <c r="G45" s="793"/>
      <c r="H45" s="793"/>
      <c r="I45" s="793"/>
      <c r="J45" s="793"/>
      <c r="K45" s="793"/>
      <c r="L45" s="793"/>
      <c r="M45" s="793"/>
      <c r="N45" s="793"/>
      <c r="O45" s="793"/>
      <c r="P45" s="793"/>
      <c r="Q45" s="793"/>
      <c r="R45" s="793"/>
      <c r="S45" s="793"/>
      <c r="T45" s="793"/>
      <c r="U45" s="793"/>
      <c r="V45" s="793"/>
      <c r="W45" s="793"/>
      <c r="X45" s="793"/>
      <c r="Y45" s="793"/>
      <c r="Z45" s="793"/>
      <c r="AA45" s="134"/>
      <c r="AB45" s="134"/>
      <c r="AC45" s="134"/>
      <c r="AD45" s="3174"/>
      <c r="AE45" s="1112"/>
      <c r="AF45" s="1112"/>
    </row>
    <row r="46" spans="1:35">
      <c r="A46" s="669"/>
      <c r="B46" s="793"/>
      <c r="C46" s="793"/>
      <c r="D46" s="793"/>
      <c r="E46" s="793"/>
      <c r="F46" s="793"/>
      <c r="G46" s="793"/>
      <c r="H46" s="793"/>
      <c r="I46" s="793"/>
      <c r="J46" s="793"/>
      <c r="K46" s="793"/>
      <c r="L46" s="793"/>
      <c r="M46" s="793"/>
      <c r="N46" s="793"/>
      <c r="O46" s="793"/>
      <c r="P46" s="793"/>
      <c r="Q46" s="793"/>
      <c r="R46" s="793"/>
      <c r="S46" s="793"/>
      <c r="T46" s="793"/>
      <c r="U46" s="793"/>
      <c r="V46" s="793"/>
      <c r="W46" s="793"/>
      <c r="X46" s="793"/>
      <c r="Y46" s="793"/>
      <c r="Z46" s="793"/>
      <c r="AA46" s="134"/>
      <c r="AB46" s="134"/>
      <c r="AC46" s="134"/>
      <c r="AD46" s="3174"/>
      <c r="AE46" s="1112"/>
      <c r="AF46" s="1112"/>
    </row>
    <row r="47" spans="1:35">
      <c r="A47" s="669"/>
      <c r="B47" s="669"/>
      <c r="C47" s="669"/>
      <c r="D47" s="669"/>
      <c r="E47" s="669"/>
      <c r="F47" s="669"/>
      <c r="G47" s="669"/>
      <c r="H47" s="669"/>
      <c r="I47" s="669"/>
      <c r="J47" s="669"/>
      <c r="K47" s="669"/>
      <c r="L47" s="669"/>
      <c r="M47" s="669"/>
      <c r="N47" s="669"/>
      <c r="O47" s="669"/>
      <c r="P47" s="669"/>
      <c r="Q47" s="669"/>
      <c r="R47" s="669"/>
      <c r="S47" s="669"/>
      <c r="T47" s="669"/>
      <c r="U47" s="669"/>
      <c r="V47" s="669"/>
      <c r="W47" s="669"/>
      <c r="X47" s="669"/>
      <c r="Y47" s="669"/>
      <c r="Z47" s="669"/>
      <c r="AA47" s="101"/>
      <c r="AB47" s="101"/>
      <c r="AC47" s="101"/>
      <c r="AD47" s="187"/>
    </row>
  </sheetData>
  <mergeCells count="2">
    <mergeCell ref="AC9:AI9"/>
    <mergeCell ref="Z10:AI10"/>
  </mergeCells>
  <pageMargins left="0.25" right="0.25" top="0.5" bottom="0.25" header="0" footer="0.25"/>
  <pageSetup scale="44"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topLeftCell="A4" zoomScale="80" zoomScaleNormal="55" workbookViewId="0"/>
  </sheetViews>
  <sheetFormatPr defaultColWidth="8.6640625" defaultRowHeight="12.75"/>
  <cols>
    <col min="1" max="1" width="46.6640625" style="382" customWidth="1"/>
    <col min="2" max="2" width="10" style="382" customWidth="1"/>
    <col min="3" max="3" width="1.6640625" style="382" customWidth="1"/>
    <col min="4" max="4" width="10.6640625" style="382" customWidth="1"/>
    <col min="5" max="5" width="1.6640625" style="382" customWidth="1"/>
    <col min="6" max="6" width="10" style="382" customWidth="1"/>
    <col min="7" max="7" width="1.6640625" style="382" customWidth="1"/>
    <col min="8" max="8" width="10" style="382" customWidth="1"/>
    <col min="9" max="9" width="1.6640625" style="382" customWidth="1"/>
    <col min="10" max="10" width="10.6640625" style="382" customWidth="1"/>
    <col min="11" max="11" width="1.6640625" style="382" customWidth="1"/>
    <col min="12" max="12" width="14.109375" style="382" customWidth="1"/>
    <col min="13" max="13" width="1.6640625" style="382" customWidth="1"/>
    <col min="14" max="14" width="15.44140625" style="382" bestFit="1" customWidth="1"/>
    <col min="15" max="15" width="1.6640625" style="382" customWidth="1"/>
    <col min="16" max="16" width="13.44140625" style="382" bestFit="1" customWidth="1"/>
    <col min="17" max="17" width="1.6640625" style="382" customWidth="1"/>
    <col min="18" max="18" width="15.109375" style="382" bestFit="1" customWidth="1"/>
    <col min="19" max="19" width="1.6640625" style="382" customWidth="1"/>
    <col min="20" max="20" width="11" style="382" bestFit="1" customWidth="1"/>
    <col min="21" max="21" width="1.6640625" style="382" customWidth="1"/>
    <col min="22" max="22" width="12.6640625" style="382" bestFit="1" customWidth="1"/>
    <col min="23" max="23" width="1.6640625" style="382" customWidth="1"/>
    <col min="24" max="24" width="8.6640625" style="2149" customWidth="1"/>
    <col min="25" max="26" width="1.6640625" style="2149" customWidth="1"/>
    <col min="27" max="27" width="10.109375" style="2149" customWidth="1"/>
    <col min="28" max="29" width="1.6640625" style="2149" customWidth="1"/>
    <col min="30" max="30" width="10.109375" style="2149" customWidth="1"/>
    <col min="31" max="31" width="1.6640625" style="2149" customWidth="1"/>
    <col min="32" max="32" width="2.44140625" style="2149" customWidth="1"/>
    <col min="33" max="33" width="10.109375" style="3195" bestFit="1" customWidth="1"/>
    <col min="34" max="34" width="1.6640625" style="389" customWidth="1"/>
    <col min="35" max="35" width="11.109375" style="382" customWidth="1"/>
    <col min="36" max="16384" width="8.6640625" style="382"/>
  </cols>
  <sheetData>
    <row r="1" spans="1:36" ht="15">
      <c r="A1" s="625" t="s">
        <v>870</v>
      </c>
    </row>
    <row r="2" spans="1:36" ht="15">
      <c r="A2" s="801"/>
    </row>
    <row r="3" spans="1:36" ht="20.25" customHeight="1">
      <c r="A3" s="3434" t="s">
        <v>0</v>
      </c>
      <c r="B3" s="28"/>
      <c r="C3" s="28"/>
      <c r="D3" s="28"/>
      <c r="E3" s="28"/>
      <c r="F3" s="28"/>
      <c r="G3" s="28"/>
      <c r="H3" s="28"/>
      <c r="I3" s="28"/>
      <c r="J3" s="28"/>
      <c r="K3" s="26"/>
      <c r="L3" s="26"/>
      <c r="M3" s="28"/>
      <c r="N3" s="28"/>
      <c r="O3" s="28"/>
      <c r="P3" s="28"/>
      <c r="Q3" s="28"/>
      <c r="R3" s="28"/>
      <c r="S3" s="28"/>
      <c r="T3" s="28"/>
      <c r="U3" s="28"/>
      <c r="V3" s="28"/>
      <c r="W3" s="28"/>
      <c r="X3" s="101"/>
      <c r="Y3" s="101"/>
      <c r="Z3" s="101"/>
      <c r="AA3" s="101"/>
      <c r="AB3" s="101"/>
      <c r="AC3" s="101"/>
      <c r="AD3" s="101"/>
      <c r="AE3" s="101"/>
      <c r="AF3" s="101"/>
      <c r="AG3" s="3196"/>
      <c r="AI3" s="807" t="s">
        <v>224</v>
      </c>
    </row>
    <row r="4" spans="1:36" ht="20.25" customHeight="1">
      <c r="A4" s="1493" t="s">
        <v>223</v>
      </c>
      <c r="B4" s="28"/>
      <c r="C4" s="28"/>
      <c r="D4" s="28"/>
      <c r="E4" s="28"/>
      <c r="F4" s="28"/>
      <c r="G4" s="28"/>
      <c r="H4" s="26" t="s">
        <v>14</v>
      </c>
      <c r="I4" s="28"/>
      <c r="J4" s="28"/>
      <c r="K4" s="26"/>
      <c r="L4" s="26"/>
      <c r="M4" s="28"/>
      <c r="N4" s="28"/>
      <c r="O4" s="28"/>
      <c r="P4" s="28"/>
      <c r="Q4" s="28"/>
      <c r="R4" s="28"/>
      <c r="S4" s="28"/>
      <c r="T4" s="28"/>
      <c r="U4" s="28"/>
      <c r="V4" s="28"/>
      <c r="W4" s="28"/>
      <c r="X4" s="101" t="s">
        <v>14</v>
      </c>
      <c r="Y4" s="101"/>
      <c r="Z4" s="101"/>
      <c r="AA4" s="101"/>
      <c r="AB4" s="101"/>
      <c r="AC4" s="101"/>
      <c r="AD4" s="101"/>
      <c r="AE4" s="101"/>
      <c r="AF4" s="101"/>
      <c r="AG4" s="3196"/>
    </row>
    <row r="5" spans="1:36" ht="20.25" customHeight="1">
      <c r="A5" s="1493" t="s">
        <v>121</v>
      </c>
      <c r="B5" s="28"/>
      <c r="C5" s="28"/>
      <c r="D5" s="28"/>
      <c r="E5" s="28"/>
      <c r="F5" s="28"/>
      <c r="G5" s="28"/>
      <c r="H5" s="28"/>
      <c r="I5" s="28"/>
      <c r="J5" s="28"/>
      <c r="K5" s="26"/>
      <c r="L5" s="26"/>
      <c r="M5" s="28"/>
      <c r="N5" s="28"/>
      <c r="O5" s="28"/>
      <c r="P5" s="28"/>
      <c r="Q5" s="28"/>
      <c r="R5" s="28"/>
      <c r="S5" s="28"/>
      <c r="T5" s="28"/>
      <c r="U5" s="28"/>
      <c r="V5" s="28"/>
      <c r="W5" s="28"/>
      <c r="X5" s="101"/>
      <c r="Y5" s="101"/>
      <c r="Z5" s="101"/>
      <c r="AB5" s="3163"/>
      <c r="AC5" s="3163"/>
      <c r="AE5" s="3118"/>
      <c r="AG5" s="3196"/>
    </row>
    <row r="6" spans="1:36" ht="20.25" customHeight="1">
      <c r="A6" s="1493" t="str">
        <f>'Cashflow Governmental'!A6</f>
        <v xml:space="preserve">FISCAL YEAR 2022-2023   </v>
      </c>
      <c r="B6" s="28"/>
      <c r="C6" s="28"/>
      <c r="D6" s="28"/>
      <c r="E6" s="28"/>
      <c r="F6" s="28"/>
      <c r="G6" s="28"/>
      <c r="H6" s="28"/>
      <c r="I6" s="28"/>
      <c r="J6" s="28"/>
      <c r="K6" s="26"/>
      <c r="L6" s="26"/>
      <c r="M6" s="28"/>
      <c r="N6" s="28"/>
      <c r="O6" s="28"/>
      <c r="P6" s="28"/>
      <c r="Q6" s="28"/>
      <c r="R6" s="28"/>
      <c r="S6" s="28"/>
      <c r="T6" s="28"/>
      <c r="U6" s="28"/>
      <c r="V6" s="28"/>
      <c r="W6" s="28"/>
      <c r="X6" s="101"/>
      <c r="Y6" s="101"/>
      <c r="Z6" s="101"/>
      <c r="AA6" s="101"/>
      <c r="AB6" s="101"/>
      <c r="AC6" s="101"/>
      <c r="AD6" s="101"/>
      <c r="AE6" s="101"/>
      <c r="AF6" s="101"/>
      <c r="AG6" s="3196"/>
    </row>
    <row r="7" spans="1:36" ht="20.25" customHeight="1">
      <c r="A7" s="3434" t="s">
        <v>1250</v>
      </c>
      <c r="B7" s="28"/>
      <c r="C7" s="28"/>
      <c r="D7" s="28"/>
      <c r="E7" s="28"/>
      <c r="F7" s="28"/>
      <c r="G7" s="28"/>
      <c r="H7" s="28"/>
      <c r="I7" s="28"/>
      <c r="J7" s="28"/>
      <c r="K7" s="26"/>
      <c r="L7" s="28"/>
      <c r="M7" s="28"/>
      <c r="N7" s="28"/>
      <c r="O7" s="28"/>
      <c r="P7" s="28"/>
      <c r="Q7" s="28"/>
      <c r="R7" s="28"/>
      <c r="S7" s="28"/>
      <c r="T7" s="28"/>
      <c r="U7" s="28"/>
      <c r="V7" s="28"/>
      <c r="W7" s="28"/>
      <c r="X7" s="101"/>
      <c r="Y7" s="101"/>
      <c r="Z7" s="101"/>
      <c r="AA7" s="3117"/>
      <c r="AB7" s="3117"/>
      <c r="AC7" s="3117"/>
      <c r="AD7" s="3117"/>
      <c r="AE7" s="3117"/>
      <c r="AF7" s="3117"/>
      <c r="AG7" s="1615"/>
      <c r="AH7" s="1110"/>
      <c r="AI7" s="1109"/>
    </row>
    <row r="8" spans="1:36" s="384" customFormat="1" ht="19.350000000000001" customHeight="1">
      <c r="A8" s="314"/>
      <c r="B8" s="28"/>
      <c r="C8" s="28"/>
      <c r="D8" s="28"/>
      <c r="E8" s="28"/>
      <c r="F8" s="28"/>
      <c r="G8" s="28"/>
      <c r="H8" s="28"/>
      <c r="I8" s="28"/>
      <c r="J8" s="28"/>
      <c r="K8" s="28"/>
      <c r="L8" s="28"/>
      <c r="M8" s="28"/>
      <c r="N8" s="28"/>
      <c r="O8" s="28"/>
      <c r="P8" s="28"/>
      <c r="Q8" s="28"/>
      <c r="R8" s="28"/>
      <c r="S8" s="28"/>
      <c r="T8" s="28"/>
      <c r="U8" s="28"/>
      <c r="V8" s="28"/>
      <c r="W8" s="28"/>
      <c r="X8" s="101"/>
      <c r="Y8" s="101"/>
      <c r="Z8" s="101"/>
      <c r="AA8" s="3117"/>
      <c r="AB8" s="3117"/>
      <c r="AC8" s="3117"/>
      <c r="AD8" s="3117"/>
      <c r="AE8" s="3117"/>
      <c r="AF8" s="3117"/>
      <c r="AG8" s="1615"/>
      <c r="AH8" s="1110"/>
      <c r="AI8" s="1109"/>
    </row>
    <row r="9" spans="1:36" s="384" customFormat="1" ht="19.350000000000001" customHeight="1">
      <c r="A9" s="28"/>
      <c r="B9" s="28"/>
      <c r="C9" s="28"/>
      <c r="D9" s="28"/>
      <c r="E9" s="28"/>
      <c r="F9" s="28"/>
      <c r="G9" s="28"/>
      <c r="H9" s="26"/>
      <c r="I9" s="26"/>
      <c r="J9" s="26"/>
      <c r="K9" s="28"/>
      <c r="L9" s="28"/>
      <c r="M9" s="28"/>
      <c r="N9" s="28"/>
      <c r="O9" s="28"/>
      <c r="P9" s="28"/>
      <c r="Q9" s="28"/>
      <c r="R9" s="28"/>
      <c r="S9" s="28"/>
      <c r="T9" s="28"/>
      <c r="U9" s="28"/>
      <c r="V9" s="28"/>
      <c r="W9" s="28"/>
      <c r="X9" s="101"/>
      <c r="Y9" s="101"/>
      <c r="Z9" s="101"/>
      <c r="AA9" s="3117"/>
      <c r="AB9" s="3117"/>
      <c r="AC9" s="3969"/>
      <c r="AD9" s="3970"/>
      <c r="AE9" s="3970"/>
      <c r="AF9" s="3970"/>
      <c r="AG9" s="3970"/>
      <c r="AH9" s="3970"/>
      <c r="AI9" s="3970"/>
    </row>
    <row r="10" spans="1:36" s="384" customFormat="1" ht="19.350000000000001" customHeight="1">
      <c r="A10" s="143"/>
      <c r="B10" s="143"/>
      <c r="C10" s="143"/>
      <c r="D10" s="143"/>
      <c r="E10" s="143"/>
      <c r="F10" s="143"/>
      <c r="G10" s="143"/>
      <c r="H10" s="143"/>
      <c r="I10" s="143"/>
      <c r="J10" s="143"/>
      <c r="K10" s="143"/>
      <c r="L10" s="143"/>
      <c r="M10" s="143"/>
      <c r="N10" s="143"/>
      <c r="O10" s="143"/>
      <c r="P10" s="143"/>
      <c r="Q10" s="143"/>
      <c r="R10" s="143"/>
      <c r="S10" s="143"/>
      <c r="T10" s="143"/>
      <c r="U10" s="143"/>
      <c r="V10" s="2057"/>
      <c r="W10" s="808"/>
      <c r="X10" s="3175"/>
      <c r="Y10" s="3173"/>
      <c r="Z10" s="1617"/>
      <c r="AA10" s="3968" t="s">
        <v>1518</v>
      </c>
      <c r="AB10" s="3971"/>
      <c r="AC10" s="3971"/>
      <c r="AD10" s="3971"/>
      <c r="AE10" s="3971"/>
      <c r="AF10" s="3971"/>
      <c r="AG10" s="3971"/>
      <c r="AH10" s="3971"/>
      <c r="AI10" s="3971"/>
    </row>
    <row r="11" spans="1:36" s="384" customFormat="1" ht="19.350000000000001" customHeight="1">
      <c r="A11" s="143"/>
      <c r="B11" s="748" t="str">
        <f>'Cashflow Governmental'!C13</f>
        <v>2022</v>
      </c>
      <c r="C11" s="243"/>
      <c r="D11" s="243"/>
      <c r="E11" s="243"/>
      <c r="F11" s="243"/>
      <c r="G11" s="243"/>
      <c r="H11" s="243"/>
      <c r="I11" s="243"/>
      <c r="J11" s="243"/>
      <c r="K11" s="243"/>
      <c r="L11" s="243"/>
      <c r="M11" s="243"/>
      <c r="N11" s="243"/>
      <c r="O11" s="243"/>
      <c r="P11" s="243"/>
      <c r="Q11" s="243"/>
      <c r="R11" s="243"/>
      <c r="S11" s="243"/>
      <c r="T11" s="748">
        <f>'Cashflow Governmental'!U13</f>
        <v>2023</v>
      </c>
      <c r="U11" s="243"/>
      <c r="V11" s="750"/>
      <c r="W11" s="243"/>
      <c r="X11" s="1606"/>
      <c r="Y11" s="1606"/>
      <c r="Z11" s="3143"/>
      <c r="AA11" s="3122"/>
      <c r="AB11" s="3122"/>
      <c r="AC11" s="3122"/>
      <c r="AD11" s="3197"/>
      <c r="AE11" s="3197"/>
      <c r="AF11" s="3122"/>
      <c r="AG11" s="3125" t="s">
        <v>7</v>
      </c>
      <c r="AH11" s="1113"/>
      <c r="AI11" s="1114" t="s">
        <v>8</v>
      </c>
    </row>
    <row r="12" spans="1:36" s="384" customFormat="1" ht="19.350000000000001" customHeight="1">
      <c r="A12" s="143"/>
      <c r="B12" s="750" t="s">
        <v>122</v>
      </c>
      <c r="C12" s="243"/>
      <c r="D12" s="811" t="s">
        <v>123</v>
      </c>
      <c r="E12" s="243"/>
      <c r="F12" s="811" t="s">
        <v>124</v>
      </c>
      <c r="G12" s="243"/>
      <c r="H12" s="811" t="s">
        <v>125</v>
      </c>
      <c r="I12" s="243"/>
      <c r="J12" s="812" t="s">
        <v>221</v>
      </c>
      <c r="K12" s="243"/>
      <c r="L12" s="812" t="s">
        <v>141</v>
      </c>
      <c r="M12" s="243"/>
      <c r="N12" s="812" t="s">
        <v>142</v>
      </c>
      <c r="O12" s="243"/>
      <c r="P12" s="811" t="s">
        <v>129</v>
      </c>
      <c r="Q12" s="243"/>
      <c r="R12" s="811" t="s">
        <v>130</v>
      </c>
      <c r="S12" s="243"/>
      <c r="T12" s="812" t="s">
        <v>131</v>
      </c>
      <c r="U12" s="243"/>
      <c r="V12" s="811" t="s">
        <v>132</v>
      </c>
      <c r="W12" s="243"/>
      <c r="X12" s="3176" t="s">
        <v>182</v>
      </c>
      <c r="Y12" s="1606"/>
      <c r="Z12" s="1606"/>
      <c r="AA12" s="3177">
        <f>'Cashflow Governmental'!AB14</f>
        <v>2022</v>
      </c>
      <c r="AB12" s="3177"/>
      <c r="AC12" s="3161"/>
      <c r="AD12" s="3343">
        <f>'Cashflow Governmental'!AE14</f>
        <v>2021</v>
      </c>
      <c r="AE12" s="3161"/>
      <c r="AF12" s="3161"/>
      <c r="AG12" s="3128" t="s">
        <v>11</v>
      </c>
      <c r="AH12" s="1116"/>
      <c r="AI12" s="1115" t="s">
        <v>12</v>
      </c>
    </row>
    <row r="13" spans="1:36" s="1617" customFormat="1" ht="19.350000000000001" customHeight="1">
      <c r="A13" s="1606" t="s">
        <v>134</v>
      </c>
      <c r="B13" s="1607">
        <v>45.9</v>
      </c>
      <c r="C13" s="1608"/>
      <c r="D13" s="1607">
        <f>B38</f>
        <v>47.4</v>
      </c>
      <c r="E13" s="1608"/>
      <c r="F13" s="1607"/>
      <c r="G13" s="1608"/>
      <c r="H13" s="1607"/>
      <c r="I13" s="1609"/>
      <c r="J13" s="1607"/>
      <c r="K13" s="1608"/>
      <c r="L13" s="1607"/>
      <c r="M13" s="1609"/>
      <c r="N13" s="1607"/>
      <c r="O13" s="1609"/>
      <c r="P13" s="1607"/>
      <c r="Q13" s="1609"/>
      <c r="R13" s="1607"/>
      <c r="S13" s="1609"/>
      <c r="T13" s="1607"/>
      <c r="U13" s="1609"/>
      <c r="V13" s="1607"/>
      <c r="W13" s="1609"/>
      <c r="X13" s="1607"/>
      <c r="Y13" s="1610"/>
      <c r="Z13" s="1611"/>
      <c r="AA13" s="3178">
        <f>+B13</f>
        <v>45.9</v>
      </c>
      <c r="AB13" s="3179"/>
      <c r="AC13" s="3180"/>
      <c r="AD13" s="1607">
        <v>40.200000000000003</v>
      </c>
      <c r="AE13" s="1612"/>
      <c r="AF13" s="1613"/>
      <c r="AG13" s="1614">
        <f>ROUND(SUM(AA13-AD13),1)</f>
        <v>5.7</v>
      </c>
      <c r="AH13" s="1615"/>
      <c r="AI13" s="1616">
        <f>ROUND(IF(AG13=0,0,AG13/(AD13)),3)</f>
        <v>0.14199999999999999</v>
      </c>
    </row>
    <row r="14" spans="1:36" s="384" customFormat="1" ht="19.350000000000001" customHeight="1">
      <c r="A14" s="143"/>
      <c r="B14" s="372"/>
      <c r="C14" s="372"/>
      <c r="D14" s="372"/>
      <c r="E14" s="372"/>
      <c r="F14" s="3126"/>
      <c r="G14" s="372"/>
      <c r="H14" s="819"/>
      <c r="I14" s="819"/>
      <c r="J14" s="819"/>
      <c r="K14" s="372"/>
      <c r="L14" s="819"/>
      <c r="M14" s="819"/>
      <c r="N14" s="819"/>
      <c r="O14" s="819"/>
      <c r="P14" s="819"/>
      <c r="Q14" s="819"/>
      <c r="R14" s="819"/>
      <c r="S14" s="819"/>
      <c r="T14" s="819"/>
      <c r="U14" s="819"/>
      <c r="V14" s="819"/>
      <c r="W14" s="819"/>
      <c r="X14" s="3166"/>
      <c r="Y14" s="3165"/>
      <c r="Z14" s="3181"/>
      <c r="AA14" s="3182"/>
      <c r="AB14" s="3183"/>
      <c r="AC14" s="3184"/>
      <c r="AD14" s="3182"/>
      <c r="AE14" s="3182"/>
      <c r="AF14" s="3162"/>
      <c r="AG14" s="3131"/>
      <c r="AH14" s="1110"/>
      <c r="AI14" s="1109"/>
    </row>
    <row r="15" spans="1:36" s="384" customFormat="1" ht="19.350000000000001" customHeight="1">
      <c r="A15" s="243" t="s">
        <v>13</v>
      </c>
      <c r="B15" s="372"/>
      <c r="C15" s="372"/>
      <c r="D15" s="372"/>
      <c r="E15" s="372"/>
      <c r="F15" s="3126"/>
      <c r="G15" s="372"/>
      <c r="H15" s="819"/>
      <c r="I15" s="819"/>
      <c r="J15" s="819"/>
      <c r="K15" s="372"/>
      <c r="L15" s="819"/>
      <c r="M15" s="819"/>
      <c r="N15" s="819"/>
      <c r="O15" s="819"/>
      <c r="P15" s="819"/>
      <c r="Q15" s="819"/>
      <c r="R15" s="819"/>
      <c r="S15" s="819"/>
      <c r="T15" s="819"/>
      <c r="U15" s="819"/>
      <c r="V15" s="819"/>
      <c r="W15" s="819"/>
      <c r="X15" s="3166"/>
      <c r="Y15" s="3165"/>
      <c r="Z15" s="3181"/>
      <c r="AA15" s="3182"/>
      <c r="AB15" s="3183"/>
      <c r="AC15" s="3184"/>
      <c r="AD15" s="3182"/>
      <c r="AE15" s="3182"/>
      <c r="AF15" s="3162"/>
      <c r="AG15" s="3131"/>
      <c r="AH15" s="1110"/>
      <c r="AI15" s="1109"/>
    </row>
    <row r="16" spans="1:36" s="1617" customFormat="1" ht="19.350000000000001" customHeight="1">
      <c r="A16" s="1618" t="s">
        <v>175</v>
      </c>
      <c r="B16" s="1798">
        <v>1.5</v>
      </c>
      <c r="C16" s="231"/>
      <c r="D16" s="1798">
        <f>AA16-$B16</f>
        <v>0.60000000000000009</v>
      </c>
      <c r="E16" s="231"/>
      <c r="F16" s="1619"/>
      <c r="G16" s="1641"/>
      <c r="H16" s="1619"/>
      <c r="I16" s="1620"/>
      <c r="J16" s="1619"/>
      <c r="K16" s="1533"/>
      <c r="L16" s="1619"/>
      <c r="M16" s="1621"/>
      <c r="N16" s="1619"/>
      <c r="O16" s="1621"/>
      <c r="P16" s="1619"/>
      <c r="Q16" s="1621"/>
      <c r="R16" s="1619"/>
      <c r="S16" s="1621"/>
      <c r="T16" s="1619"/>
      <c r="U16" s="1621"/>
      <c r="V16" s="1619"/>
      <c r="W16" s="1621"/>
      <c r="X16" s="1619"/>
      <c r="Y16" s="1622"/>
      <c r="Z16" s="1623"/>
      <c r="AA16" s="1619">
        <v>2.1</v>
      </c>
      <c r="AB16" s="3600"/>
      <c r="AC16" s="3601"/>
      <c r="AD16" s="1619">
        <v>0.3</v>
      </c>
      <c r="AE16" s="1624"/>
      <c r="AF16" s="1625"/>
      <c r="AG16" s="1626">
        <f>ROUND(SUM(AA16-AD16),1)</f>
        <v>1.8</v>
      </c>
      <c r="AH16" s="1615"/>
      <c r="AI16" s="1881">
        <f>ROUND(IF(AD16=0,1,AG16/ABS(AD16)),3)</f>
        <v>6</v>
      </c>
      <c r="AJ16" s="3818"/>
    </row>
    <row r="17" spans="1:35" s="384" customFormat="1" ht="24" customHeight="1">
      <c r="A17" s="243" t="s">
        <v>147</v>
      </c>
      <c r="B17" s="832">
        <f>ROUND(SUM(B16),1)</f>
        <v>1.5</v>
      </c>
      <c r="C17" s="375"/>
      <c r="D17" s="832">
        <f>ROUND(SUM(D16),1)</f>
        <v>0.6</v>
      </c>
      <c r="E17" s="375"/>
      <c r="F17" s="1653">
        <f>ROUND(SUM(F16),1)</f>
        <v>0</v>
      </c>
      <c r="G17" s="375"/>
      <c r="H17" s="832">
        <f>ROUND(SUM(H16),1)</f>
        <v>0</v>
      </c>
      <c r="I17" s="826"/>
      <c r="J17" s="2936">
        <f>ROUND(SUM(J16),1)</f>
        <v>0</v>
      </c>
      <c r="K17" s="375"/>
      <c r="L17" s="832">
        <f>ROUND(SUM(L16),1)</f>
        <v>0</v>
      </c>
      <c r="M17" s="827"/>
      <c r="N17" s="832">
        <f>ROUND(SUM(N16),1)</f>
        <v>0</v>
      </c>
      <c r="O17" s="827"/>
      <c r="P17" s="832">
        <f>ROUND(SUM(P16),1)</f>
        <v>0</v>
      </c>
      <c r="Q17" s="827"/>
      <c r="R17" s="2054">
        <f>ROUND(SUM(R16),1)</f>
        <v>0</v>
      </c>
      <c r="S17" s="827"/>
      <c r="T17" s="832">
        <f>ROUND(SUM(T16),1)</f>
        <v>0</v>
      </c>
      <c r="U17" s="827"/>
      <c r="V17" s="2059">
        <f>ROUND(SUM(V16),1)</f>
        <v>0</v>
      </c>
      <c r="W17" s="827"/>
      <c r="X17" s="3185">
        <f>ROUND(SUM(X16),1)</f>
        <v>0</v>
      </c>
      <c r="Y17" s="3167"/>
      <c r="Z17" s="3168"/>
      <c r="AA17" s="3186">
        <f>ROUND(SUM(AA16),1)</f>
        <v>2.1</v>
      </c>
      <c r="AB17" s="3602"/>
      <c r="AC17" s="3603"/>
      <c r="AD17" s="1653">
        <f>ROUND(SUM(AD16),1)</f>
        <v>0.3</v>
      </c>
      <c r="AE17" s="3186"/>
      <c r="AF17" s="1625"/>
      <c r="AG17" s="3198">
        <f>ROUND(SUM(AG16),1)</f>
        <v>1.8</v>
      </c>
      <c r="AH17" s="1143"/>
      <c r="AI17" s="1882">
        <f>ROUND(IF(AD17=0,1,AG17/ABS(AD17)),3)</f>
        <v>6</v>
      </c>
    </row>
    <row r="18" spans="1:35" s="384" customFormat="1" ht="19.350000000000001" customHeight="1">
      <c r="A18" s="143"/>
      <c r="B18" s="374"/>
      <c r="C18" s="231"/>
      <c r="D18" s="374" t="s">
        <v>14</v>
      </c>
      <c r="E18" s="231"/>
      <c r="F18" s="2139"/>
      <c r="G18" s="231"/>
      <c r="H18" s="830"/>
      <c r="I18" s="822"/>
      <c r="J18" s="830"/>
      <c r="K18" s="231"/>
      <c r="L18" s="830"/>
      <c r="M18" s="822"/>
      <c r="N18" s="830"/>
      <c r="O18" s="822"/>
      <c r="P18" s="830"/>
      <c r="Q18" s="822"/>
      <c r="R18" s="830"/>
      <c r="S18" s="822"/>
      <c r="T18" s="830"/>
      <c r="U18" s="822"/>
      <c r="V18" s="830"/>
      <c r="W18" s="822"/>
      <c r="X18" s="3187"/>
      <c r="Y18" s="1622"/>
      <c r="Z18" s="1623"/>
      <c r="AA18" s="3604"/>
      <c r="AB18" s="3600"/>
      <c r="AC18" s="3605"/>
      <c r="AD18" s="3187"/>
      <c r="AE18" s="1642"/>
      <c r="AF18" s="1625"/>
      <c r="AG18" s="1642"/>
      <c r="AH18" s="1110"/>
      <c r="AI18" s="1109"/>
    </row>
    <row r="19" spans="1:35" s="384" customFormat="1" ht="19.350000000000001" customHeight="1">
      <c r="A19" s="143"/>
      <c r="B19" s="231"/>
      <c r="C19" s="231"/>
      <c r="D19" s="231" t="s">
        <v>14</v>
      </c>
      <c r="E19" s="231"/>
      <c r="F19" s="1533"/>
      <c r="G19" s="231"/>
      <c r="H19" s="822"/>
      <c r="I19" s="822"/>
      <c r="J19" s="822"/>
      <c r="K19" s="231"/>
      <c r="L19" s="822"/>
      <c r="M19" s="822"/>
      <c r="N19" s="822"/>
      <c r="O19" s="822"/>
      <c r="P19" s="822"/>
      <c r="Q19" s="822"/>
      <c r="R19" s="822"/>
      <c r="S19" s="822"/>
      <c r="T19" s="822"/>
      <c r="U19" s="822"/>
      <c r="V19" s="822"/>
      <c r="W19" s="822"/>
      <c r="X19" s="1621"/>
      <c r="Y19" s="1622"/>
      <c r="Z19" s="1623"/>
      <c r="AA19" s="3188"/>
      <c r="AB19" s="3600"/>
      <c r="AC19" s="3601"/>
      <c r="AD19" s="1621"/>
      <c r="AE19" s="3188"/>
      <c r="AF19" s="1625"/>
      <c r="AG19" s="1642"/>
      <c r="AH19" s="1110"/>
      <c r="AI19" s="1109"/>
    </row>
    <row r="20" spans="1:35" s="384" customFormat="1" ht="19.350000000000001" customHeight="1">
      <c r="A20" s="243" t="s">
        <v>22</v>
      </c>
      <c r="B20" s="231"/>
      <c r="C20" s="231"/>
      <c r="D20" s="231" t="s">
        <v>14</v>
      </c>
      <c r="E20" s="231"/>
      <c r="F20" s="1533"/>
      <c r="G20" s="231"/>
      <c r="H20" s="822"/>
      <c r="I20" s="822"/>
      <c r="J20" s="822"/>
      <c r="K20" s="231"/>
      <c r="L20" s="822"/>
      <c r="M20" s="822"/>
      <c r="N20" s="822"/>
      <c r="O20" s="822"/>
      <c r="P20" s="822"/>
      <c r="Q20" s="822"/>
      <c r="R20" s="822"/>
      <c r="S20" s="822"/>
      <c r="T20" s="822"/>
      <c r="U20" s="822"/>
      <c r="V20" s="822"/>
      <c r="W20" s="822"/>
      <c r="X20" s="1621"/>
      <c r="Y20" s="1622"/>
      <c r="Z20" s="1623"/>
      <c r="AA20" s="3188"/>
      <c r="AB20" s="3600"/>
      <c r="AC20" s="3601"/>
      <c r="AD20" s="1621"/>
      <c r="AE20" s="3188"/>
      <c r="AF20" s="1625"/>
      <c r="AG20" s="1642"/>
      <c r="AH20" s="1110"/>
      <c r="AI20" s="1109"/>
    </row>
    <row r="21" spans="1:35" s="384" customFormat="1" ht="19.350000000000001" customHeight="1">
      <c r="A21" s="143" t="s">
        <v>149</v>
      </c>
      <c r="B21" s="232"/>
      <c r="C21" s="231"/>
      <c r="D21" s="231"/>
      <c r="E21" s="231"/>
      <c r="F21" s="1533"/>
      <c r="G21" s="231"/>
      <c r="H21" s="822"/>
      <c r="I21" s="822"/>
      <c r="J21" s="822"/>
      <c r="K21" s="231"/>
      <c r="L21" s="822"/>
      <c r="M21" s="822"/>
      <c r="N21" s="822"/>
      <c r="O21" s="822"/>
      <c r="P21" s="822"/>
      <c r="Q21" s="822"/>
      <c r="R21" s="822"/>
      <c r="S21" s="822"/>
      <c r="T21" s="822"/>
      <c r="U21" s="822"/>
      <c r="V21" s="822"/>
      <c r="W21" s="822"/>
      <c r="X21" s="1621"/>
      <c r="Y21" s="1622"/>
      <c r="Z21" s="1623"/>
      <c r="AA21" s="1633"/>
      <c r="AB21" s="3606"/>
      <c r="AC21" s="3607"/>
      <c r="AD21" s="1621"/>
      <c r="AE21" s="1633"/>
      <c r="AF21" s="1631"/>
      <c r="AG21" s="1642"/>
      <c r="AH21" s="1110"/>
      <c r="AI21" s="1109"/>
    </row>
    <row r="22" spans="1:35" s="1617" customFormat="1" ht="19.350000000000001" customHeight="1">
      <c r="A22" s="187" t="s">
        <v>215</v>
      </c>
      <c r="B22" s="831">
        <v>0</v>
      </c>
      <c r="C22" s="231"/>
      <c r="D22" s="831">
        <f t="shared" ref="D22:D24" si="0">AA22-$B22</f>
        <v>0.1</v>
      </c>
      <c r="E22" s="231"/>
      <c r="F22" s="1641"/>
      <c r="G22" s="231"/>
      <c r="H22" s="1641"/>
      <c r="I22" s="1621"/>
      <c r="J22" s="1641"/>
      <c r="K22" s="1533"/>
      <c r="L22" s="1641"/>
      <c r="M22" s="1621"/>
      <c r="N22" s="1641"/>
      <c r="O22" s="1621"/>
      <c r="P22" s="3830"/>
      <c r="Q22" s="1621"/>
      <c r="R22" s="1641"/>
      <c r="S22" s="1621"/>
      <c r="T22" s="1641"/>
      <c r="U22" s="1621"/>
      <c r="V22" s="1641"/>
      <c r="W22" s="1621"/>
      <c r="X22" s="1641"/>
      <c r="Y22" s="1622"/>
      <c r="Z22" s="1623"/>
      <c r="AA22" s="1628">
        <v>0.1</v>
      </c>
      <c r="AB22" s="3600"/>
      <c r="AC22" s="3601"/>
      <c r="AD22" s="1628">
        <v>0</v>
      </c>
      <c r="AE22" s="1630"/>
      <c r="AF22" s="1631"/>
      <c r="AG22" s="1626">
        <f>ROUND(SUM(AA22-AD22),1)</f>
        <v>0.1</v>
      </c>
      <c r="AH22" s="1615"/>
      <c r="AI22" s="1632">
        <f>ROUND(IF(AD22=0,1,AG22/ABS(AD22)),3)</f>
        <v>1</v>
      </c>
    </row>
    <row r="23" spans="1:35" s="1617" customFormat="1" ht="19.350000000000001" customHeight="1">
      <c r="A23" s="1618" t="s">
        <v>167</v>
      </c>
      <c r="B23" s="831">
        <v>0</v>
      </c>
      <c r="C23" s="231"/>
      <c r="D23" s="831">
        <f t="shared" si="0"/>
        <v>0</v>
      </c>
      <c r="E23" s="231"/>
      <c r="F23" s="1641"/>
      <c r="G23" s="231"/>
      <c r="H23" s="1641"/>
      <c r="I23" s="1621"/>
      <c r="J23" s="1641"/>
      <c r="K23" s="1533"/>
      <c r="L23" s="1641"/>
      <c r="M23" s="1621"/>
      <c r="N23" s="1641"/>
      <c r="O23" s="1628"/>
      <c r="P23" s="1641"/>
      <c r="Q23" s="1621"/>
      <c r="R23" s="1641"/>
      <c r="S23" s="1621"/>
      <c r="T23" s="1641"/>
      <c r="U23" s="1621"/>
      <c r="V23" s="1641"/>
      <c r="W23" s="1621"/>
      <c r="X23" s="1641"/>
      <c r="Y23" s="1622"/>
      <c r="Z23" s="1623"/>
      <c r="AA23" s="1628">
        <v>0</v>
      </c>
      <c r="AB23" s="3600"/>
      <c r="AC23" s="3601"/>
      <c r="AD23" s="1628">
        <v>0</v>
      </c>
      <c r="AE23" s="1633"/>
      <c r="AF23" s="1631"/>
      <c r="AG23" s="1626">
        <f>ROUND(SUM(AA23-AD23),1)</f>
        <v>0</v>
      </c>
      <c r="AH23" s="1634"/>
      <c r="AI23" s="1632">
        <f>ROUND(IF(AD23=0,0,AG23/ABS(AD23)),3)</f>
        <v>0</v>
      </c>
    </row>
    <row r="24" spans="1:35" s="1617" customFormat="1" ht="19.350000000000001" customHeight="1">
      <c r="A24" s="187" t="s">
        <v>152</v>
      </c>
      <c r="B24" s="831">
        <v>0</v>
      </c>
      <c r="C24" s="231"/>
      <c r="D24" s="1798">
        <f t="shared" si="0"/>
        <v>0</v>
      </c>
      <c r="E24" s="231"/>
      <c r="F24" s="1641"/>
      <c r="G24" s="231"/>
      <c r="H24" s="1619"/>
      <c r="I24" s="1621"/>
      <c r="J24" s="1619"/>
      <c r="K24" s="1533"/>
      <c r="L24" s="1619"/>
      <c r="M24" s="1621"/>
      <c r="N24" s="1619"/>
      <c r="O24" s="1621"/>
      <c r="P24" s="1619"/>
      <c r="Q24" s="1621"/>
      <c r="R24" s="1619"/>
      <c r="S24" s="1621"/>
      <c r="T24" s="1619"/>
      <c r="U24" s="1621"/>
      <c r="V24" s="1619"/>
      <c r="W24" s="1621"/>
      <c r="X24" s="1641"/>
      <c r="Y24" s="1622"/>
      <c r="Z24" s="1623"/>
      <c r="AA24" s="3608">
        <v>0</v>
      </c>
      <c r="AB24" s="3600"/>
      <c r="AC24" s="3601"/>
      <c r="AD24" s="3608">
        <v>0</v>
      </c>
      <c r="AE24" s="1629"/>
      <c r="AF24" s="1631"/>
      <c r="AG24" s="1626">
        <f>ROUND(SUM(AA24-AD24),1)</f>
        <v>0</v>
      </c>
      <c r="AH24" s="1615"/>
      <c r="AI24" s="1627">
        <f>ROUND(IF(AG24=0,0,AG24/ABS(AD24)),3)</f>
        <v>0</v>
      </c>
    </row>
    <row r="25" spans="1:35" s="384" customFormat="1" ht="22.5" customHeight="1">
      <c r="A25" s="243" t="s">
        <v>153</v>
      </c>
      <c r="B25" s="2060">
        <f>ROUND(SUM(B22:B24),1)</f>
        <v>0</v>
      </c>
      <c r="C25" s="375"/>
      <c r="D25" s="2076">
        <f>ROUND(SUM(D22:D24),1)</f>
        <v>0.1</v>
      </c>
      <c r="E25" s="375"/>
      <c r="F25" s="3599">
        <f>ROUND(SUM(F22:F24),1)</f>
        <v>0</v>
      </c>
      <c r="G25" s="375"/>
      <c r="H25" s="844">
        <f>ROUND(SUM(H22:H24),1)</f>
        <v>0</v>
      </c>
      <c r="I25" s="827"/>
      <c r="J25" s="2060">
        <f>ROUND(SUM(J22:J24),1)</f>
        <v>0</v>
      </c>
      <c r="K25" s="375"/>
      <c r="L25" s="2060">
        <f>ROUND(SUM(L22:L24),1)</f>
        <v>0</v>
      </c>
      <c r="M25" s="827"/>
      <c r="N25" s="1918">
        <f>ROUND(SUM(N22:N24),1)</f>
        <v>0</v>
      </c>
      <c r="O25" s="836"/>
      <c r="P25" s="844">
        <f>ROUND(SUM(P22:P24),1)</f>
        <v>0</v>
      </c>
      <c r="Q25" s="827"/>
      <c r="R25" s="2060">
        <f>ROUND(SUM(R22:R24),1)</f>
        <v>0</v>
      </c>
      <c r="S25" s="827"/>
      <c r="T25" s="2076">
        <f>ROUND(SUM(T22:T24),1)</f>
        <v>0</v>
      </c>
      <c r="U25" s="836"/>
      <c r="V25" s="3874">
        <f>ROUND(SUM(V22:V24),1)</f>
        <v>0</v>
      </c>
      <c r="W25" s="836"/>
      <c r="X25" s="3189">
        <f>ROUND(SUM(X22:X24),1)</f>
        <v>0</v>
      </c>
      <c r="Y25" s="3167"/>
      <c r="Z25" s="3168"/>
      <c r="AA25" s="3190">
        <f>ROUND(SUM(AA22:AA24),1)</f>
        <v>0.1</v>
      </c>
      <c r="AB25" s="3602"/>
      <c r="AC25" s="3603"/>
      <c r="AD25" s="2138">
        <f>ROUND(SUM(AD22:AD24),1)</f>
        <v>0</v>
      </c>
      <c r="AE25" s="3190"/>
      <c r="AF25" s="1631"/>
      <c r="AG25" s="3198">
        <f>ROUND(SUM(AG22:AG24),1)</f>
        <v>0.1</v>
      </c>
      <c r="AH25" s="1121"/>
      <c r="AI25" s="1144">
        <f>ROUND(IF(AD25=0,0,AG25/ABS(AD25)),3)</f>
        <v>0</v>
      </c>
    </row>
    <row r="26" spans="1:35" s="384" customFormat="1" ht="19.350000000000001" customHeight="1">
      <c r="A26" s="143"/>
      <c r="B26" s="374"/>
      <c r="C26" s="231"/>
      <c r="D26" s="374" t="s">
        <v>14</v>
      </c>
      <c r="E26" s="231"/>
      <c r="F26" s="2139"/>
      <c r="G26" s="231"/>
      <c r="H26" s="830"/>
      <c r="I26" s="822"/>
      <c r="J26" s="830"/>
      <c r="K26" s="231"/>
      <c r="L26" s="830"/>
      <c r="M26" s="822"/>
      <c r="N26" s="830"/>
      <c r="O26" s="822"/>
      <c r="P26" s="830"/>
      <c r="Q26" s="822"/>
      <c r="R26" s="830"/>
      <c r="S26" s="822"/>
      <c r="T26" s="830"/>
      <c r="U26" s="822"/>
      <c r="V26" s="830"/>
      <c r="W26" s="822"/>
      <c r="X26" s="3187"/>
      <c r="Y26" s="1622"/>
      <c r="Z26" s="1623"/>
      <c r="AA26" s="3604"/>
      <c r="AB26" s="3600"/>
      <c r="AC26" s="3605"/>
      <c r="AD26" s="3187"/>
      <c r="AE26" s="1642"/>
      <c r="AF26" s="1625"/>
      <c r="AG26" s="1642"/>
      <c r="AH26" s="1110"/>
      <c r="AI26" s="1109"/>
    </row>
    <row r="27" spans="1:35" s="384" customFormat="1" ht="19.350000000000001" customHeight="1">
      <c r="A27" s="243" t="s">
        <v>154</v>
      </c>
      <c r="B27" s="231"/>
      <c r="C27" s="231"/>
      <c r="D27" s="235" t="s">
        <v>14</v>
      </c>
      <c r="E27" s="231"/>
      <c r="F27" s="1533"/>
      <c r="G27" s="231"/>
      <c r="H27" s="822"/>
      <c r="I27" s="822"/>
      <c r="J27" s="822"/>
      <c r="K27" s="231"/>
      <c r="L27" s="822"/>
      <c r="M27" s="822"/>
      <c r="N27" s="822"/>
      <c r="O27" s="822"/>
      <c r="P27" s="822"/>
      <c r="Q27" s="822"/>
      <c r="R27" s="822"/>
      <c r="S27" s="822"/>
      <c r="T27" s="822"/>
      <c r="U27" s="822"/>
      <c r="V27" s="822"/>
      <c r="W27" s="822"/>
      <c r="X27" s="1621"/>
      <c r="Y27" s="1622"/>
      <c r="Z27" s="1623"/>
      <c r="AA27" s="3188"/>
      <c r="AB27" s="3600"/>
      <c r="AC27" s="3601"/>
      <c r="AD27" s="1621"/>
      <c r="AE27" s="3188"/>
      <c r="AF27" s="1625"/>
      <c r="AG27" s="1642"/>
      <c r="AH27" s="1110"/>
      <c r="AI27" s="1110"/>
    </row>
    <row r="28" spans="1:35" s="384" customFormat="1" ht="18.75" customHeight="1">
      <c r="A28" s="243" t="s">
        <v>44</v>
      </c>
      <c r="B28" s="834">
        <f>ROUND(B17-B25,1)</f>
        <v>1.5</v>
      </c>
      <c r="C28" s="375"/>
      <c r="D28" s="834">
        <f>ROUND(D17-D25,1)</f>
        <v>0.5</v>
      </c>
      <c r="E28" s="845"/>
      <c r="F28" s="3169">
        <f>ROUND(F17-F25,1)</f>
        <v>0</v>
      </c>
      <c r="G28" s="845"/>
      <c r="H28" s="834">
        <f>ROUND(H17-H25,1)</f>
        <v>0</v>
      </c>
      <c r="I28" s="846"/>
      <c r="J28" s="834">
        <f>ROUND(J17-J25,1)</f>
        <v>0</v>
      </c>
      <c r="K28" s="845"/>
      <c r="L28" s="834">
        <f>ROUND(L17-L25,1)</f>
        <v>0</v>
      </c>
      <c r="M28" s="847"/>
      <c r="N28" s="834">
        <f>ROUND(N17-N25,1)</f>
        <v>0</v>
      </c>
      <c r="O28" s="847"/>
      <c r="P28" s="834">
        <f>ROUND(P17-P25,1)</f>
        <v>0</v>
      </c>
      <c r="Q28" s="847"/>
      <c r="R28" s="834">
        <f>ROUND(R17-R25,1)</f>
        <v>0</v>
      </c>
      <c r="S28" s="847"/>
      <c r="T28" s="834">
        <f>ROUND(T17-T25,1)</f>
        <v>0</v>
      </c>
      <c r="U28" s="847"/>
      <c r="V28" s="834">
        <f>ROUND(V17-V25,1)</f>
        <v>0</v>
      </c>
      <c r="W28" s="847"/>
      <c r="X28" s="3169">
        <f>ROUND(X17-X25,1)</f>
        <v>0</v>
      </c>
      <c r="Y28" s="3167"/>
      <c r="Z28" s="3168"/>
      <c r="AA28" s="3609">
        <f>ROUND(AA17-AA25,1)</f>
        <v>2</v>
      </c>
      <c r="AB28" s="3602"/>
      <c r="AC28" s="3610"/>
      <c r="AD28" s="3169">
        <f>ROUND(AD17-AD25,1)</f>
        <v>0.3</v>
      </c>
      <c r="AE28" s="3191"/>
      <c r="AF28" s="1631"/>
      <c r="AG28" s="3135">
        <f>ROUND(SUM(AG17-AG25),1)</f>
        <v>1.7</v>
      </c>
      <c r="AH28" s="1121"/>
      <c r="AI28" s="2064">
        <f>ROUND(IF(AD28=0,1,AG28/ABS(AD28)),3)</f>
        <v>5.6669999999999998</v>
      </c>
    </row>
    <row r="29" spans="1:35" s="384" customFormat="1" ht="19.350000000000001" customHeight="1">
      <c r="A29" s="143"/>
      <c r="B29" s="235"/>
      <c r="C29" s="231"/>
      <c r="D29" s="235" t="s">
        <v>14</v>
      </c>
      <c r="E29" s="231"/>
      <c r="F29" s="1626"/>
      <c r="G29" s="231"/>
      <c r="H29" s="821"/>
      <c r="I29" s="822"/>
      <c r="J29" s="821"/>
      <c r="K29" s="231"/>
      <c r="L29" s="821"/>
      <c r="M29" s="822"/>
      <c r="N29" s="830"/>
      <c r="O29" s="822"/>
      <c r="P29" s="821"/>
      <c r="Q29" s="822"/>
      <c r="R29" s="821"/>
      <c r="S29" s="822"/>
      <c r="T29" s="821"/>
      <c r="U29" s="822"/>
      <c r="V29" s="821"/>
      <c r="W29" s="822"/>
      <c r="X29" s="3187"/>
      <c r="Y29" s="1622"/>
      <c r="Z29" s="1623"/>
      <c r="AA29" s="1642"/>
      <c r="AB29" s="3600"/>
      <c r="AC29" s="3605"/>
      <c r="AD29" s="1620"/>
      <c r="AE29" s="1642"/>
      <c r="AF29" s="1636"/>
      <c r="AG29" s="1642"/>
      <c r="AH29" s="1110"/>
      <c r="AI29" s="1109"/>
    </row>
    <row r="30" spans="1:35" s="384" customFormat="1" ht="19.350000000000001" customHeight="1">
      <c r="A30" s="243" t="s">
        <v>45</v>
      </c>
      <c r="B30" s="231"/>
      <c r="C30" s="231"/>
      <c r="D30" s="231"/>
      <c r="E30" s="231"/>
      <c r="F30" s="1533"/>
      <c r="G30" s="231"/>
      <c r="H30" s="822"/>
      <c r="I30" s="822"/>
      <c r="J30" s="822"/>
      <c r="K30" s="231"/>
      <c r="L30" s="822"/>
      <c r="M30" s="822"/>
      <c r="N30" s="822"/>
      <c r="O30" s="822"/>
      <c r="P30" s="822"/>
      <c r="Q30" s="822"/>
      <c r="R30" s="822"/>
      <c r="S30" s="822"/>
      <c r="T30" s="822"/>
      <c r="U30" s="822"/>
      <c r="V30" s="822"/>
      <c r="W30" s="822"/>
      <c r="X30" s="1621"/>
      <c r="Y30" s="1622"/>
      <c r="Z30" s="1623"/>
      <c r="AA30" s="3188"/>
      <c r="AB30" s="3600"/>
      <c r="AC30" s="3601"/>
      <c r="AD30" s="1621"/>
      <c r="AE30" s="3188"/>
      <c r="AF30" s="1636"/>
      <c r="AG30" s="1642"/>
      <c r="AH30" s="1110"/>
      <c r="AI30" s="1109"/>
    </row>
    <row r="31" spans="1:35" s="1617" customFormat="1" ht="19.350000000000001" customHeight="1">
      <c r="A31" s="187" t="s">
        <v>178</v>
      </c>
      <c r="B31" s="831">
        <v>0</v>
      </c>
      <c r="C31" s="231"/>
      <c r="D31" s="831">
        <f t="shared" ref="D31:D32" si="1">AA31-$B31</f>
        <v>0</v>
      </c>
      <c r="E31" s="231"/>
      <c r="F31" s="1641"/>
      <c r="G31" s="231"/>
      <c r="H31" s="1641"/>
      <c r="I31" s="1621"/>
      <c r="J31" s="1641"/>
      <c r="K31" s="1533"/>
      <c r="L31" s="1641"/>
      <c r="M31" s="1621"/>
      <c r="N31" s="1641"/>
      <c r="O31" s="1621"/>
      <c r="P31" s="1641"/>
      <c r="Q31" s="1621"/>
      <c r="R31" s="1641"/>
      <c r="S31" s="1621"/>
      <c r="T31" s="1641"/>
      <c r="U31" s="1621"/>
      <c r="V31" s="1641"/>
      <c r="W31" s="1621"/>
      <c r="X31" s="1641"/>
      <c r="Y31" s="1622"/>
      <c r="Z31" s="1623"/>
      <c r="AA31" s="1628">
        <v>0</v>
      </c>
      <c r="AB31" s="3600"/>
      <c r="AC31" s="3601"/>
      <c r="AD31" s="1628">
        <v>0</v>
      </c>
      <c r="AE31" s="1633"/>
      <c r="AF31" s="1635"/>
      <c r="AG31" s="1626">
        <f>ROUND(SUM(AA31-AD31),1)</f>
        <v>0</v>
      </c>
      <c r="AH31" s="1634"/>
      <c r="AI31" s="1627">
        <f>ROUND(IF(AG31=0,0,AG31/ABS(AD31)),3)</f>
        <v>0</v>
      </c>
    </row>
    <row r="32" spans="1:35" s="1617" customFormat="1" ht="19.350000000000001" customHeight="1">
      <c r="A32" s="187" t="s">
        <v>179</v>
      </c>
      <c r="B32" s="831">
        <v>0</v>
      </c>
      <c r="C32" s="231"/>
      <c r="D32" s="831">
        <f t="shared" si="1"/>
        <v>0</v>
      </c>
      <c r="E32" s="231"/>
      <c r="F32" s="1641"/>
      <c r="G32" s="231"/>
      <c r="H32" s="1619"/>
      <c r="I32" s="1621"/>
      <c r="J32" s="1619"/>
      <c r="K32" s="1533"/>
      <c r="L32" s="1619"/>
      <c r="M32" s="1620"/>
      <c r="N32" s="1641"/>
      <c r="O32" s="1641"/>
      <c r="P32" s="1641"/>
      <c r="Q32" s="1620"/>
      <c r="R32" s="1619"/>
      <c r="S32" s="1620"/>
      <c r="T32" s="1619"/>
      <c r="U32" s="1620"/>
      <c r="V32" s="1619"/>
      <c r="W32" s="1620"/>
      <c r="X32" s="1641"/>
      <c r="Y32" s="1622"/>
      <c r="Z32" s="1623"/>
      <c r="AA32" s="1628">
        <v>0</v>
      </c>
      <c r="AB32" s="3611"/>
      <c r="AC32" s="3612"/>
      <c r="AD32" s="1628">
        <v>0</v>
      </c>
      <c r="AE32" s="1633"/>
      <c r="AF32" s="1636"/>
      <c r="AG32" s="1626">
        <f>ROUND(SUM(AA32-AD32),1)</f>
        <v>0</v>
      </c>
      <c r="AH32" s="1634"/>
      <c r="AI32" s="1627">
        <f>ROUND(IF(AG32=0,0,AG32/ABS(AD32)),3)</f>
        <v>0</v>
      </c>
    </row>
    <row r="33" spans="1:35" s="384" customFormat="1" ht="22.5" customHeight="1">
      <c r="A33" s="243" t="s">
        <v>204</v>
      </c>
      <c r="B33" s="848">
        <f>ROUND(SUM(B31:B32),1)</f>
        <v>0</v>
      </c>
      <c r="C33" s="375"/>
      <c r="D33" s="848">
        <f>ROUND(SUM(D31:D32),1)</f>
        <v>0</v>
      </c>
      <c r="E33" s="375"/>
      <c r="F33" s="3170">
        <f>ROUND(SUM(F31:F32),1)</f>
        <v>0</v>
      </c>
      <c r="G33" s="375"/>
      <c r="H33" s="848">
        <f>ROUND(SUM(H31:H32),1)</f>
        <v>0</v>
      </c>
      <c r="I33" s="827"/>
      <c r="J33" s="848">
        <f>ROUND(SUM(J31:J32),1)</f>
        <v>0</v>
      </c>
      <c r="K33" s="375"/>
      <c r="L33" s="848">
        <f>ROUND(SUM(L31:L32),1)</f>
        <v>0</v>
      </c>
      <c r="M33" s="827"/>
      <c r="N33" s="848">
        <f>ROUND(SUM(N31:N32),1)</f>
        <v>0</v>
      </c>
      <c r="O33" s="827"/>
      <c r="P33" s="848">
        <f>ROUND(SUM(P31:P32),1)</f>
        <v>0</v>
      </c>
      <c r="Q33" s="849"/>
      <c r="R33" s="848">
        <f>ROUND(SUM(R31:R32),1)</f>
        <v>0</v>
      </c>
      <c r="S33" s="827"/>
      <c r="T33" s="848">
        <f>ROUND(SUM(T31:T32),1)</f>
        <v>0</v>
      </c>
      <c r="U33" s="827"/>
      <c r="V33" s="849">
        <f>ROUND(SUM(V31:V32),1)</f>
        <v>0</v>
      </c>
      <c r="W33" s="827"/>
      <c r="X33" s="3170">
        <f>ROUND(SUM(X31:X32),1)</f>
        <v>0</v>
      </c>
      <c r="Y33" s="3167"/>
      <c r="Z33" s="3168"/>
      <c r="AA33" s="3613">
        <f>ROUND(SUM(AA31:AA32),1)</f>
        <v>0</v>
      </c>
      <c r="AB33" s="3614"/>
      <c r="AC33" s="3615"/>
      <c r="AD33" s="3170">
        <f>ROUND(SUM(AD31:AD32),1)</f>
        <v>0</v>
      </c>
      <c r="AE33" s="3199"/>
      <c r="AF33" s="1635"/>
      <c r="AG33" s="3198">
        <f>ROUND(SUM(AG31-AG32),1)</f>
        <v>0</v>
      </c>
      <c r="AH33" s="1128"/>
      <c r="AI33" s="1144">
        <f>ROUND(IF(AG33=0,0,AG33/ABS(AD33)),3)</f>
        <v>0</v>
      </c>
    </row>
    <row r="34" spans="1:35" s="384" customFormat="1" ht="19.350000000000001" customHeight="1">
      <c r="A34" s="143"/>
      <c r="B34" s="374"/>
      <c r="C34" s="231"/>
      <c r="D34" s="374" t="s">
        <v>14</v>
      </c>
      <c r="E34" s="231"/>
      <c r="F34" s="2139"/>
      <c r="G34" s="231"/>
      <c r="H34" s="830"/>
      <c r="I34" s="822"/>
      <c r="J34" s="830"/>
      <c r="K34" s="231"/>
      <c r="L34" s="830"/>
      <c r="M34" s="822"/>
      <c r="N34" s="830"/>
      <c r="O34" s="822"/>
      <c r="P34" s="830"/>
      <c r="Q34" s="822"/>
      <c r="R34" s="830"/>
      <c r="S34" s="822"/>
      <c r="T34" s="830"/>
      <c r="U34" s="822"/>
      <c r="V34" s="830"/>
      <c r="W34" s="822"/>
      <c r="X34" s="3187"/>
      <c r="Y34" s="1622"/>
      <c r="Z34" s="1623"/>
      <c r="AA34" s="3604"/>
      <c r="AB34" s="3600"/>
      <c r="AC34" s="3605"/>
      <c r="AD34" s="3187"/>
      <c r="AE34" s="1642"/>
      <c r="AF34" s="1625"/>
      <c r="AG34" s="1642"/>
      <c r="AH34" s="1110"/>
      <c r="AI34" s="1109"/>
    </row>
    <row r="35" spans="1:35" s="384" customFormat="1" ht="19.350000000000001" customHeight="1">
      <c r="A35" s="243" t="s">
        <v>162</v>
      </c>
      <c r="B35" s="231"/>
      <c r="C35" s="231"/>
      <c r="D35" s="231" t="s">
        <v>14</v>
      </c>
      <c r="E35" s="231"/>
      <c r="F35" s="1533"/>
      <c r="G35" s="231"/>
      <c r="H35" s="822"/>
      <c r="I35" s="822"/>
      <c r="J35" s="822"/>
      <c r="K35" s="231"/>
      <c r="L35" s="822"/>
      <c r="M35" s="822"/>
      <c r="N35" s="822"/>
      <c r="O35" s="822"/>
      <c r="P35" s="822"/>
      <c r="Q35" s="822"/>
      <c r="R35" s="822"/>
      <c r="S35" s="822"/>
      <c r="T35" s="822"/>
      <c r="U35" s="822"/>
      <c r="V35" s="822"/>
      <c r="W35" s="822"/>
      <c r="X35" s="1621"/>
      <c r="Y35" s="1622"/>
      <c r="Z35" s="1623"/>
      <c r="AA35" s="3188"/>
      <c r="AB35" s="3600"/>
      <c r="AC35" s="3601"/>
      <c r="AD35" s="1621"/>
      <c r="AE35" s="3188"/>
      <c r="AF35" s="1625"/>
      <c r="AG35" s="1642"/>
      <c r="AH35" s="1110"/>
      <c r="AI35" s="1109"/>
    </row>
    <row r="36" spans="1:35" s="384" customFormat="1" ht="19.350000000000001" customHeight="1">
      <c r="A36" s="243" t="s">
        <v>222</v>
      </c>
      <c r="B36" s="231"/>
      <c r="C36" s="231"/>
      <c r="D36" s="231"/>
      <c r="E36" s="231"/>
      <c r="F36" s="1533"/>
      <c r="G36" s="231"/>
      <c r="H36" s="822"/>
      <c r="I36" s="822"/>
      <c r="J36" s="822"/>
      <c r="K36" s="231"/>
      <c r="L36" s="822"/>
      <c r="M36" s="822"/>
      <c r="N36" s="822"/>
      <c r="O36" s="822"/>
      <c r="P36" s="822"/>
      <c r="Q36" s="822"/>
      <c r="R36" s="822"/>
      <c r="S36" s="822"/>
      <c r="T36" s="822"/>
      <c r="U36" s="822"/>
      <c r="V36" s="821"/>
      <c r="W36" s="822"/>
      <c r="X36" s="1621"/>
      <c r="Y36" s="1622"/>
      <c r="Z36" s="1623"/>
      <c r="AA36" s="3188"/>
      <c r="AB36" s="3600"/>
      <c r="AC36" s="3601"/>
      <c r="AD36" s="1621"/>
      <c r="AE36" s="3200"/>
      <c r="AF36" s="1663"/>
      <c r="AG36" s="1642"/>
      <c r="AH36" s="1110"/>
      <c r="AI36" s="1110"/>
    </row>
    <row r="37" spans="1:35" s="386" customFormat="1" ht="19.350000000000001" customHeight="1">
      <c r="A37" s="243" t="s">
        <v>164</v>
      </c>
      <c r="B37" s="832">
        <f>ROUND(B28+B33,1)</f>
        <v>1.5</v>
      </c>
      <c r="C37" s="375"/>
      <c r="D37" s="832">
        <f>ROUND(D28+D33,1)</f>
        <v>0.5</v>
      </c>
      <c r="E37" s="377"/>
      <c r="F37" s="1653">
        <f>ROUND(F28+F33,1)</f>
        <v>0</v>
      </c>
      <c r="G37" s="377"/>
      <c r="H37" s="832">
        <f>ROUND(H28+H33,1)</f>
        <v>0</v>
      </c>
      <c r="I37" s="836"/>
      <c r="J37" s="832">
        <f>ROUND(J28+J33,1)</f>
        <v>0</v>
      </c>
      <c r="K37" s="377"/>
      <c r="L37" s="832">
        <f>ROUND(L28+L33,1)</f>
        <v>0</v>
      </c>
      <c r="M37" s="837"/>
      <c r="N37" s="832">
        <f>ROUND(N28+N33,1)</f>
        <v>0</v>
      </c>
      <c r="O37" s="837"/>
      <c r="P37" s="832">
        <f>ROUND(P28+P33,1)</f>
        <v>0</v>
      </c>
      <c r="Q37" s="837"/>
      <c r="R37" s="832">
        <f>ROUND(R28+R33,1)</f>
        <v>0</v>
      </c>
      <c r="S37" s="836"/>
      <c r="T37" s="832">
        <f>ROUND(T28+T33,1)</f>
        <v>0</v>
      </c>
      <c r="U37" s="836"/>
      <c r="V37" s="832">
        <f>ROUND(V28+V33,1)</f>
        <v>0</v>
      </c>
      <c r="W37" s="836"/>
      <c r="X37" s="1653">
        <f>ROUND(X28+X33,1)</f>
        <v>0</v>
      </c>
      <c r="Y37" s="3167"/>
      <c r="Z37" s="3168"/>
      <c r="AA37" s="3191">
        <f>ROUND(AA28+AA33,1)</f>
        <v>2</v>
      </c>
      <c r="AB37" s="3192"/>
      <c r="AC37" s="3616"/>
      <c r="AD37" s="1653">
        <f>ROUND(AD28+AD33,1)</f>
        <v>0.3</v>
      </c>
      <c r="AE37" s="3191"/>
      <c r="AF37" s="2145"/>
      <c r="AG37" s="3192">
        <f>ROUND(SUM(AG28+AG33),1)</f>
        <v>1.7</v>
      </c>
      <c r="AH37" s="1101"/>
      <c r="AI37" s="2064">
        <f>ROUND(IF(AD37=0,1,AG37/ABS(AD37)),3)</f>
        <v>5.6669999999999998</v>
      </c>
    </row>
    <row r="38" spans="1:35" s="384" customFormat="1" ht="22.5" customHeight="1" thickBot="1">
      <c r="A38" s="243" t="s">
        <v>139</v>
      </c>
      <c r="B38" s="838">
        <f>ROUND(SUM(B13,B37),1)</f>
        <v>47.4</v>
      </c>
      <c r="C38" s="370"/>
      <c r="D38" s="838">
        <f>ROUND(SUM(D13,D37),1)</f>
        <v>47.9</v>
      </c>
      <c r="E38" s="370"/>
      <c r="F38" s="3171">
        <f>ROUND(SUM(F13,F37),1)</f>
        <v>0</v>
      </c>
      <c r="G38" s="370"/>
      <c r="H38" s="838">
        <f>ROUND(SUM(H13,H37),1)</f>
        <v>0</v>
      </c>
      <c r="I38" s="839"/>
      <c r="J38" s="838">
        <f>ROUND(SUM(J13,J37),1)</f>
        <v>0</v>
      </c>
      <c r="K38" s="370"/>
      <c r="L38" s="838">
        <f>ROUND(SUM(L13,L37),1)</f>
        <v>0</v>
      </c>
      <c r="M38" s="371"/>
      <c r="N38" s="838">
        <f>ROUND(SUM(N13,N37),1)</f>
        <v>0</v>
      </c>
      <c r="O38" s="371"/>
      <c r="P38" s="838">
        <f>ROUND(SUM(P13,P37),1)</f>
        <v>0</v>
      </c>
      <c r="Q38" s="371"/>
      <c r="R38" s="838">
        <f>ROUND(SUM(R13,R37),1)</f>
        <v>0</v>
      </c>
      <c r="S38" s="839"/>
      <c r="T38" s="838">
        <f>ROUND(SUM(T13,T37),1)</f>
        <v>0</v>
      </c>
      <c r="U38" s="839"/>
      <c r="V38" s="838">
        <f>ROUND(SUM(V13,V37),1)</f>
        <v>0</v>
      </c>
      <c r="W38" s="839"/>
      <c r="X38" s="3171">
        <f>ROUND(SUM(X13,X37),1)</f>
        <v>0</v>
      </c>
      <c r="Y38" s="1610"/>
      <c r="Z38" s="1611"/>
      <c r="AA38" s="3617">
        <f>ROUND(SUM(AA13,AA37),1)</f>
        <v>47.9</v>
      </c>
      <c r="AB38" s="1614"/>
      <c r="AC38" s="3618"/>
      <c r="AD38" s="3201">
        <f>ROUND(SUM(AD13,AD37),1)</f>
        <v>40.5</v>
      </c>
      <c r="AE38" s="1614"/>
      <c r="AF38" s="2147"/>
      <c r="AG38" s="3201">
        <f>ROUND(SUM(AA38-AD38),1)</f>
        <v>7.4</v>
      </c>
      <c r="AH38" s="1127"/>
      <c r="AI38" s="1146">
        <f>ROUND(IF(AG38=0,0,AG38/ABS(AD38)),3)</f>
        <v>0.183</v>
      </c>
    </row>
    <row r="39" spans="1:35" s="384" customFormat="1" ht="19.350000000000001" customHeight="1" thickTop="1">
      <c r="A39" s="143" t="s">
        <v>14</v>
      </c>
      <c r="B39" s="840"/>
      <c r="C39" s="841"/>
      <c r="D39" s="840"/>
      <c r="E39" s="841"/>
      <c r="F39" s="3172"/>
      <c r="G39" s="841"/>
      <c r="H39" s="840"/>
      <c r="I39" s="841"/>
      <c r="J39" s="840"/>
      <c r="K39" s="841"/>
      <c r="L39" s="840"/>
      <c r="M39" s="841"/>
      <c r="N39" s="840"/>
      <c r="O39" s="841"/>
      <c r="P39" s="840"/>
      <c r="Q39" s="841"/>
      <c r="R39" s="840"/>
      <c r="S39" s="841"/>
      <c r="T39" s="840"/>
      <c r="U39" s="841"/>
      <c r="V39" s="840"/>
      <c r="W39" s="841"/>
      <c r="X39" s="3172"/>
      <c r="Y39" s="3174"/>
      <c r="Z39" s="3174"/>
      <c r="AA39" s="3193"/>
      <c r="AB39" s="3194"/>
      <c r="AC39" s="3194"/>
      <c r="AD39" s="3194"/>
      <c r="AE39" s="3194"/>
      <c r="AF39" s="3194"/>
      <c r="AG39" s="3131"/>
      <c r="AH39" s="1110"/>
      <c r="AI39" s="1109"/>
    </row>
    <row r="40" spans="1:35" s="384" customFormat="1" ht="19.350000000000001" customHeight="1">
      <c r="B40" s="54"/>
      <c r="C40" s="159"/>
      <c r="D40" s="54"/>
      <c r="E40" s="54"/>
      <c r="F40" s="54"/>
      <c r="G40" s="54"/>
      <c r="H40" s="54"/>
      <c r="I40" s="54"/>
      <c r="J40" s="54"/>
      <c r="K40" s="54"/>
      <c r="L40" s="54"/>
      <c r="M40" s="54"/>
      <c r="N40" s="54"/>
      <c r="O40" s="54"/>
      <c r="P40" s="54"/>
      <c r="Q40" s="54"/>
      <c r="R40" s="54"/>
      <c r="S40" s="54"/>
      <c r="T40" s="54"/>
      <c r="U40" s="54"/>
      <c r="V40" s="54"/>
      <c r="W40" s="54"/>
      <c r="X40" s="111"/>
      <c r="Y40" s="111"/>
      <c r="Z40" s="111"/>
      <c r="AA40" s="111"/>
      <c r="AB40" s="111"/>
      <c r="AC40" s="111"/>
      <c r="AD40" s="111"/>
      <c r="AE40" s="111"/>
      <c r="AF40" s="111"/>
      <c r="AG40" s="3202"/>
      <c r="AH40" s="388"/>
    </row>
    <row r="41" spans="1:35" ht="15.75" customHeight="1">
      <c r="A41" s="387"/>
      <c r="B41" s="159"/>
      <c r="C41" s="159"/>
      <c r="D41" s="159"/>
      <c r="E41" s="159"/>
      <c r="F41" s="159"/>
      <c r="G41" s="159"/>
      <c r="H41" s="159"/>
      <c r="I41" s="159"/>
      <c r="J41" s="159"/>
      <c r="K41" s="159"/>
      <c r="L41" s="159"/>
      <c r="M41" s="159"/>
      <c r="N41" s="159"/>
      <c r="O41" s="159"/>
      <c r="P41" s="159"/>
      <c r="Q41" s="159"/>
      <c r="R41" s="159"/>
      <c r="S41" s="159"/>
      <c r="T41" s="159"/>
      <c r="U41" s="159"/>
      <c r="V41" s="159"/>
      <c r="W41" s="159"/>
      <c r="X41" s="134"/>
      <c r="Y41" s="134"/>
      <c r="Z41" s="134"/>
      <c r="AA41" s="134"/>
      <c r="AB41" s="134"/>
      <c r="AC41" s="134"/>
      <c r="AD41" s="134"/>
      <c r="AE41" s="134"/>
      <c r="AF41" s="134"/>
      <c r="AG41" s="3203"/>
    </row>
    <row r="42" spans="1:35" ht="15">
      <c r="A42" s="384"/>
    </row>
    <row r="43" spans="1:35" ht="13.5" customHeight="1">
      <c r="A43" s="669"/>
      <c r="B43" s="159"/>
      <c r="C43" s="159"/>
      <c r="D43" s="159"/>
      <c r="E43" s="159"/>
      <c r="F43" s="159"/>
      <c r="G43" s="159"/>
      <c r="H43" s="159"/>
      <c r="I43" s="159"/>
      <c r="J43" s="159"/>
      <c r="K43" s="159"/>
      <c r="L43" s="159"/>
      <c r="M43" s="159"/>
      <c r="N43" s="159"/>
      <c r="O43" s="159"/>
      <c r="P43" s="159"/>
      <c r="Q43" s="159"/>
      <c r="R43" s="159"/>
      <c r="S43" s="159"/>
      <c r="T43" s="159"/>
      <c r="U43" s="159"/>
      <c r="V43" s="159"/>
      <c r="W43" s="159"/>
      <c r="X43" s="134"/>
      <c r="Y43" s="134"/>
      <c r="Z43" s="134"/>
      <c r="AA43" s="134"/>
      <c r="AB43" s="134"/>
      <c r="AC43" s="134"/>
      <c r="AD43" s="134"/>
      <c r="AE43" s="134"/>
      <c r="AF43" s="134"/>
      <c r="AG43" s="3203"/>
    </row>
    <row r="44" spans="1:35" ht="15">
      <c r="A44" s="28"/>
      <c r="B44" s="159"/>
      <c r="C44" s="159"/>
      <c r="D44" s="159"/>
      <c r="E44" s="159"/>
      <c r="F44" s="159"/>
      <c r="G44" s="159"/>
      <c r="H44" s="159"/>
      <c r="I44" s="159"/>
      <c r="J44" s="159"/>
      <c r="K44" s="159"/>
      <c r="L44" s="159"/>
      <c r="M44" s="159"/>
      <c r="N44" s="159"/>
      <c r="O44" s="159"/>
      <c r="P44" s="159"/>
      <c r="Q44" s="159"/>
      <c r="R44" s="159"/>
      <c r="S44" s="159"/>
      <c r="T44" s="159"/>
      <c r="U44" s="159"/>
      <c r="V44" s="159"/>
      <c r="W44" s="159"/>
      <c r="X44" s="134"/>
      <c r="Y44" s="134"/>
      <c r="Z44" s="134"/>
      <c r="AA44" s="134"/>
      <c r="AB44" s="134"/>
      <c r="AC44" s="134"/>
      <c r="AD44" s="134"/>
      <c r="AE44" s="134"/>
      <c r="AF44" s="134"/>
      <c r="AG44" s="3203"/>
    </row>
    <row r="45" spans="1:35" ht="15">
      <c r="A45" s="28"/>
      <c r="B45" s="159"/>
      <c r="C45" s="159"/>
      <c r="D45" s="159"/>
      <c r="E45" s="159"/>
      <c r="F45" s="159"/>
      <c r="G45" s="159"/>
      <c r="H45" s="159"/>
      <c r="I45" s="159"/>
      <c r="J45" s="159"/>
      <c r="K45" s="159"/>
      <c r="L45" s="159"/>
      <c r="M45" s="159"/>
      <c r="N45" s="159"/>
      <c r="O45" s="159"/>
      <c r="P45" s="159"/>
      <c r="Q45" s="159"/>
      <c r="R45" s="159"/>
      <c r="S45" s="159"/>
      <c r="T45" s="159"/>
      <c r="U45" s="159"/>
      <c r="V45" s="159"/>
      <c r="W45" s="159"/>
      <c r="X45" s="134"/>
      <c r="Y45" s="134"/>
      <c r="Z45" s="134"/>
      <c r="AA45" s="134"/>
      <c r="AB45" s="134"/>
      <c r="AC45" s="134"/>
      <c r="AD45" s="134"/>
      <c r="AE45" s="134"/>
      <c r="AF45" s="134"/>
    </row>
    <row r="46" spans="1:35" ht="15">
      <c r="A46" s="28"/>
      <c r="B46" s="159"/>
      <c r="C46" s="159"/>
      <c r="D46" s="159"/>
      <c r="E46" s="159"/>
      <c r="F46" s="159"/>
      <c r="G46" s="159"/>
      <c r="H46" s="159"/>
      <c r="I46" s="159"/>
      <c r="J46" s="159"/>
      <c r="K46" s="159"/>
      <c r="L46" s="159"/>
      <c r="M46" s="159"/>
      <c r="N46" s="159"/>
      <c r="O46" s="159"/>
      <c r="P46" s="159"/>
      <c r="Q46" s="159"/>
      <c r="R46" s="159"/>
      <c r="S46" s="159"/>
      <c r="T46" s="159"/>
      <c r="U46" s="159"/>
      <c r="V46" s="159"/>
      <c r="W46" s="159"/>
      <c r="X46" s="134"/>
      <c r="Y46" s="134"/>
      <c r="Z46" s="134"/>
      <c r="AA46" s="134"/>
      <c r="AB46" s="134"/>
      <c r="AC46" s="134"/>
      <c r="AD46" s="134"/>
      <c r="AE46" s="134"/>
      <c r="AF46" s="134"/>
    </row>
    <row r="47" spans="1:35" ht="15">
      <c r="A47" s="28"/>
      <c r="B47" s="28"/>
      <c r="C47" s="28"/>
      <c r="D47" s="28"/>
      <c r="E47" s="28"/>
      <c r="F47" s="28"/>
      <c r="G47" s="28"/>
      <c r="H47" s="28"/>
      <c r="I47" s="28"/>
      <c r="J47" s="28"/>
      <c r="K47" s="28"/>
      <c r="L47" s="28"/>
      <c r="M47" s="28"/>
      <c r="N47" s="28"/>
      <c r="O47" s="28"/>
      <c r="P47" s="28"/>
      <c r="Q47" s="28"/>
      <c r="R47" s="28"/>
      <c r="S47" s="28"/>
      <c r="T47" s="28"/>
      <c r="U47" s="28"/>
      <c r="V47" s="28"/>
      <c r="W47" s="28"/>
      <c r="X47" s="101"/>
      <c r="Y47" s="101"/>
      <c r="Z47" s="101"/>
      <c r="AA47" s="101"/>
      <c r="AB47" s="101"/>
      <c r="AC47" s="101"/>
      <c r="AD47" s="101"/>
      <c r="AE47" s="101"/>
      <c r="AF47" s="101"/>
    </row>
  </sheetData>
  <mergeCells count="2">
    <mergeCell ref="AC9:AI9"/>
    <mergeCell ref="AA10:AI10"/>
  </mergeCells>
  <pageMargins left="0.25" right="0.25" top="0.5" bottom="0.25" header="0" footer="0.25"/>
  <pageSetup scale="43" firstPageNumber="37" fitToHeight="0" orientation="landscape" useFirstPageNumber="1" r:id="rId1"/>
  <headerFooter scaleWithDoc="0" alignWithMargins="0">
    <oddFooter>&amp;C&amp;8&amp;P</oddFooter>
  </headerFooter>
  <ignoredErrors>
    <ignoredError sqref="AI2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69"/>
  <sheetViews>
    <sheetView showGridLines="0" zoomScale="90" zoomScaleNormal="70" workbookViewId="0"/>
  </sheetViews>
  <sheetFormatPr defaultColWidth="8.6640625" defaultRowHeight="11.25"/>
  <cols>
    <col min="1" max="1" width="38.44140625" style="2172" customWidth="1"/>
    <col min="2" max="2" width="6.6640625" style="2172" customWidth="1"/>
    <col min="3" max="3" width="4.109375" style="2172" customWidth="1"/>
    <col min="4" max="4" width="14" style="2172" customWidth="1"/>
    <col min="5" max="5" width="1.109375" style="2172" customWidth="1"/>
    <col min="6" max="6" width="13.44140625" style="2172" customWidth="1"/>
    <col min="7" max="7" width="1.109375" style="2172" customWidth="1"/>
    <col min="8" max="8" width="13.44140625" style="2173" customWidth="1"/>
    <col min="9" max="9" width="1.6640625" style="2172" customWidth="1"/>
    <col min="10" max="10" width="13.44140625" style="2172" customWidth="1"/>
    <col min="11" max="11" width="1.109375" style="2172" customWidth="1"/>
    <col min="12" max="12" width="11.6640625" style="2172" customWidth="1"/>
    <col min="13" max="13" width="1.109375" style="2172" customWidth="1"/>
    <col min="14" max="14" width="13.5546875" style="2172" customWidth="1"/>
    <col min="15" max="15" width="1.109375" style="2172" customWidth="1"/>
    <col min="16" max="16" width="0.6640625" style="2172" customWidth="1"/>
    <col min="17" max="17" width="1.109375" style="2172" customWidth="1"/>
    <col min="18" max="18" width="14.44140625" style="2172" customWidth="1"/>
    <col min="19" max="19" width="1.109375" style="2172" customWidth="1"/>
    <col min="20" max="20" width="14.44140625" style="2174" customWidth="1"/>
    <col min="21" max="21" width="1.109375" style="2174" customWidth="1"/>
    <col min="22" max="22" width="0.6640625" style="2174" customWidth="1"/>
    <col min="23" max="24" width="1.109375" style="2174" customWidth="1"/>
    <col min="25" max="25" width="12.6640625" style="2174" customWidth="1"/>
    <col min="26" max="26" width="1.109375" style="2174" customWidth="1"/>
    <col min="27" max="27" width="14.44140625" style="2174" customWidth="1"/>
    <col min="28" max="28" width="1.6640625" style="2174" customWidth="1"/>
    <col min="29" max="29" width="1.109375" style="2273" customWidth="1"/>
    <col min="30" max="30" width="13.109375" style="2174" customWidth="1"/>
    <col min="31" max="31" width="3" style="2174" customWidth="1"/>
    <col min="32" max="32" width="12" style="2174" customWidth="1"/>
    <col min="33" max="16384" width="8.6640625" style="2174"/>
  </cols>
  <sheetData>
    <row r="1" spans="1:33" ht="15">
      <c r="A1" s="2171" t="s">
        <v>870</v>
      </c>
    </row>
    <row r="2" spans="1:33" ht="15" customHeight="1">
      <c r="A2" s="2171"/>
    </row>
    <row r="3" spans="1:33" ht="21" customHeight="1">
      <c r="A3" s="3934" t="s">
        <v>0</v>
      </c>
      <c r="B3" s="3935"/>
      <c r="C3" s="3935"/>
      <c r="D3" s="3935"/>
      <c r="E3" s="3935"/>
      <c r="F3" s="3935"/>
      <c r="G3" s="3935"/>
      <c r="H3" s="3935"/>
      <c r="I3" s="3935"/>
      <c r="J3" s="3935"/>
      <c r="K3" s="3935"/>
      <c r="L3" s="3935"/>
      <c r="M3" s="3935"/>
      <c r="N3" s="3935"/>
      <c r="O3" s="3935"/>
      <c r="P3" s="3935"/>
      <c r="Q3" s="3935"/>
      <c r="R3" s="3935"/>
      <c r="S3" s="3935"/>
      <c r="T3" s="3935"/>
      <c r="U3" s="3935"/>
      <c r="V3" s="3935"/>
      <c r="W3" s="3935"/>
      <c r="X3" s="3935"/>
      <c r="Y3" s="3935"/>
      <c r="Z3" s="3935"/>
      <c r="AA3" s="3935"/>
      <c r="AB3" s="3935"/>
      <c r="AC3" s="2274"/>
      <c r="AF3" s="2178" t="s">
        <v>53</v>
      </c>
    </row>
    <row r="4" spans="1:33" ht="20.25">
      <c r="A4" s="3936" t="s">
        <v>1062</v>
      </c>
      <c r="B4" s="3935"/>
      <c r="C4" s="3935"/>
      <c r="D4" s="3935"/>
      <c r="E4" s="3935"/>
      <c r="F4" s="3935"/>
      <c r="G4" s="3935"/>
      <c r="H4" s="3935"/>
      <c r="I4" s="3935"/>
      <c r="J4" s="3935"/>
      <c r="K4" s="3935"/>
      <c r="L4" s="3935"/>
      <c r="M4" s="3935"/>
      <c r="N4" s="3935"/>
      <c r="O4" s="3935"/>
      <c r="P4" s="3935"/>
      <c r="Q4" s="3935"/>
      <c r="R4" s="3935"/>
      <c r="S4" s="3935"/>
      <c r="T4" s="3935"/>
      <c r="U4" s="3935"/>
      <c r="V4" s="3935"/>
      <c r="W4" s="3935"/>
      <c r="X4" s="3935"/>
      <c r="Y4" s="3935"/>
      <c r="Z4" s="3935"/>
      <c r="AA4" s="3935"/>
      <c r="AB4" s="3935"/>
      <c r="AC4" s="2274"/>
      <c r="AF4" s="2178" t="s">
        <v>54</v>
      </c>
    </row>
    <row r="5" spans="1:33" ht="21" customHeight="1">
      <c r="A5" s="3936" t="s">
        <v>781</v>
      </c>
      <c r="B5" s="3935"/>
      <c r="C5" s="3935"/>
      <c r="D5" s="3935"/>
      <c r="E5" s="3935"/>
      <c r="F5" s="3935"/>
      <c r="G5" s="3935"/>
      <c r="H5" s="3935"/>
      <c r="I5" s="3935"/>
      <c r="J5" s="3935"/>
      <c r="K5" s="3935"/>
      <c r="L5" s="3935"/>
      <c r="M5" s="3935"/>
      <c r="N5" s="3935"/>
      <c r="O5" s="3935"/>
      <c r="P5" s="3935"/>
      <c r="Q5" s="3935"/>
      <c r="R5" s="3935"/>
      <c r="S5" s="3935"/>
      <c r="T5" s="3935"/>
      <c r="U5" s="3935"/>
      <c r="V5" s="3935"/>
      <c r="W5" s="3935"/>
      <c r="X5" s="3935"/>
      <c r="Y5" s="3935"/>
      <c r="Z5" s="3935"/>
      <c r="AA5" s="3935"/>
      <c r="AB5" s="3935"/>
      <c r="AC5" s="2274"/>
    </row>
    <row r="6" spans="1:33" ht="21" customHeight="1">
      <c r="A6" s="2275" t="s">
        <v>1250</v>
      </c>
      <c r="B6" s="2276"/>
      <c r="C6" s="2276"/>
      <c r="D6" s="2276"/>
      <c r="E6" s="2276"/>
      <c r="F6" s="2276"/>
      <c r="G6" s="2276"/>
      <c r="H6" s="2276"/>
      <c r="I6" s="2276"/>
      <c r="J6" s="2276"/>
      <c r="K6" s="2276"/>
      <c r="L6" s="2276"/>
      <c r="M6" s="2276"/>
      <c r="N6" s="2276"/>
      <c r="O6" s="2276"/>
      <c r="P6" s="2276"/>
      <c r="Q6" s="2276"/>
      <c r="R6" s="2276"/>
      <c r="S6" s="2276"/>
      <c r="T6" s="3915"/>
      <c r="U6" s="2276"/>
      <c r="V6" s="2276"/>
      <c r="W6" s="2276"/>
      <c r="X6" s="2276"/>
      <c r="Y6" s="3755"/>
      <c r="Z6" s="3755"/>
      <c r="AA6" s="3755"/>
      <c r="AB6" s="2276"/>
      <c r="AC6" s="2274"/>
    </row>
    <row r="7" spans="1:33" ht="15.75" customHeight="1">
      <c r="A7" s="3936"/>
      <c r="B7" s="3935"/>
      <c r="C7" s="3935"/>
      <c r="D7" s="3935"/>
      <c r="E7" s="3935"/>
      <c r="F7" s="3935"/>
      <c r="G7" s="3935"/>
      <c r="H7" s="3935"/>
      <c r="I7" s="3935"/>
      <c r="J7" s="3935"/>
      <c r="K7" s="3935"/>
      <c r="L7" s="3935"/>
      <c r="M7" s="3935"/>
      <c r="N7" s="3935"/>
      <c r="O7" s="3935"/>
      <c r="P7" s="3935"/>
      <c r="Q7" s="3935"/>
      <c r="R7" s="3935"/>
      <c r="S7" s="3935"/>
      <c r="T7" s="3935"/>
      <c r="U7" s="3935"/>
      <c r="V7" s="3935"/>
      <c r="W7" s="3935"/>
      <c r="X7" s="3935"/>
      <c r="Y7" s="3935"/>
      <c r="Z7" s="3935"/>
      <c r="AA7" s="3935"/>
      <c r="AB7" s="3935"/>
      <c r="AC7" s="2274"/>
    </row>
    <row r="8" spans="1:33" ht="15.75" customHeight="1">
      <c r="A8" s="1"/>
      <c r="B8" s="1"/>
      <c r="C8" s="1"/>
      <c r="D8" s="1"/>
      <c r="E8" s="1"/>
      <c r="F8" s="1"/>
      <c r="G8" s="1"/>
      <c r="H8" s="2181"/>
      <c r="I8" s="2"/>
      <c r="J8" s="2"/>
      <c r="K8" s="2"/>
      <c r="L8" s="2"/>
      <c r="M8" s="1"/>
      <c r="N8" s="2"/>
      <c r="O8" s="2"/>
      <c r="P8" s="2"/>
      <c r="Q8" s="2"/>
      <c r="R8" s="2"/>
      <c r="S8" s="2"/>
      <c r="T8" s="2277"/>
      <c r="U8" s="2277"/>
      <c r="V8" s="2277"/>
      <c r="W8" s="2277"/>
      <c r="X8" s="2277"/>
      <c r="Y8" s="2278"/>
      <c r="Z8" s="2278"/>
      <c r="AA8" s="2178"/>
      <c r="AB8" s="2278"/>
      <c r="AC8" s="2279"/>
    </row>
    <row r="9" spans="1:33" ht="15.75" customHeight="1">
      <c r="A9" s="1"/>
      <c r="B9" s="1"/>
      <c r="C9" s="1"/>
      <c r="D9" s="1"/>
      <c r="E9" s="1"/>
      <c r="F9" s="1"/>
      <c r="G9" s="1"/>
      <c r="H9" s="2181"/>
      <c r="I9" s="2"/>
      <c r="J9" s="2"/>
      <c r="K9" s="2"/>
      <c r="L9" s="2"/>
      <c r="M9" s="1"/>
      <c r="N9" s="2"/>
      <c r="O9" s="2280"/>
      <c r="P9" s="2280"/>
      <c r="Q9" s="2280"/>
      <c r="R9" s="2280"/>
      <c r="S9" s="2237"/>
      <c r="T9" s="2273"/>
      <c r="U9" s="2273"/>
      <c r="V9" s="2273"/>
      <c r="W9" s="2273"/>
      <c r="X9" s="2281"/>
      <c r="Y9" s="2278"/>
      <c r="Z9" s="2278"/>
      <c r="AA9" s="2178"/>
      <c r="AB9" s="2278"/>
      <c r="AC9" s="2279"/>
    </row>
    <row r="10" spans="1:33" ht="16.350000000000001" customHeight="1">
      <c r="A10" s="1"/>
      <c r="B10" s="1"/>
      <c r="C10" s="2186"/>
      <c r="D10" s="3931"/>
      <c r="E10" s="3932"/>
      <c r="F10" s="3932"/>
      <c r="G10" s="3932"/>
      <c r="H10" s="3932"/>
      <c r="I10" s="3932"/>
      <c r="J10" s="3932"/>
      <c r="K10" s="3932"/>
      <c r="L10" s="3932"/>
      <c r="M10" s="3932"/>
      <c r="N10" s="3932"/>
      <c r="O10" s="2281"/>
      <c r="P10" s="2282"/>
      <c r="Q10" s="2281"/>
      <c r="R10" s="3930"/>
      <c r="S10" s="3930"/>
      <c r="T10" s="3930"/>
      <c r="U10" s="3930"/>
      <c r="V10" s="3930"/>
      <c r="W10" s="3930"/>
      <c r="X10" s="3930"/>
      <c r="Y10" s="3930"/>
      <c r="Z10" s="3930"/>
      <c r="AA10" s="3930"/>
      <c r="AB10" s="3930"/>
      <c r="AC10" s="2283"/>
      <c r="AD10" s="2273"/>
      <c r="AE10" s="2273"/>
      <c r="AF10" s="2273"/>
      <c r="AG10" s="2273"/>
    </row>
    <row r="11" spans="1:33" ht="16.350000000000001" customHeight="1">
      <c r="A11" s="2197"/>
      <c r="B11" s="596"/>
      <c r="C11" s="596"/>
      <c r="D11" s="3" t="s">
        <v>2</v>
      </c>
      <c r="E11" s="3"/>
      <c r="F11" s="3"/>
      <c r="G11" s="2191"/>
      <c r="H11" s="2284" t="s">
        <v>1044</v>
      </c>
      <c r="I11" s="3"/>
      <c r="J11" s="3"/>
      <c r="K11" s="2237"/>
      <c r="L11" s="3933" t="s">
        <v>4</v>
      </c>
      <c r="M11" s="3933"/>
      <c r="N11" s="3933"/>
      <c r="O11" s="5"/>
      <c r="P11" s="2193"/>
      <c r="Q11" s="2193"/>
      <c r="R11" s="2285" t="s">
        <v>1351</v>
      </c>
      <c r="S11" s="2285"/>
      <c r="T11" s="2285"/>
      <c r="U11" s="2285"/>
      <c r="V11" s="2285"/>
      <c r="W11" s="2285"/>
      <c r="X11" s="2285"/>
      <c r="Y11" s="2285"/>
      <c r="Z11" s="2285"/>
      <c r="AA11" s="2285"/>
      <c r="AB11" s="2285"/>
      <c r="AC11" s="2286"/>
      <c r="AD11" s="2287"/>
      <c r="AE11" s="2287"/>
      <c r="AF11" s="2287"/>
    </row>
    <row r="12" spans="1:33" ht="15.75" customHeight="1">
      <c r="A12" s="2190"/>
      <c r="B12" s="2190"/>
      <c r="C12" s="7"/>
      <c r="D12" s="5" t="s">
        <v>6</v>
      </c>
      <c r="E12" s="5"/>
      <c r="F12" s="4" t="str">
        <f>'Exhibit A'!F11</f>
        <v>2 MOS. ENDED</v>
      </c>
      <c r="G12" s="2185"/>
      <c r="H12" s="5" t="s">
        <v>6</v>
      </c>
      <c r="I12" s="5"/>
      <c r="J12" s="5" t="str">
        <f>F12</f>
        <v>2 MOS. ENDED</v>
      </c>
      <c r="K12" s="2185"/>
      <c r="L12" s="5" t="s">
        <v>6</v>
      </c>
      <c r="M12" s="5"/>
      <c r="N12" s="5" t="str">
        <f>F12</f>
        <v>2 MOS. ENDED</v>
      </c>
      <c r="O12" s="5"/>
      <c r="P12" s="2288"/>
      <c r="Q12" s="5"/>
      <c r="R12" s="5" t="s">
        <v>6</v>
      </c>
      <c r="S12" s="5"/>
      <c r="T12" s="3914" t="str">
        <f>F12</f>
        <v>2 MOS. ENDED</v>
      </c>
      <c r="U12" s="2193"/>
      <c r="V12" s="2193"/>
      <c r="W12" s="2193"/>
      <c r="X12" s="2193"/>
      <c r="Y12" s="3754" t="s">
        <v>6</v>
      </c>
      <c r="Z12" s="3754"/>
      <c r="AA12" s="3754" t="str">
        <f>'Exhibit A'!AD11</f>
        <v>2 MOS. ENDED</v>
      </c>
      <c r="AB12" s="2193"/>
      <c r="AC12" s="2289"/>
      <c r="AD12" s="2193" t="s">
        <v>7</v>
      </c>
      <c r="AE12" s="2194"/>
      <c r="AF12" s="5" t="s">
        <v>8</v>
      </c>
    </row>
    <row r="13" spans="1:33" ht="16.350000000000001" customHeight="1">
      <c r="A13" s="2190"/>
      <c r="B13" s="2190"/>
      <c r="C13" s="2190"/>
      <c r="D13" s="881" t="str">
        <f>'Exhibit A'!D12</f>
        <v>MAY 2022</v>
      </c>
      <c r="E13" s="2185"/>
      <c r="F13" s="881" t="str">
        <f>'Exhibit A'!F12</f>
        <v>MAY 31, 2022</v>
      </c>
      <c r="G13" s="2185"/>
      <c r="H13" s="6" t="str">
        <f>D13</f>
        <v>MAY 2022</v>
      </c>
      <c r="I13" s="2185"/>
      <c r="J13" s="6" t="str">
        <f>F13</f>
        <v>MAY 31, 2022</v>
      </c>
      <c r="K13" s="2185"/>
      <c r="L13" s="6" t="str">
        <f>D13</f>
        <v>MAY 2022</v>
      </c>
      <c r="M13" s="2185"/>
      <c r="N13" s="6" t="str">
        <f>F13</f>
        <v>MAY 31, 2022</v>
      </c>
      <c r="O13" s="5"/>
      <c r="P13" s="2288"/>
      <c r="Q13" s="5"/>
      <c r="R13" s="6" t="str">
        <f>D13</f>
        <v>MAY 2022</v>
      </c>
      <c r="S13" s="2185"/>
      <c r="T13" s="2291" t="str">
        <f>F13</f>
        <v>MAY 31, 2022</v>
      </c>
      <c r="U13" s="2193"/>
      <c r="V13" s="2193"/>
      <c r="W13" s="2193"/>
      <c r="X13" s="2290"/>
      <c r="Y13" s="3314" t="str">
        <f>'Exhibit A'!AB12</f>
        <v>MAY 2021</v>
      </c>
      <c r="Z13" s="2290"/>
      <c r="AA13" s="3314" t="str">
        <f>'Exhibit A'!AD12</f>
        <v>MAY 31, 2021</v>
      </c>
      <c r="AB13" s="2290"/>
      <c r="AC13" s="2289"/>
      <c r="AD13" s="2291" t="s">
        <v>11</v>
      </c>
      <c r="AE13" s="2171"/>
      <c r="AF13" s="881" t="s">
        <v>12</v>
      </c>
    </row>
    <row r="14" spans="1:33" ht="16.350000000000001" customHeight="1">
      <c r="A14" s="2189" t="s">
        <v>13</v>
      </c>
      <c r="B14" s="2190"/>
      <c r="C14" s="2190"/>
      <c r="D14" s="2292" t="s">
        <v>14</v>
      </c>
      <c r="E14" s="2190"/>
      <c r="F14" s="7"/>
      <c r="G14" s="2190"/>
      <c r="H14" s="596" t="s">
        <v>14</v>
      </c>
      <c r="I14" s="2190"/>
      <c r="J14" s="7"/>
      <c r="K14" s="2190"/>
      <c r="L14" s="596" t="s">
        <v>14</v>
      </c>
      <c r="M14" s="2190"/>
      <c r="N14" s="7"/>
      <c r="O14" s="7"/>
      <c r="P14" s="2293"/>
      <c r="Q14" s="2294"/>
      <c r="R14" s="7"/>
      <c r="S14" s="7"/>
      <c r="T14" s="2200"/>
      <c r="U14" s="2200"/>
      <c r="V14" s="2200"/>
      <c r="W14" s="2295"/>
      <c r="X14" s="2200"/>
      <c r="Y14" s="2200"/>
      <c r="Z14" s="2235"/>
      <c r="AA14" s="2200"/>
      <c r="AB14" s="2200"/>
      <c r="AC14" s="2296"/>
      <c r="AD14" s="2200"/>
      <c r="AE14" s="2172"/>
      <c r="AF14" s="1397"/>
    </row>
    <row r="15" spans="1:33" ht="18" customHeight="1">
      <c r="A15" s="2190" t="s">
        <v>15</v>
      </c>
      <c r="B15" s="2223"/>
      <c r="C15" s="2190"/>
      <c r="D15" s="1335">
        <f>+'Exhibit A'!D14</f>
        <v>1362.1</v>
      </c>
      <c r="E15" s="637" t="s">
        <v>14</v>
      </c>
      <c r="F15" s="637">
        <f>+'Exhibit A'!F14</f>
        <v>8722.9</v>
      </c>
      <c r="G15" s="637"/>
      <c r="H15" s="3849">
        <f>+'Exhibit G State'!F17</f>
        <v>0</v>
      </c>
      <c r="I15" s="2298"/>
      <c r="J15" s="3850">
        <f>'Exhibit G State'!AD17</f>
        <v>0</v>
      </c>
      <c r="K15" s="2298"/>
      <c r="L15" s="3851">
        <f>+'Exhibit A'!L14</f>
        <v>1362.0999999999995</v>
      </c>
      <c r="M15" s="2298"/>
      <c r="N15" s="2298">
        <f>+'Exhibit A'!N14</f>
        <v>8722.9</v>
      </c>
      <c r="O15" s="3852"/>
      <c r="P15" s="2297"/>
      <c r="Q15" s="3853"/>
      <c r="R15" s="2298">
        <f t="shared" ref="R15:R20" si="0">ROUND(SUM(D15+H15+L15),1)</f>
        <v>2724.2</v>
      </c>
      <c r="S15" s="2298"/>
      <c r="T15" s="3913">
        <f t="shared" ref="T15:T20" si="1">ROUND(SUM(F15+J15+N15),1)</f>
        <v>17445.8</v>
      </c>
      <c r="U15" s="2298"/>
      <c r="V15" s="2298"/>
      <c r="W15" s="2299"/>
      <c r="X15" s="2298"/>
      <c r="Y15" s="2298">
        <v>9833</v>
      </c>
      <c r="Z15" s="2298" t="s">
        <v>14</v>
      </c>
      <c r="AA15" s="2298">
        <f>'Exhibit F'!AF26+'Exhibit G State'!AG17+'Exhibit H'!AD16</f>
        <v>16358.8</v>
      </c>
      <c r="AB15" s="2300"/>
      <c r="AC15" s="2301"/>
      <c r="AD15" s="2298">
        <f t="shared" ref="AD15:AD20" si="2">ROUND(SUM(T15-AA15),1)</f>
        <v>1087</v>
      </c>
      <c r="AE15" s="2210"/>
      <c r="AF15" s="1394">
        <f>ROUND(+AD15/AA15,3)</f>
        <v>6.6000000000000003E-2</v>
      </c>
    </row>
    <row r="16" spans="1:33" ht="18" customHeight="1">
      <c r="A16" s="2190" t="s">
        <v>16</v>
      </c>
      <c r="B16" s="2212" t="s">
        <v>14</v>
      </c>
      <c r="C16" s="2190"/>
      <c r="D16" s="598">
        <f>+'Exhibit A'!D15</f>
        <v>374</v>
      </c>
      <c r="E16" s="9"/>
      <c r="F16" s="9">
        <f>+'Exhibit A'!F15</f>
        <v>744.2</v>
      </c>
      <c r="G16" s="9"/>
      <c r="H16" s="2518">
        <f>+'Exhibit G State'!F28</f>
        <v>148</v>
      </c>
      <c r="I16" s="19"/>
      <c r="J16" s="3854">
        <f>'Exhibit G State'!AD28</f>
        <v>349.6</v>
      </c>
      <c r="K16" s="19"/>
      <c r="L16" s="602">
        <f>+'Exhibit A'!L15</f>
        <v>982.2</v>
      </c>
      <c r="M16" s="19"/>
      <c r="N16" s="19">
        <f>+'Exhibit A'!N15</f>
        <v>1913.8</v>
      </c>
      <c r="O16" s="1393"/>
      <c r="P16" s="2302"/>
      <c r="Q16" s="2316"/>
      <c r="R16" s="19">
        <f t="shared" si="0"/>
        <v>1504.2</v>
      </c>
      <c r="S16" s="19"/>
      <c r="T16" s="3277">
        <f t="shared" si="1"/>
        <v>3007.6</v>
      </c>
      <c r="U16" s="19"/>
      <c r="V16" s="19"/>
      <c r="W16" s="2241"/>
      <c r="X16" s="19"/>
      <c r="Y16" s="19">
        <v>1369.6000000000001</v>
      </c>
      <c r="Z16" s="19" t="s">
        <v>14</v>
      </c>
      <c r="AA16" s="19">
        <f>'Exhibit F'!AF36+'Exhibit G State'!AG28+'Exhibit H'!AD20</f>
        <v>2803.8</v>
      </c>
      <c r="AB16" s="2200"/>
      <c r="AC16" s="2296"/>
      <c r="AD16" s="19">
        <f t="shared" si="2"/>
        <v>203.8</v>
      </c>
      <c r="AE16" s="2172"/>
      <c r="AF16" s="1394">
        <f t="shared" ref="AF16:AF21" si="3">ROUND(+AD16/AA16,3)</f>
        <v>7.2999999999999995E-2</v>
      </c>
    </row>
    <row r="17" spans="1:32" ht="18" customHeight="1">
      <c r="A17" s="2190" t="s">
        <v>17</v>
      </c>
      <c r="B17" s="2216"/>
      <c r="C17" s="2190"/>
      <c r="D17" s="598">
        <f>+'Exhibit A'!D16</f>
        <v>111.3</v>
      </c>
      <c r="E17" s="9"/>
      <c r="F17" s="9">
        <f>+'Exhibit A'!F16</f>
        <v>1271.0999999999999</v>
      </c>
      <c r="G17" s="9"/>
      <c r="H17" s="2518">
        <f>+'Exhibit G State'!F35</f>
        <v>87.2</v>
      </c>
      <c r="I17" s="19"/>
      <c r="J17" s="3854">
        <f>'Exhibit G State'!AD35</f>
        <v>378.1</v>
      </c>
      <c r="K17" s="19"/>
      <c r="L17" s="602">
        <f>+'Exhibit A'!L16</f>
        <v>-24.2</v>
      </c>
      <c r="M17" s="19"/>
      <c r="N17" s="19">
        <f>+'Exhibit A'!N16</f>
        <v>66.400000000000006</v>
      </c>
      <c r="O17" s="2305"/>
      <c r="P17" s="2303"/>
      <c r="Q17" s="3855"/>
      <c r="R17" s="19">
        <f t="shared" si="0"/>
        <v>174.3</v>
      </c>
      <c r="S17" s="19"/>
      <c r="T17" s="3277">
        <f t="shared" si="1"/>
        <v>1715.6</v>
      </c>
      <c r="U17" s="19"/>
      <c r="V17" s="19"/>
      <c r="W17" s="2304"/>
      <c r="X17" s="18"/>
      <c r="Y17" s="19">
        <v>184.1</v>
      </c>
      <c r="Z17" s="19" t="s">
        <v>14</v>
      </c>
      <c r="AA17" s="19">
        <f>'Exhibit F'!AF44+'Exhibit G State'!AG35</f>
        <v>1112.5999999999999</v>
      </c>
      <c r="AB17" s="2200"/>
      <c r="AC17" s="2296"/>
      <c r="AD17" s="19">
        <f t="shared" si="2"/>
        <v>603</v>
      </c>
      <c r="AE17" s="2172"/>
      <c r="AF17" s="1394">
        <f t="shared" si="3"/>
        <v>0.54200000000000004</v>
      </c>
    </row>
    <row r="18" spans="1:32" ht="18" customHeight="1">
      <c r="A18" s="2190" t="s">
        <v>18</v>
      </c>
      <c r="B18" s="2212" t="s">
        <v>14</v>
      </c>
      <c r="C18" s="2190"/>
      <c r="D18" s="598">
        <f>+'Exhibit A'!D17</f>
        <v>127.4</v>
      </c>
      <c r="E18" s="9"/>
      <c r="F18" s="9">
        <f>+'Exhibit A'!F17</f>
        <v>256.39999999999998</v>
      </c>
      <c r="G18" s="9"/>
      <c r="H18" s="2518">
        <v>0</v>
      </c>
      <c r="I18" s="19"/>
      <c r="J18" s="3854">
        <v>0</v>
      </c>
      <c r="K18" s="19"/>
      <c r="L18" s="602">
        <f>+'Exhibit A'!L17</f>
        <v>130.1</v>
      </c>
      <c r="M18" s="19"/>
      <c r="N18" s="19">
        <f>+'Exhibit A'!N17</f>
        <v>282.7</v>
      </c>
      <c r="O18" s="1393"/>
      <c r="P18" s="2302"/>
      <c r="Q18" s="2316"/>
      <c r="R18" s="19">
        <f t="shared" si="0"/>
        <v>257.5</v>
      </c>
      <c r="S18" s="19"/>
      <c r="T18" s="3277">
        <f t="shared" si="1"/>
        <v>539.1</v>
      </c>
      <c r="U18" s="19"/>
      <c r="V18" s="19"/>
      <c r="W18" s="2241"/>
      <c r="X18" s="19"/>
      <c r="Y18" s="19">
        <v>228.3</v>
      </c>
      <c r="Z18" s="19" t="s">
        <v>14</v>
      </c>
      <c r="AA18" s="19">
        <f>'Exhibit F'!AF52+'Exhibit H'!AD27</f>
        <v>447</v>
      </c>
      <c r="AB18" s="2200"/>
      <c r="AC18" s="2296"/>
      <c r="AD18" s="19">
        <f t="shared" si="2"/>
        <v>92.1</v>
      </c>
      <c r="AE18" s="2172"/>
      <c r="AF18" s="1394">
        <f t="shared" si="3"/>
        <v>0.20599999999999999</v>
      </c>
    </row>
    <row r="19" spans="1:32" ht="18" customHeight="1">
      <c r="A19" s="2190" t="s">
        <v>19</v>
      </c>
      <c r="B19" s="2212" t="s">
        <v>14</v>
      </c>
      <c r="C19" s="2190"/>
      <c r="D19" s="598">
        <f>+'Exhibit A'!D18</f>
        <v>101</v>
      </c>
      <c r="E19" s="598"/>
      <c r="F19" s="9">
        <f>+'Exhibit A'!F18</f>
        <v>298.89999999999998</v>
      </c>
      <c r="G19" s="9"/>
      <c r="H19" s="2518">
        <f>+'Exhibit G State'!F81</f>
        <v>1311.3</v>
      </c>
      <c r="I19" s="19"/>
      <c r="J19" s="3854">
        <f>'Exhibit G State'!AD81</f>
        <v>2772.8</v>
      </c>
      <c r="K19" s="19"/>
      <c r="L19" s="602">
        <f>+'Exhibit A'!L18</f>
        <v>25.9</v>
      </c>
      <c r="M19" s="19"/>
      <c r="N19" s="19">
        <f>+'Exhibit A'!N18</f>
        <v>84.5</v>
      </c>
      <c r="O19" s="1393"/>
      <c r="P19" s="2302"/>
      <c r="Q19" s="2316"/>
      <c r="R19" s="19">
        <f t="shared" si="0"/>
        <v>1438.2</v>
      </c>
      <c r="S19" s="19"/>
      <c r="T19" s="3277">
        <f t="shared" si="1"/>
        <v>3156.2</v>
      </c>
      <c r="U19" s="19"/>
      <c r="V19" s="19"/>
      <c r="W19" s="2241"/>
      <c r="X19" s="19"/>
      <c r="Y19" s="19">
        <v>1432.8</v>
      </c>
      <c r="Z19" s="19" t="s">
        <v>14</v>
      </c>
      <c r="AA19" s="19">
        <f>+'Exhibit F'!AF95+'Exhibit G State'!AG81+'Exhibit H'!AD50</f>
        <v>2967.7000000000003</v>
      </c>
      <c r="AB19" s="2200"/>
      <c r="AC19" s="2296"/>
      <c r="AD19" s="19">
        <f t="shared" si="2"/>
        <v>188.5</v>
      </c>
      <c r="AE19" s="2172"/>
      <c r="AF19" s="1394">
        <f t="shared" si="3"/>
        <v>6.4000000000000001E-2</v>
      </c>
    </row>
    <row r="20" spans="1:32" ht="18" customHeight="1">
      <c r="A20" s="2190" t="s">
        <v>20</v>
      </c>
      <c r="B20" s="2229"/>
      <c r="C20" s="2190"/>
      <c r="D20" s="598">
        <f>+'Exhibit A'!D19</f>
        <v>0.2</v>
      </c>
      <c r="E20" s="9"/>
      <c r="F20" s="9">
        <f>+'Exhibit A'!F19</f>
        <v>0.2</v>
      </c>
      <c r="G20" s="9"/>
      <c r="H20" s="2518">
        <f>+'Exhibit G State'!F83</f>
        <v>0</v>
      </c>
      <c r="I20" s="19"/>
      <c r="J20" s="3854">
        <f>'Exhibit G State'!AD83</f>
        <v>0</v>
      </c>
      <c r="K20" s="19"/>
      <c r="L20" s="602">
        <f>+'Exhibit A'!L19</f>
        <v>0</v>
      </c>
      <c r="M20" s="18"/>
      <c r="N20" s="19">
        <f>+'Exhibit A'!N19</f>
        <v>0</v>
      </c>
      <c r="O20" s="2305"/>
      <c r="P20" s="2303"/>
      <c r="Q20" s="3855"/>
      <c r="R20" s="18">
        <f t="shared" si="0"/>
        <v>0.2</v>
      </c>
      <c r="S20" s="2305"/>
      <c r="T20" s="3277">
        <f t="shared" si="1"/>
        <v>0.2</v>
      </c>
      <c r="U20" s="19"/>
      <c r="V20" s="19"/>
      <c r="W20" s="2304"/>
      <c r="X20" s="2305"/>
      <c r="Y20" s="19">
        <v>0</v>
      </c>
      <c r="Z20" s="19" t="s">
        <v>14</v>
      </c>
      <c r="AA20" s="19">
        <f>+'Exhibit F'!AF97+'Exhibit G State'!AG83+'Exhibit H'!AD52</f>
        <v>0.2</v>
      </c>
      <c r="AB20" s="2200"/>
      <c r="AC20" s="2296"/>
      <c r="AD20" s="19">
        <f t="shared" si="2"/>
        <v>0</v>
      </c>
      <c r="AE20" s="2172"/>
      <c r="AF20" s="1433">
        <f>ROUND(IF(AA20=0,1,AD20/ABS(AA20)),3)</f>
        <v>0</v>
      </c>
    </row>
    <row r="21" spans="1:32" ht="18" customHeight="1">
      <c r="A21" s="2189" t="s">
        <v>21</v>
      </c>
      <c r="B21" s="2190"/>
      <c r="C21" s="2190"/>
      <c r="D21" s="12">
        <f>ROUND(SUM(D15:D20),1)</f>
        <v>2076</v>
      </c>
      <c r="E21" s="1336"/>
      <c r="F21" s="11">
        <f>ROUND(SUM(F15:F20),1)</f>
        <v>11293.7</v>
      </c>
      <c r="G21" s="1336"/>
      <c r="H21" s="1516">
        <f>ROUND(SUM(H15:H20),1)</f>
        <v>1546.5</v>
      </c>
      <c r="I21" s="20"/>
      <c r="J21" s="1516">
        <f>ROUND(SUM(J15:J20),1)</f>
        <v>3500.5</v>
      </c>
      <c r="K21" s="20"/>
      <c r="L21" s="1516">
        <f>ROUND(SUM(L15:L20),1)</f>
        <v>2476.1</v>
      </c>
      <c r="M21" s="20"/>
      <c r="N21" s="1516">
        <f>ROUND(SUM(N15:N20),1)</f>
        <v>11070.3</v>
      </c>
      <c r="O21" s="1442"/>
      <c r="P21" s="2306"/>
      <c r="Q21" s="3654"/>
      <c r="R21" s="1516">
        <f>ROUND(SUM(R15:R20),1)</f>
        <v>6098.6</v>
      </c>
      <c r="S21" s="1442"/>
      <c r="T21" s="1516">
        <f>ROUND(SUM(T15:T20),1)</f>
        <v>25864.5</v>
      </c>
      <c r="U21" s="1442"/>
      <c r="V21" s="1442"/>
      <c r="W21" s="2245"/>
      <c r="X21" s="1442"/>
      <c r="Y21" s="1516">
        <f>ROUND(SUM(Y15:Y20),1)</f>
        <v>13047.8</v>
      </c>
      <c r="Z21" s="20"/>
      <c r="AA21" s="1516">
        <f>ROUND(SUM(AA15:AA20),1)</f>
        <v>23690.1</v>
      </c>
      <c r="AB21" s="2246"/>
      <c r="AC21" s="2307"/>
      <c r="AD21" s="1516">
        <f>ROUND(SUM(AD15:AD20),1)</f>
        <v>2174.4</v>
      </c>
      <c r="AE21" s="2221"/>
      <c r="AF21" s="1410">
        <f t="shared" si="3"/>
        <v>9.1999999999999998E-2</v>
      </c>
    </row>
    <row r="22" spans="1:32" ht="16.350000000000001" customHeight="1">
      <c r="A22" s="2189"/>
      <c r="B22" s="2190"/>
      <c r="C22" s="2190"/>
      <c r="D22" s="599"/>
      <c r="E22" s="9"/>
      <c r="F22" s="14"/>
      <c r="G22" s="9"/>
      <c r="H22" s="1390"/>
      <c r="I22" s="19"/>
      <c r="J22" s="1393"/>
      <c r="K22" s="19"/>
      <c r="L22" s="1390"/>
      <c r="M22" s="19"/>
      <c r="N22" s="1393"/>
      <c r="O22" s="1393"/>
      <c r="P22" s="2302"/>
      <c r="Q22" s="2316"/>
      <c r="R22" s="1393"/>
      <c r="S22" s="1393"/>
      <c r="T22" s="1393"/>
      <c r="U22" s="1393"/>
      <c r="V22" s="1393"/>
      <c r="W22" s="2241"/>
      <c r="X22" s="1393"/>
      <c r="Y22" s="1393"/>
      <c r="Z22" s="19"/>
      <c r="AA22" s="1393"/>
      <c r="AB22" s="2200"/>
      <c r="AC22" s="2296"/>
      <c r="AD22" s="1393"/>
      <c r="AE22" s="2172"/>
      <c r="AF22" s="1397"/>
    </row>
    <row r="23" spans="1:32" ht="16.350000000000001" customHeight="1">
      <c r="A23" s="2189" t="s">
        <v>22</v>
      </c>
      <c r="B23" s="2190"/>
      <c r="C23" s="2190"/>
      <c r="D23" s="598"/>
      <c r="E23" s="9"/>
      <c r="F23" s="9"/>
      <c r="G23" s="9"/>
      <c r="H23" s="602"/>
      <c r="I23" s="19"/>
      <c r="J23" s="19"/>
      <c r="K23" s="19"/>
      <c r="L23" s="602"/>
      <c r="M23" s="19"/>
      <c r="N23" s="19"/>
      <c r="O23" s="1393"/>
      <c r="P23" s="2302"/>
      <c r="Q23" s="2316"/>
      <c r="R23" s="19"/>
      <c r="S23" s="19"/>
      <c r="T23" s="19"/>
      <c r="U23" s="19"/>
      <c r="V23" s="19"/>
      <c r="W23" s="2241"/>
      <c r="X23" s="19"/>
      <c r="Y23" s="19"/>
      <c r="Z23" s="19"/>
      <c r="AA23" s="19"/>
      <c r="AB23" s="2200"/>
      <c r="AC23" s="2296"/>
      <c r="AD23" s="19"/>
      <c r="AE23" s="2172"/>
      <c r="AF23" s="1397"/>
    </row>
    <row r="24" spans="1:32" ht="16.350000000000001" customHeight="1">
      <c r="A24" s="2190" t="s">
        <v>23</v>
      </c>
      <c r="B24" s="2308" t="s">
        <v>14</v>
      </c>
      <c r="C24" s="2190"/>
      <c r="D24" s="600"/>
      <c r="E24" s="10"/>
      <c r="F24" s="15"/>
      <c r="G24" s="9"/>
      <c r="H24" s="1742"/>
      <c r="I24" s="18"/>
      <c r="J24" s="2309"/>
      <c r="K24" s="19"/>
      <c r="L24" s="1742"/>
      <c r="M24" s="19"/>
      <c r="N24" s="18"/>
      <c r="O24" s="1393"/>
      <c r="P24" s="2302"/>
      <c r="Q24" s="2316"/>
      <c r="R24" s="18"/>
      <c r="S24" s="18"/>
      <c r="T24" s="18"/>
      <c r="U24" s="19"/>
      <c r="V24" s="19"/>
      <c r="W24" s="2241"/>
      <c r="X24" s="18"/>
      <c r="Y24" s="19"/>
      <c r="Z24" s="19"/>
      <c r="AA24" s="19"/>
      <c r="AB24" s="2200"/>
      <c r="AC24" s="2296"/>
      <c r="AD24" s="2309"/>
      <c r="AE24" s="2172"/>
      <c r="AF24" s="2224"/>
    </row>
    <row r="25" spans="1:32" ht="18" customHeight="1">
      <c r="A25" s="2225" t="s">
        <v>24</v>
      </c>
      <c r="B25" s="2190"/>
      <c r="C25" s="2190"/>
      <c r="D25" s="1337">
        <f>+'Exhibit A'!D24</f>
        <v>4347</v>
      </c>
      <c r="E25" s="9"/>
      <c r="F25" s="2310">
        <f>+'Exhibit A'!F24</f>
        <v>5783</v>
      </c>
      <c r="G25" s="9"/>
      <c r="H25" s="1741">
        <f>+'Exhibit G State'!F89</f>
        <v>0.1</v>
      </c>
      <c r="I25" s="19"/>
      <c r="J25" s="3395">
        <f>+'Exhibit G State'!AD89</f>
        <v>0.1</v>
      </c>
      <c r="K25" s="19"/>
      <c r="L25" s="1742">
        <f>+'Exhibit A'!L24</f>
        <v>0</v>
      </c>
      <c r="M25" s="19"/>
      <c r="N25" s="18">
        <f>+'Exhibit A'!N24</f>
        <v>0</v>
      </c>
      <c r="O25" s="2305"/>
      <c r="P25" s="2303"/>
      <c r="Q25" s="3855"/>
      <c r="R25" s="3277">
        <f>ROUND(SUM(D25+H25+L25),1)</f>
        <v>4347.1000000000004</v>
      </c>
      <c r="S25" s="3277"/>
      <c r="T25" s="3277">
        <f>ROUND(SUM(F25+J25+N25),1)</f>
        <v>5783.1</v>
      </c>
      <c r="U25" s="19"/>
      <c r="V25" s="19"/>
      <c r="W25" s="2304"/>
      <c r="X25" s="18"/>
      <c r="Y25" s="19">
        <v>3896.2999999999997</v>
      </c>
      <c r="Z25" s="19" t="s">
        <v>14</v>
      </c>
      <c r="AA25" s="19">
        <f>+'Exhibit F'!AF103+'Exhibit G State'!AG89</f>
        <v>4420.6000000000004</v>
      </c>
      <c r="AB25" s="2200"/>
      <c r="AC25" s="2296"/>
      <c r="AD25" s="19">
        <f>ROUND(SUM(T25-AA25),1)</f>
        <v>1362.5</v>
      </c>
      <c r="AE25" s="2172"/>
      <c r="AF25" s="1394">
        <f>ROUND(+AD25/AA25,3)</f>
        <v>0.308</v>
      </c>
    </row>
    <row r="26" spans="1:32" ht="18" customHeight="1">
      <c r="A26" s="2225" t="s">
        <v>25</v>
      </c>
      <c r="B26" s="2227"/>
      <c r="C26" s="2190"/>
      <c r="D26" s="1337">
        <f>+'Exhibit A'!D25</f>
        <v>0</v>
      </c>
      <c r="E26" s="9"/>
      <c r="F26" s="2310">
        <f>+'Exhibit A'!F25</f>
        <v>0.1</v>
      </c>
      <c r="G26" s="9"/>
      <c r="H26" s="1741">
        <f>+'Exhibit G State'!F90</f>
        <v>0.2</v>
      </c>
      <c r="I26" s="3277"/>
      <c r="J26" s="3395">
        <f>+'Exhibit G State'!AD90</f>
        <v>0.2</v>
      </c>
      <c r="K26" s="19"/>
      <c r="L26" s="1742">
        <f>+'Exhibit A'!L25</f>
        <v>0</v>
      </c>
      <c r="M26" s="19"/>
      <c r="N26" s="18">
        <f>+'Exhibit A'!N25</f>
        <v>0</v>
      </c>
      <c r="O26" s="2305"/>
      <c r="P26" s="2303"/>
      <c r="Q26" s="3855"/>
      <c r="R26" s="3277">
        <f t="shared" ref="R26:R33" si="4">ROUND(SUM(D26+H26+L26),1)</f>
        <v>0.2</v>
      </c>
      <c r="S26" s="3277"/>
      <c r="T26" s="3277">
        <f t="shared" ref="T26:T33" si="5">ROUND(SUM(F26+J26+N26),1)</f>
        <v>0.3</v>
      </c>
      <c r="U26" s="19"/>
      <c r="V26" s="19"/>
      <c r="W26" s="2304"/>
      <c r="X26" s="18"/>
      <c r="Y26" s="19">
        <v>1.9</v>
      </c>
      <c r="Z26" s="19" t="s">
        <v>14</v>
      </c>
      <c r="AA26" s="19">
        <f>+'Exhibit F'!AF104+'Exhibit G State'!AG90</f>
        <v>2</v>
      </c>
      <c r="AB26" s="2200"/>
      <c r="AC26" s="2296"/>
      <c r="AD26" s="19">
        <f>ROUND(SUM(T26-AA26),1)</f>
        <v>-1.7</v>
      </c>
      <c r="AE26" s="2172"/>
      <c r="AF26" s="1433">
        <f>ROUND(IF(AA26=0,1,AD26/ABS(AA26)),3)</f>
        <v>-0.85</v>
      </c>
    </row>
    <row r="27" spans="1:32" ht="18" customHeight="1">
      <c r="A27" s="2225" t="s">
        <v>26</v>
      </c>
      <c r="B27" s="2228"/>
      <c r="C27" s="2190"/>
      <c r="D27" s="1337">
        <f>+'Exhibit A'!D26</f>
        <v>41.7</v>
      </c>
      <c r="E27" s="9"/>
      <c r="F27" s="2310">
        <f>+'Exhibit A'!F26</f>
        <v>51.6</v>
      </c>
      <c r="G27" s="9"/>
      <c r="H27" s="1741">
        <f>+'Exhibit G State'!F91</f>
        <v>30.299999999999983</v>
      </c>
      <c r="I27" s="19"/>
      <c r="J27" s="3395">
        <f>+'Exhibit G State'!AD91</f>
        <v>162.19999999999999</v>
      </c>
      <c r="K27" s="19"/>
      <c r="L27" s="1742">
        <f>+'Exhibit A'!L26</f>
        <v>0</v>
      </c>
      <c r="M27" s="19"/>
      <c r="N27" s="18">
        <f>+'Exhibit A'!N26</f>
        <v>0</v>
      </c>
      <c r="O27" s="2305"/>
      <c r="P27" s="2303"/>
      <c r="Q27" s="3855"/>
      <c r="R27" s="3277">
        <f t="shared" si="4"/>
        <v>72</v>
      </c>
      <c r="S27" s="3277"/>
      <c r="T27" s="3277">
        <f t="shared" si="5"/>
        <v>213.8</v>
      </c>
      <c r="U27" s="19"/>
      <c r="V27" s="19"/>
      <c r="W27" s="2304"/>
      <c r="X27" s="18"/>
      <c r="Y27" s="19">
        <v>66.599999999999994</v>
      </c>
      <c r="Z27" s="19" t="s">
        <v>14</v>
      </c>
      <c r="AA27" s="19">
        <f>+'Exhibit F'!AF105+'Exhibit G State'!AG91</f>
        <v>79.599999999999994</v>
      </c>
      <c r="AB27" s="2200"/>
      <c r="AC27" s="2296"/>
      <c r="AD27" s="19">
        <f>ROUND(SUM(T27-AA27),1)</f>
        <v>134.19999999999999</v>
      </c>
      <c r="AE27" s="2172"/>
      <c r="AF27" s="1394">
        <f>ROUND(+AD27/AA27,3)</f>
        <v>1.6859999999999999</v>
      </c>
    </row>
    <row r="28" spans="1:32" ht="18" customHeight="1">
      <c r="A28" s="2225" t="s">
        <v>27</v>
      </c>
      <c r="B28" s="2228"/>
      <c r="C28" s="2190"/>
      <c r="D28" s="1337"/>
      <c r="E28" s="9"/>
      <c r="F28" s="2310"/>
      <c r="G28" s="9"/>
      <c r="H28" s="1741"/>
      <c r="I28" s="19"/>
      <c r="J28" s="3395"/>
      <c r="K28" s="19"/>
      <c r="L28" s="1742"/>
      <c r="M28" s="19"/>
      <c r="N28" s="18"/>
      <c r="O28" s="2305"/>
      <c r="P28" s="2303"/>
      <c r="Q28" s="3855"/>
      <c r="R28" s="3378" t="s">
        <v>14</v>
      </c>
      <c r="S28" s="3277"/>
      <c r="T28" s="3378" t="s">
        <v>14</v>
      </c>
      <c r="U28" s="19"/>
      <c r="V28" s="19"/>
      <c r="W28" s="2304"/>
      <c r="X28" s="18"/>
      <c r="Y28" s="602"/>
      <c r="Z28" s="19" t="s">
        <v>14</v>
      </c>
      <c r="AA28" s="602" t="s">
        <v>14</v>
      </c>
      <c r="AB28" s="2200"/>
      <c r="AC28" s="2296"/>
      <c r="AD28" s="19"/>
      <c r="AE28" s="2172"/>
      <c r="AF28" s="1394"/>
    </row>
    <row r="29" spans="1:32" ht="18" customHeight="1">
      <c r="A29" s="2311" t="s">
        <v>28</v>
      </c>
      <c r="B29" s="2229"/>
      <c r="C29" s="2190"/>
      <c r="D29" s="1337">
        <f>+'Exhibit A'!D28</f>
        <v>1920.1</v>
      </c>
      <c r="E29" s="9"/>
      <c r="F29" s="2310">
        <f>+'Exhibit A'!F28</f>
        <v>3938.5</v>
      </c>
      <c r="G29" s="9"/>
      <c r="H29" s="1741">
        <f>+'Exhibit G State'!F93</f>
        <v>474.29999999999995</v>
      </c>
      <c r="I29" s="19"/>
      <c r="J29" s="3395">
        <f>+'Exhibit G State'!AD93</f>
        <v>948.4</v>
      </c>
      <c r="K29" s="19"/>
      <c r="L29" s="1742">
        <f>+'Exhibit A'!L28</f>
        <v>0</v>
      </c>
      <c r="M29" s="19"/>
      <c r="N29" s="18">
        <f>+'Exhibit A'!N28</f>
        <v>0</v>
      </c>
      <c r="O29" s="2305"/>
      <c r="P29" s="2303"/>
      <c r="Q29" s="3855"/>
      <c r="R29" s="3277">
        <f t="shared" si="4"/>
        <v>2394.4</v>
      </c>
      <c r="S29" s="3277"/>
      <c r="T29" s="3277">
        <f t="shared" si="5"/>
        <v>4886.8999999999996</v>
      </c>
      <c r="U29" s="19"/>
      <c r="V29" s="19"/>
      <c r="W29" s="2304"/>
      <c r="X29" s="18"/>
      <c r="Y29" s="19">
        <v>1954.6</v>
      </c>
      <c r="Z29" s="19" t="s">
        <v>14</v>
      </c>
      <c r="AA29" s="19">
        <f>+'Exhibit F'!AF107+'Exhibit G State'!AG93</f>
        <v>5082.5</v>
      </c>
      <c r="AB29" s="2200"/>
      <c r="AC29" s="2296"/>
      <c r="AD29" s="19">
        <f t="shared" ref="AD29:AD34" si="6">ROUND(SUM(T29-AA29),1)</f>
        <v>-195.6</v>
      </c>
      <c r="AE29" s="2172"/>
      <c r="AF29" s="1394">
        <f t="shared" ref="AF29:AF34" si="7">ROUND(+AD29/AA29,3)</f>
        <v>-3.7999999999999999E-2</v>
      </c>
    </row>
    <row r="30" spans="1:32" ht="18" customHeight="1">
      <c r="A30" s="2225" t="s">
        <v>29</v>
      </c>
      <c r="B30" s="2228"/>
      <c r="C30" s="2190"/>
      <c r="D30" s="1337">
        <f>+'Exhibit A'!D29</f>
        <v>139.9</v>
      </c>
      <c r="E30" s="9"/>
      <c r="F30" s="2310">
        <f>+'Exhibit A'!F29</f>
        <v>206.3</v>
      </c>
      <c r="G30" s="9"/>
      <c r="H30" s="1741">
        <f>+'Exhibit G State'!F94</f>
        <v>60.699999999999989</v>
      </c>
      <c r="I30" s="19"/>
      <c r="J30" s="3395">
        <f>+'Exhibit G State'!AD94</f>
        <v>128.6</v>
      </c>
      <c r="K30" s="19"/>
      <c r="L30" s="1742">
        <f>+'Exhibit A'!L29</f>
        <v>0</v>
      </c>
      <c r="M30" s="19"/>
      <c r="N30" s="18">
        <f>+'Exhibit A'!N29</f>
        <v>0</v>
      </c>
      <c r="O30" s="2305"/>
      <c r="P30" s="2303"/>
      <c r="Q30" s="3855"/>
      <c r="R30" s="3277">
        <f t="shared" si="4"/>
        <v>200.6</v>
      </c>
      <c r="S30" s="3277"/>
      <c r="T30" s="3277">
        <f t="shared" si="5"/>
        <v>334.9</v>
      </c>
      <c r="U30" s="19"/>
      <c r="V30" s="19"/>
      <c r="W30" s="2304"/>
      <c r="X30" s="18"/>
      <c r="Y30" s="19">
        <v>149.29999999999998</v>
      </c>
      <c r="Z30" s="19" t="s">
        <v>14</v>
      </c>
      <c r="AA30" s="19">
        <f>+'Exhibit F'!AF108+'Exhibit G State'!AG94</f>
        <v>234.5</v>
      </c>
      <c r="AB30" s="2200"/>
      <c r="AC30" s="2296"/>
      <c r="AD30" s="19">
        <f t="shared" si="6"/>
        <v>100.4</v>
      </c>
      <c r="AE30" s="2172"/>
      <c r="AF30" s="1394">
        <f t="shared" si="7"/>
        <v>0.42799999999999999</v>
      </c>
    </row>
    <row r="31" spans="1:32" ht="18" customHeight="1">
      <c r="A31" s="2225" t="s">
        <v>30</v>
      </c>
      <c r="B31" s="2190"/>
      <c r="C31" s="2190"/>
      <c r="D31" s="1337">
        <f>+'Exhibit A'!D30</f>
        <v>14.000000000000002</v>
      </c>
      <c r="E31" s="9"/>
      <c r="F31" s="2310">
        <f>+'Exhibit A'!F30</f>
        <v>21.6</v>
      </c>
      <c r="G31" s="9"/>
      <c r="H31" s="1741">
        <f>+'Exhibit G State'!F95</f>
        <v>15.999999999999998</v>
      </c>
      <c r="I31" s="19"/>
      <c r="J31" s="3395">
        <f>+'Exhibit G State'!AD95</f>
        <v>31.9</v>
      </c>
      <c r="K31" s="19"/>
      <c r="L31" s="1742">
        <f>+'Exhibit A'!L30</f>
        <v>0</v>
      </c>
      <c r="M31" s="19"/>
      <c r="N31" s="18">
        <f>+'Exhibit A'!N30</f>
        <v>0</v>
      </c>
      <c r="O31" s="2305"/>
      <c r="P31" s="2303"/>
      <c r="Q31" s="3855"/>
      <c r="R31" s="3277">
        <f t="shared" si="4"/>
        <v>30</v>
      </c>
      <c r="S31" s="3277"/>
      <c r="T31" s="3277">
        <f t="shared" si="5"/>
        <v>53.5</v>
      </c>
      <c r="U31" s="19"/>
      <c r="V31" s="19"/>
      <c r="W31" s="2304"/>
      <c r="X31" s="18"/>
      <c r="Y31" s="19">
        <v>49.6</v>
      </c>
      <c r="Z31" s="19" t="s">
        <v>14</v>
      </c>
      <c r="AA31" s="19">
        <f>+'Exhibit F'!AF109+'Exhibit G State'!AG95</f>
        <v>73.400000000000006</v>
      </c>
      <c r="AB31" s="2200"/>
      <c r="AC31" s="2296"/>
      <c r="AD31" s="19">
        <f t="shared" si="6"/>
        <v>-19.899999999999999</v>
      </c>
      <c r="AE31" s="2172"/>
      <c r="AF31" s="1394">
        <f t="shared" si="7"/>
        <v>-0.27100000000000002</v>
      </c>
    </row>
    <row r="32" spans="1:32" ht="18" customHeight="1">
      <c r="A32" s="2225" t="s">
        <v>31</v>
      </c>
      <c r="B32" s="2190"/>
      <c r="C32" s="2190"/>
      <c r="D32" s="1337">
        <f>+'Exhibit A'!D31</f>
        <v>218.4</v>
      </c>
      <c r="E32" s="9"/>
      <c r="F32" s="2310">
        <f>+'Exhibit A'!F31</f>
        <v>319.5</v>
      </c>
      <c r="G32" s="9"/>
      <c r="H32" s="1741">
        <f>+'Exhibit G State'!F96</f>
        <v>0.39999999999999991</v>
      </c>
      <c r="I32" s="19"/>
      <c r="J32" s="3395">
        <f>+'Exhibit G State'!AD96</f>
        <v>1.4</v>
      </c>
      <c r="K32" s="19"/>
      <c r="L32" s="1742">
        <f>+'Exhibit A'!L31</f>
        <v>0</v>
      </c>
      <c r="M32" s="19"/>
      <c r="N32" s="18">
        <f>+'Exhibit A'!N31</f>
        <v>0</v>
      </c>
      <c r="O32" s="2305"/>
      <c r="P32" s="2303"/>
      <c r="Q32" s="3855"/>
      <c r="R32" s="3277">
        <f t="shared" si="4"/>
        <v>218.8</v>
      </c>
      <c r="S32" s="3277"/>
      <c r="T32" s="3277">
        <f t="shared" si="5"/>
        <v>320.89999999999998</v>
      </c>
      <c r="U32" s="19"/>
      <c r="V32" s="19"/>
      <c r="W32" s="2304"/>
      <c r="X32" s="18"/>
      <c r="Y32" s="19">
        <v>100.5</v>
      </c>
      <c r="Z32" s="19" t="s">
        <v>14</v>
      </c>
      <c r="AA32" s="602">
        <f>+'Exhibit F'!AF110+'Exhibit G State'!AG96</f>
        <v>144</v>
      </c>
      <c r="AB32" s="2200"/>
      <c r="AC32" s="2296"/>
      <c r="AD32" s="19">
        <f t="shared" si="6"/>
        <v>176.9</v>
      </c>
      <c r="AE32" s="2172"/>
      <c r="AF32" s="1394">
        <f t="shared" si="7"/>
        <v>1.228</v>
      </c>
    </row>
    <row r="33" spans="1:32" ht="18" customHeight="1">
      <c r="A33" s="2225" t="s">
        <v>32</v>
      </c>
      <c r="B33" s="2190"/>
      <c r="C33" s="2190"/>
      <c r="D33" s="1337">
        <f>+'Exhibit A'!D32</f>
        <v>11.5</v>
      </c>
      <c r="E33" s="9"/>
      <c r="F33" s="2310">
        <f>+'Exhibit A'!F32</f>
        <v>17.7</v>
      </c>
      <c r="G33" s="9"/>
      <c r="H33" s="1741">
        <f>+'Exhibit G State'!F97</f>
        <v>0.30000000000000027</v>
      </c>
      <c r="I33" s="19"/>
      <c r="J33" s="3395">
        <f>+'Exhibit G State'!AD97</f>
        <v>2.6</v>
      </c>
      <c r="K33" s="19"/>
      <c r="L33" s="1742">
        <f>+'Exhibit A'!L32</f>
        <v>0</v>
      </c>
      <c r="M33" s="19"/>
      <c r="N33" s="18">
        <f>+'Exhibit A'!N32</f>
        <v>0</v>
      </c>
      <c r="O33" s="2305"/>
      <c r="P33" s="2303"/>
      <c r="Q33" s="3855"/>
      <c r="R33" s="3277">
        <f t="shared" si="4"/>
        <v>11.8</v>
      </c>
      <c r="S33" s="3277"/>
      <c r="T33" s="3277">
        <f t="shared" si="5"/>
        <v>20.3</v>
      </c>
      <c r="U33" s="19"/>
      <c r="V33" s="19"/>
      <c r="W33" s="2304"/>
      <c r="X33" s="18"/>
      <c r="Y33" s="19">
        <v>9.1999999999999993</v>
      </c>
      <c r="Z33" s="19" t="s">
        <v>14</v>
      </c>
      <c r="AA33" s="602">
        <f>+'Exhibit F'!AF111+'Exhibit G State'!AG97</f>
        <v>14.5</v>
      </c>
      <c r="AB33" s="2200"/>
      <c r="AC33" s="2296"/>
      <c r="AD33" s="19">
        <f t="shared" si="6"/>
        <v>5.8</v>
      </c>
      <c r="AE33" s="2172"/>
      <c r="AF33" s="1394">
        <f t="shared" si="7"/>
        <v>0.4</v>
      </c>
    </row>
    <row r="34" spans="1:32" ht="18" customHeight="1">
      <c r="A34" s="2225" t="s">
        <v>33</v>
      </c>
      <c r="B34" s="2190"/>
      <c r="C34" s="2190"/>
      <c r="D34" s="1337">
        <f>+'Exhibit A'!D33</f>
        <v>32.6</v>
      </c>
      <c r="E34" s="9"/>
      <c r="F34" s="2310">
        <f>+'Exhibit A'!F33</f>
        <v>32.6</v>
      </c>
      <c r="G34" s="9"/>
      <c r="H34" s="1741">
        <f>+'Exhibit G State'!F98</f>
        <v>561</v>
      </c>
      <c r="I34" s="19"/>
      <c r="J34" s="3395">
        <f>+'Exhibit G State'!AD98</f>
        <v>618.1</v>
      </c>
      <c r="K34" s="19"/>
      <c r="L34" s="1742">
        <f>+'Exhibit A'!L33</f>
        <v>0</v>
      </c>
      <c r="M34" s="19"/>
      <c r="N34" s="18">
        <f>+'Exhibit A'!N33</f>
        <v>0</v>
      </c>
      <c r="O34" s="2305"/>
      <c r="P34" s="2303"/>
      <c r="Q34" s="3855"/>
      <c r="R34" s="3856">
        <f>ROUND(SUM(D34+H34+L34),1)</f>
        <v>593.6</v>
      </c>
      <c r="S34" s="3277"/>
      <c r="T34" s="3856">
        <f>ROUND(SUM(F34+J34+N34),1)</f>
        <v>650.70000000000005</v>
      </c>
      <c r="U34" s="19"/>
      <c r="V34" s="19"/>
      <c r="W34" s="2304"/>
      <c r="X34" s="18"/>
      <c r="Y34" s="19">
        <v>430.09999999999997</v>
      </c>
      <c r="Z34" s="19" t="s">
        <v>14</v>
      </c>
      <c r="AA34" s="1393">
        <f>+'Exhibit F'!AF112+'Exhibit G State'!AG98</f>
        <v>638.59999999999991</v>
      </c>
      <c r="AB34" s="2200"/>
      <c r="AC34" s="2296"/>
      <c r="AD34" s="19">
        <f t="shared" si="6"/>
        <v>12.1</v>
      </c>
      <c r="AE34" s="2172"/>
      <c r="AF34" s="1394">
        <f t="shared" si="7"/>
        <v>1.9E-2</v>
      </c>
    </row>
    <row r="35" spans="1:32" ht="18" customHeight="1">
      <c r="A35" s="2189" t="s">
        <v>34</v>
      </c>
      <c r="B35" s="2190"/>
      <c r="C35" s="2190"/>
      <c r="D35" s="12">
        <f>ROUND(SUM(D25:D34),1)</f>
        <v>6725.2</v>
      </c>
      <c r="E35" s="1336"/>
      <c r="F35" s="12">
        <f>ROUND(SUM(F25:F34),1)</f>
        <v>10370.9</v>
      </c>
      <c r="G35" s="1336"/>
      <c r="H35" s="1516">
        <f>ROUND(SUM(H25:H34),1)</f>
        <v>1143.3</v>
      </c>
      <c r="I35" s="20"/>
      <c r="J35" s="1516">
        <f>ROUND(SUM(J25:J34),1)</f>
        <v>1893.5</v>
      </c>
      <c r="K35" s="20"/>
      <c r="L35" s="3315">
        <f>ROUND(SUM(L25:L34),1)</f>
        <v>0</v>
      </c>
      <c r="M35" s="20"/>
      <c r="N35" s="3813">
        <f>ROUND(SUM(N25:N34),1)</f>
        <v>0</v>
      </c>
      <c r="O35" s="2314"/>
      <c r="P35" s="2312"/>
      <c r="Q35" s="3857"/>
      <c r="R35" s="1516">
        <f>ROUND(SUM(R25:R34),1)</f>
        <v>7868.5</v>
      </c>
      <c r="S35" s="2314"/>
      <c r="T35" s="1516">
        <f>ROUND(SUM(T25:T34),1)</f>
        <v>12264.4</v>
      </c>
      <c r="U35" s="1442"/>
      <c r="V35" s="1442"/>
      <c r="W35" s="2313"/>
      <c r="X35" s="2314"/>
      <c r="Y35" s="1516">
        <f>ROUND(SUM(Y25:Y34),1)</f>
        <v>6658.1</v>
      </c>
      <c r="Z35" s="20"/>
      <c r="AA35" s="1516">
        <f>ROUND(SUM(AA25:AA34),1)</f>
        <v>10689.7</v>
      </c>
      <c r="AB35" s="2246"/>
      <c r="AC35" s="2307"/>
      <c r="AD35" s="1516">
        <f>ROUND(SUM(AD25:AD34),1)</f>
        <v>1574.7</v>
      </c>
      <c r="AE35" s="2221"/>
      <c r="AF35" s="1410">
        <f>ROUND(+AD35/AA35,3)</f>
        <v>0.14699999999999999</v>
      </c>
    </row>
    <row r="36" spans="1:32" ht="18" customHeight="1">
      <c r="A36" s="2190" t="s">
        <v>35</v>
      </c>
      <c r="B36" s="2228"/>
      <c r="C36" s="2190"/>
      <c r="D36" s="598"/>
      <c r="E36" s="9"/>
      <c r="F36" s="9"/>
      <c r="G36" s="9"/>
      <c r="H36" s="602"/>
      <c r="I36" s="19"/>
      <c r="J36" s="19"/>
      <c r="K36" s="19"/>
      <c r="L36" s="602"/>
      <c r="M36" s="19"/>
      <c r="N36" s="19"/>
      <c r="O36" s="1393"/>
      <c r="P36" s="2302"/>
      <c r="Q36" s="2316"/>
      <c r="R36" s="19"/>
      <c r="S36" s="19"/>
      <c r="T36" s="19"/>
      <c r="U36" s="19"/>
      <c r="V36" s="19"/>
      <c r="W36" s="2241"/>
      <c r="X36" s="19"/>
      <c r="Y36" s="19"/>
      <c r="Z36" s="19"/>
      <c r="AA36" s="19"/>
      <c r="AB36" s="2200"/>
      <c r="AC36" s="2296"/>
      <c r="AD36" s="19"/>
      <c r="AE36" s="2172"/>
      <c r="AF36" s="1397"/>
    </row>
    <row r="37" spans="1:32" ht="18" customHeight="1">
      <c r="A37" s="2190" t="s">
        <v>36</v>
      </c>
      <c r="B37" s="2227"/>
      <c r="C37" s="2190"/>
      <c r="D37" s="598">
        <f>+'Exhibit A'!D36</f>
        <v>695.2</v>
      </c>
      <c r="E37" s="9"/>
      <c r="F37" s="2310">
        <f>+'Exhibit A'!F36</f>
        <v>1435.7</v>
      </c>
      <c r="G37" s="9"/>
      <c r="H37" s="602">
        <f>+'Exhibit G State'!F101</f>
        <v>403.5</v>
      </c>
      <c r="I37" s="19"/>
      <c r="J37" s="3395">
        <f>+'Exhibit G State'!AD101</f>
        <v>818.5</v>
      </c>
      <c r="K37" s="19"/>
      <c r="L37" s="1389">
        <f>+'Exhibit A'!L36</f>
        <v>0</v>
      </c>
      <c r="M37" s="3277"/>
      <c r="N37" s="18">
        <f>+'Exhibit A'!N36</f>
        <v>0</v>
      </c>
      <c r="O37" s="2305"/>
      <c r="P37" s="2303"/>
      <c r="Q37" s="3855"/>
      <c r="R37" s="3277">
        <f>ROUND(SUM(D37+H37+L37),1)</f>
        <v>1098.7</v>
      </c>
      <c r="S37" s="18"/>
      <c r="T37" s="19">
        <f>ROUND(SUM(F37+J37+N37),1)</f>
        <v>2254.1999999999998</v>
      </c>
      <c r="U37" s="19"/>
      <c r="V37" s="19"/>
      <c r="W37" s="2304"/>
      <c r="X37" s="18"/>
      <c r="Y37" s="19">
        <v>1131.4000000000001</v>
      </c>
      <c r="Z37" s="19" t="s">
        <v>14</v>
      </c>
      <c r="AA37" s="19">
        <f>+'Exhibit F'!AF115+'Exhibit G State'!AG101</f>
        <v>2238.6</v>
      </c>
      <c r="AB37" s="2200"/>
      <c r="AC37" s="2296"/>
      <c r="AD37" s="19">
        <f t="shared" ref="AD37:AD41" si="8">ROUND(SUM(T37-AA37),1)</f>
        <v>15.6</v>
      </c>
      <c r="AE37" s="2172"/>
      <c r="AF37" s="1394">
        <f>ROUND(+AD37/AA37,3)</f>
        <v>7.0000000000000001E-3</v>
      </c>
    </row>
    <row r="38" spans="1:32" ht="18" customHeight="1">
      <c r="A38" s="2235" t="s">
        <v>37</v>
      </c>
      <c r="B38" s="3394"/>
      <c r="C38" s="2235"/>
      <c r="D38" s="602">
        <f>+'Exhibit A'!D37</f>
        <v>224.7</v>
      </c>
      <c r="E38" s="19"/>
      <c r="F38" s="3395">
        <f>+'Exhibit A'!F37</f>
        <v>373.7</v>
      </c>
      <c r="G38" s="19"/>
      <c r="H38" s="602">
        <f>+'Exhibit G State'!F102</f>
        <v>232.2</v>
      </c>
      <c r="I38" s="19"/>
      <c r="J38" s="3395">
        <f>+'Exhibit G State'!AD102</f>
        <v>471.7</v>
      </c>
      <c r="K38" s="19"/>
      <c r="L38" s="1389">
        <f>+'Exhibit A'!L37</f>
        <v>1.5</v>
      </c>
      <c r="M38" s="3277"/>
      <c r="N38" s="18">
        <f>+'Exhibit A'!N37</f>
        <v>1.5</v>
      </c>
      <c r="O38" s="1393"/>
      <c r="P38" s="2302"/>
      <c r="Q38" s="2316"/>
      <c r="R38" s="3277">
        <f>ROUND(SUM(D38+H38+L38),1)</f>
        <v>458.4</v>
      </c>
      <c r="S38" s="18"/>
      <c r="T38" s="19">
        <f>ROUND(SUM(F38+J38+N38),1)</f>
        <v>846.9</v>
      </c>
      <c r="U38" s="19"/>
      <c r="V38" s="19"/>
      <c r="W38" s="2241"/>
      <c r="X38" s="19"/>
      <c r="Y38" s="19">
        <v>470.29999999999995</v>
      </c>
      <c r="Z38" s="19" t="s">
        <v>14</v>
      </c>
      <c r="AA38" s="19">
        <f>+'Exhibit F'!AF116+'Exhibit G State'!AG102+'Exhibit H'!AD58</f>
        <v>832.8</v>
      </c>
      <c r="AB38" s="2200"/>
      <c r="AC38" s="2296"/>
      <c r="AD38" s="19">
        <f t="shared" si="8"/>
        <v>14.1</v>
      </c>
      <c r="AF38" s="1603">
        <f>ROUND(+AD38/AA38,3)</f>
        <v>1.7000000000000001E-2</v>
      </c>
    </row>
    <row r="39" spans="1:32" ht="18" customHeight="1">
      <c r="A39" s="2190" t="s">
        <v>38</v>
      </c>
      <c r="B39" s="2212"/>
      <c r="C39" s="2190"/>
      <c r="D39" s="598">
        <f>+'Exhibit A'!D38</f>
        <v>1999.8999999999999</v>
      </c>
      <c r="E39" s="9"/>
      <c r="F39" s="2310">
        <f>+'Exhibit A'!F38</f>
        <v>2779.6</v>
      </c>
      <c r="G39" s="9"/>
      <c r="H39" s="602">
        <f>+'Exhibit G State'!F103</f>
        <v>60.3</v>
      </c>
      <c r="I39" s="19"/>
      <c r="J39" s="3395">
        <f>+'Exhibit G State'!AD103</f>
        <v>128</v>
      </c>
      <c r="K39" s="19"/>
      <c r="L39" s="1389">
        <f>+'Exhibit A'!L38</f>
        <v>0</v>
      </c>
      <c r="M39" s="19"/>
      <c r="N39" s="18">
        <f>+'Exhibit A'!N38</f>
        <v>0</v>
      </c>
      <c r="O39" s="2305"/>
      <c r="P39" s="2303"/>
      <c r="Q39" s="3855"/>
      <c r="R39" s="3277">
        <f>ROUND(SUM(D39+H39+L39),1)</f>
        <v>2060.1999999999998</v>
      </c>
      <c r="S39" s="18"/>
      <c r="T39" s="19">
        <f>ROUND(SUM(F39+J39+N39),1)</f>
        <v>2907.6</v>
      </c>
      <c r="U39" s="19"/>
      <c r="V39" s="19"/>
      <c r="W39" s="2304"/>
      <c r="X39" s="18"/>
      <c r="Y39" s="19">
        <v>2340</v>
      </c>
      <c r="Z39" s="19" t="s">
        <v>14</v>
      </c>
      <c r="AA39" s="19">
        <f>+'Exhibit F'!AF117+'Exhibit G State'!AG103</f>
        <v>3210.1</v>
      </c>
      <c r="AB39" s="2200"/>
      <c r="AC39" s="2296"/>
      <c r="AD39" s="19">
        <f t="shared" si="8"/>
        <v>-302.5</v>
      </c>
      <c r="AE39" s="2172"/>
      <c r="AF39" s="1394">
        <f>ROUND(+AD39/AA39,3)</f>
        <v>-9.4E-2</v>
      </c>
    </row>
    <row r="40" spans="1:32" ht="18" customHeight="1">
      <c r="A40" s="2190" t="s">
        <v>39</v>
      </c>
      <c r="B40" s="2190"/>
      <c r="C40" s="2190"/>
      <c r="D40" s="598"/>
      <c r="E40" s="9"/>
      <c r="F40" s="9"/>
      <c r="G40" s="9"/>
      <c r="H40" s="602"/>
      <c r="I40" s="19"/>
      <c r="J40" s="19"/>
      <c r="K40" s="19"/>
      <c r="L40" s="602"/>
      <c r="M40" s="19"/>
      <c r="N40" s="19"/>
      <c r="O40" s="1393"/>
      <c r="P40" s="2302"/>
      <c r="Q40" s="2316"/>
      <c r="R40" s="3378" t="s">
        <v>14</v>
      </c>
      <c r="S40" s="19"/>
      <c r="T40" s="602" t="s">
        <v>14</v>
      </c>
      <c r="U40" s="19"/>
      <c r="V40" s="19"/>
      <c r="W40" s="2241"/>
      <c r="X40" s="19"/>
      <c r="Y40" s="602" t="s">
        <v>14</v>
      </c>
      <c r="Z40" s="19"/>
      <c r="AA40" s="602" t="s">
        <v>14</v>
      </c>
      <c r="AB40" s="2200"/>
      <c r="AC40" s="2296"/>
      <c r="AD40" s="19"/>
      <c r="AE40" s="2172"/>
      <c r="AF40" s="1394"/>
    </row>
    <row r="41" spans="1:32" ht="18" customHeight="1">
      <c r="A41" s="2190" t="s">
        <v>40</v>
      </c>
      <c r="B41" s="2315"/>
      <c r="C41" s="2190"/>
      <c r="D41" s="601">
        <v>0</v>
      </c>
      <c r="E41" s="9"/>
      <c r="F41" s="10">
        <v>0</v>
      </c>
      <c r="G41" s="9"/>
      <c r="H41" s="1389">
        <v>0</v>
      </c>
      <c r="I41" s="19"/>
      <c r="J41" s="18">
        <v>0</v>
      </c>
      <c r="K41" s="19"/>
      <c r="L41" s="1389">
        <f>+'Exhibit A'!L40</f>
        <v>29.500000000000014</v>
      </c>
      <c r="M41" s="3277"/>
      <c r="N41" s="18">
        <f>+'Exhibit A'!N40</f>
        <v>145.30000000000001</v>
      </c>
      <c r="O41" s="1393"/>
      <c r="P41" s="2302"/>
      <c r="Q41" s="2316"/>
      <c r="R41" s="3277">
        <f>ROUND(SUM(D41+H41+L41),1)</f>
        <v>29.5</v>
      </c>
      <c r="S41" s="19"/>
      <c r="T41" s="19">
        <f>ROUND(SUM(F41+J41+N41),1)</f>
        <v>145.30000000000001</v>
      </c>
      <c r="U41" s="19"/>
      <c r="V41" s="19"/>
      <c r="W41" s="2241"/>
      <c r="X41" s="19"/>
      <c r="Y41" s="19">
        <v>40.5</v>
      </c>
      <c r="Z41" s="19" t="s">
        <v>14</v>
      </c>
      <c r="AA41" s="19">
        <f>+'Exhibit H'!AD60</f>
        <v>162.9</v>
      </c>
      <c r="AB41" s="2200"/>
      <c r="AC41" s="2296"/>
      <c r="AD41" s="19">
        <f t="shared" si="8"/>
        <v>-17.600000000000001</v>
      </c>
      <c r="AE41" s="2172"/>
      <c r="AF41" s="1394">
        <f>ROUND(+AD41/AA41,3)</f>
        <v>-0.108</v>
      </c>
    </row>
    <row r="42" spans="1:32" ht="18" customHeight="1">
      <c r="A42" s="2190" t="s">
        <v>41</v>
      </c>
      <c r="B42" s="2227"/>
      <c r="C42" s="2190"/>
      <c r="D42" s="601">
        <v>0</v>
      </c>
      <c r="E42" s="9"/>
      <c r="F42" s="10">
        <v>0</v>
      </c>
      <c r="G42" s="9"/>
      <c r="H42" s="1389">
        <f>'Exhibit G State'!F104</f>
        <v>0</v>
      </c>
      <c r="I42" s="19"/>
      <c r="J42" s="1389">
        <f>'Exhibit G State'!AD104</f>
        <v>0</v>
      </c>
      <c r="K42" s="19"/>
      <c r="L42" s="1389">
        <v>0</v>
      </c>
      <c r="M42" s="3277"/>
      <c r="N42" s="18">
        <v>0</v>
      </c>
      <c r="O42" s="1393"/>
      <c r="P42" s="2302"/>
      <c r="Q42" s="3858"/>
      <c r="R42" s="3277">
        <f>ROUND(SUM(D42+H42+L42),1)</f>
        <v>0</v>
      </c>
      <c r="S42" s="19"/>
      <c r="T42" s="19">
        <f>ROUND(SUM(F42+J42+N42),1)</f>
        <v>0</v>
      </c>
      <c r="U42" s="19"/>
      <c r="V42" s="19"/>
      <c r="W42" s="3436"/>
      <c r="X42" s="19"/>
      <c r="Y42" s="19">
        <v>0</v>
      </c>
      <c r="Z42" s="19"/>
      <c r="AA42" s="19">
        <f>'Exhibit G State'!AG104</f>
        <v>0</v>
      </c>
      <c r="AB42" s="2200"/>
      <c r="AC42" s="2296"/>
      <c r="AD42" s="19">
        <f>ROUND(SUM(T42-AA42),1)</f>
        <v>0</v>
      </c>
      <c r="AE42" s="2172"/>
      <c r="AF42" s="1394">
        <f>IF(AA42=0,0,AD42/AA42)</f>
        <v>0</v>
      </c>
    </row>
    <row r="43" spans="1:32" ht="18" customHeight="1">
      <c r="A43" s="2189" t="s">
        <v>56</v>
      </c>
      <c r="B43" s="2190"/>
      <c r="C43" s="2190"/>
      <c r="D43" s="12">
        <f>SUM(D35:D42)</f>
        <v>9645</v>
      </c>
      <c r="E43" s="1336"/>
      <c r="F43" s="12">
        <f>SUM(F35:F42)</f>
        <v>14959.900000000001</v>
      </c>
      <c r="G43" s="1336"/>
      <c r="H43" s="1516">
        <f>SUM(H35:H42)</f>
        <v>1839.3</v>
      </c>
      <c r="I43" s="20"/>
      <c r="J43" s="1516">
        <f>SUM(J35:J42)</f>
        <v>3311.7</v>
      </c>
      <c r="K43" s="20"/>
      <c r="L43" s="1516">
        <f>SUM(L35:L42)</f>
        <v>31.000000000000014</v>
      </c>
      <c r="M43" s="20"/>
      <c r="N43" s="1516">
        <f>SUM(N35:N42)</f>
        <v>146.80000000000001</v>
      </c>
      <c r="O43" s="1442"/>
      <c r="P43" s="2306"/>
      <c r="Q43" s="3654"/>
      <c r="R43" s="1516">
        <f>ROUND(SUM(R35:R42),1)</f>
        <v>11515.3</v>
      </c>
      <c r="S43" s="1442"/>
      <c r="T43" s="1516">
        <f>ROUND(SUM(T35:T42),1)</f>
        <v>18418.400000000001</v>
      </c>
      <c r="U43" s="1442"/>
      <c r="V43" s="1442"/>
      <c r="W43" s="2245"/>
      <c r="X43" s="1442"/>
      <c r="Y43" s="1516">
        <f>ROUND(SUM(Y35:Y42),1)</f>
        <v>10640.3</v>
      </c>
      <c r="Z43" s="20"/>
      <c r="AA43" s="1516">
        <f>ROUND(SUM(AA35:AA42),1)</f>
        <v>17134.099999999999</v>
      </c>
      <c r="AB43" s="2246"/>
      <c r="AC43" s="2307"/>
      <c r="AD43" s="1516">
        <f>ROUND(SUM(AD35:AD42),1)</f>
        <v>1284.3</v>
      </c>
      <c r="AE43" s="2221"/>
      <c r="AF43" s="1410">
        <f>ROUND(+AD43/AA43,3)</f>
        <v>7.4999999999999997E-2</v>
      </c>
    </row>
    <row r="44" spans="1:32" ht="16.350000000000001" customHeight="1">
      <c r="A44" s="2189"/>
      <c r="B44" s="2190"/>
      <c r="C44" s="2190"/>
      <c r="D44" s="599"/>
      <c r="E44" s="9"/>
      <c r="F44" s="14"/>
      <c r="G44" s="9"/>
      <c r="H44" s="1390"/>
      <c r="I44" s="19"/>
      <c r="J44" s="1393"/>
      <c r="K44" s="19"/>
      <c r="L44" s="1390"/>
      <c r="M44" s="19"/>
      <c r="N44" s="1393"/>
      <c r="O44" s="1393"/>
      <c r="P44" s="2302"/>
      <c r="Q44" s="2316"/>
      <c r="R44" s="1393"/>
      <c r="S44" s="1393"/>
      <c r="T44" s="1393"/>
      <c r="U44" s="1393"/>
      <c r="V44" s="1393"/>
      <c r="W44" s="2241"/>
      <c r="X44" s="1393"/>
      <c r="Y44" s="1393"/>
      <c r="Z44" s="19"/>
      <c r="AA44" s="1393"/>
      <c r="AB44" s="2200"/>
      <c r="AC44" s="2296"/>
      <c r="AD44" s="1393"/>
      <c r="AE44" s="2172"/>
      <c r="AF44" s="1397"/>
    </row>
    <row r="45" spans="1:32" ht="16.350000000000001" customHeight="1">
      <c r="A45" s="2189" t="s">
        <v>43</v>
      </c>
      <c r="B45" s="2189"/>
      <c r="C45" s="2190"/>
      <c r="D45" s="598"/>
      <c r="E45" s="9"/>
      <c r="F45" s="9"/>
      <c r="G45" s="9"/>
      <c r="H45" s="602"/>
      <c r="I45" s="19"/>
      <c r="J45" s="19"/>
      <c r="K45" s="19"/>
      <c r="L45" s="602"/>
      <c r="M45" s="19"/>
      <c r="N45" s="19"/>
      <c r="O45" s="1393"/>
      <c r="P45" s="2302"/>
      <c r="Q45" s="2316"/>
      <c r="R45" s="19"/>
      <c r="S45" s="19"/>
      <c r="T45" s="19"/>
      <c r="U45" s="19"/>
      <c r="V45" s="19"/>
      <c r="W45" s="2241"/>
      <c r="X45" s="19"/>
      <c r="Y45" s="19"/>
      <c r="Z45" s="19"/>
      <c r="AA45" s="19"/>
      <c r="AB45" s="2200"/>
      <c r="AC45" s="2296"/>
      <c r="AD45" s="19"/>
      <c r="AE45" s="2172"/>
      <c r="AF45" s="1397"/>
    </row>
    <row r="46" spans="1:32" ht="16.350000000000001" customHeight="1">
      <c r="A46" s="2189" t="s">
        <v>44</v>
      </c>
      <c r="B46" s="2189"/>
      <c r="C46" s="2190"/>
      <c r="D46" s="17">
        <f>ROUND(SUM(D21-D43),1)</f>
        <v>-7569</v>
      </c>
      <c r="E46" s="1336"/>
      <c r="F46" s="17">
        <f>ROUND(SUM(F21-F43),1)</f>
        <v>-3666.2</v>
      </c>
      <c r="G46" s="1336"/>
      <c r="H46" s="1605">
        <f>ROUND(SUM(H21-H43),1)</f>
        <v>-292.8</v>
      </c>
      <c r="I46" s="20"/>
      <c r="J46" s="1605">
        <f>ROUND(SUM(J21-J43),1)</f>
        <v>188.8</v>
      </c>
      <c r="K46" s="20"/>
      <c r="L46" s="1605">
        <f>ROUND(SUM(L21-L43),1)</f>
        <v>2445.1</v>
      </c>
      <c r="M46" s="20" t="s">
        <v>14</v>
      </c>
      <c r="N46" s="1605">
        <f>ROUND(SUM(N21-N43),1)</f>
        <v>10923.5</v>
      </c>
      <c r="O46" s="1442"/>
      <c r="P46" s="2306"/>
      <c r="Q46" s="3654"/>
      <c r="R46" s="1605">
        <f>ROUND(SUM(+R21-R43),1)</f>
        <v>-5416.7</v>
      </c>
      <c r="S46" s="1442"/>
      <c r="T46" s="1605">
        <f>ROUND(SUM(+T21-T43),1)</f>
        <v>7446.1</v>
      </c>
      <c r="U46" s="1442"/>
      <c r="V46" s="1442"/>
      <c r="W46" s="2245"/>
      <c r="X46" s="1442"/>
      <c r="Y46" s="1605">
        <f>ROUND(SUM(Y21-Y43),1)</f>
        <v>2407.5</v>
      </c>
      <c r="Z46" s="20" t="s">
        <v>14</v>
      </c>
      <c r="AA46" s="1605">
        <f>ROUND(SUM(AA21-AA43),1)</f>
        <v>6556</v>
      </c>
      <c r="AB46" s="2246"/>
      <c r="AC46" s="2307"/>
      <c r="AD46" s="1605">
        <f>ROUND(SUM(AD21-AD43),1)</f>
        <v>890.1</v>
      </c>
      <c r="AE46" s="2234"/>
      <c r="AF46" s="1434">
        <f>ROUND(AD46/ABS(AA46),3)</f>
        <v>0.13600000000000001</v>
      </c>
    </row>
    <row r="47" spans="1:32" ht="16.350000000000001" customHeight="1">
      <c r="A47" s="2190"/>
      <c r="B47" s="2190"/>
      <c r="C47" s="2190"/>
      <c r="D47" s="599"/>
      <c r="E47" s="9"/>
      <c r="F47" s="14"/>
      <c r="G47" s="9"/>
      <c r="H47" s="1390"/>
      <c r="I47" s="19"/>
      <c r="J47" s="1393"/>
      <c r="K47" s="19"/>
      <c r="L47" s="1390"/>
      <c r="M47" s="19"/>
      <c r="N47" s="1393"/>
      <c r="O47" s="1393"/>
      <c r="P47" s="2302"/>
      <c r="Q47" s="2316"/>
      <c r="R47" s="1393"/>
      <c r="S47" s="1393"/>
      <c r="T47" s="1393"/>
      <c r="U47" s="1393"/>
      <c r="V47" s="1393"/>
      <c r="W47" s="2241"/>
      <c r="X47" s="1393"/>
      <c r="Y47" s="1393"/>
      <c r="Z47" s="19"/>
      <c r="AA47" s="1393"/>
      <c r="AB47" s="2200"/>
      <c r="AC47" s="2296"/>
      <c r="AD47" s="1393"/>
      <c r="AE47" s="2172"/>
      <c r="AF47" s="1397"/>
    </row>
    <row r="48" spans="1:32" ht="16.350000000000001" customHeight="1">
      <c r="A48" s="2189" t="s">
        <v>45</v>
      </c>
      <c r="B48" s="2189"/>
      <c r="C48" s="2190"/>
      <c r="D48" s="598"/>
      <c r="E48" s="9"/>
      <c r="F48" s="9"/>
      <c r="G48" s="9"/>
      <c r="H48" s="602"/>
      <c r="I48" s="19"/>
      <c r="J48" s="19"/>
      <c r="K48" s="19"/>
      <c r="L48" s="602"/>
      <c r="M48" s="19"/>
      <c r="N48" s="19"/>
      <c r="O48" s="1393"/>
      <c r="P48" s="2302"/>
      <c r="Q48" s="2316"/>
      <c r="R48" s="19"/>
      <c r="S48" s="19"/>
      <c r="T48" s="19"/>
      <c r="U48" s="19"/>
      <c r="V48" s="19"/>
      <c r="W48" s="2241"/>
      <c r="X48" s="19"/>
      <c r="Y48" s="19"/>
      <c r="Z48" s="19"/>
      <c r="AA48" s="19"/>
      <c r="AB48" s="2200"/>
      <c r="AC48" s="2296"/>
      <c r="AD48" s="19"/>
      <c r="AE48" s="2172"/>
      <c r="AF48" s="1397"/>
    </row>
    <row r="49" spans="1:33" ht="18" customHeight="1">
      <c r="A49" s="2235" t="s">
        <v>46</v>
      </c>
      <c r="B49" s="2315" t="s">
        <v>1139</v>
      </c>
      <c r="C49" s="2235"/>
      <c r="D49" s="602">
        <f>+'Exhibit A'!D49</f>
        <v>2406.2999999999993</v>
      </c>
      <c r="E49" s="9"/>
      <c r="F49" s="9">
        <f>+'Exhibit A'!F49</f>
        <v>11064.999999999998</v>
      </c>
      <c r="G49" s="19"/>
      <c r="H49" s="602">
        <f>+'Exhibit G State'!F112</f>
        <v>522.79999999999995</v>
      </c>
      <c r="I49" s="19"/>
      <c r="J49" s="19">
        <f>+'Exhibit G State'!AD112</f>
        <v>957.6</v>
      </c>
      <c r="K49" s="1393"/>
      <c r="L49" s="1390">
        <f>+'Exhibit A'!L49</f>
        <v>20.599999999999966</v>
      </c>
      <c r="M49" s="1393"/>
      <c r="N49" s="2305">
        <f>+'Exhibit A'!N49</f>
        <v>373.59999999999997</v>
      </c>
      <c r="O49" s="1393"/>
      <c r="P49" s="2302"/>
      <c r="Q49" s="2316"/>
      <c r="R49" s="18">
        <f>ROUND(SUM(L49+H49+D49),1)</f>
        <v>2949.7</v>
      </c>
      <c r="S49" s="19"/>
      <c r="T49" s="18">
        <f>ROUND(SUM(F49+J49+N49),1)</f>
        <v>12396.2</v>
      </c>
      <c r="U49" s="19"/>
      <c r="V49" s="19"/>
      <c r="W49" s="2241"/>
      <c r="X49" s="19"/>
      <c r="Y49" s="19">
        <v>5968.8</v>
      </c>
      <c r="Z49" s="19" t="s">
        <v>14</v>
      </c>
      <c r="AA49" s="19">
        <f>'Exhibit F'!AF126+'Exhibit F'!AF127+'Exhibit F'!AF128+'Exhibit F'!AF129+'Exhibit G State'!AG112+'Exhibit H'!AD68</f>
        <v>10855.699999999999</v>
      </c>
      <c r="AB49" s="2200"/>
      <c r="AC49" s="2296"/>
      <c r="AD49" s="19">
        <f>ROUND(SUM(T49-AA49),1)</f>
        <v>1540.5</v>
      </c>
      <c r="AE49" s="2237"/>
      <c r="AF49" s="1394">
        <f>ROUND(SUM(+AD49/AA49),3)</f>
        <v>0.14199999999999999</v>
      </c>
      <c r="AG49" s="2174" t="s">
        <v>14</v>
      </c>
    </row>
    <row r="50" spans="1:33" ht="18" customHeight="1">
      <c r="A50" s="2235" t="s">
        <v>47</v>
      </c>
      <c r="B50" s="2315" t="s">
        <v>1139</v>
      </c>
      <c r="C50" s="2235"/>
      <c r="D50" s="602">
        <f>+'Exhibit A'!D50</f>
        <v>-219.39999999999989</v>
      </c>
      <c r="E50" s="19"/>
      <c r="F50" s="9">
        <f>+'Exhibit A'!F50</f>
        <v>-140.1999999999999</v>
      </c>
      <c r="G50" s="19"/>
      <c r="H50" s="602">
        <f>+'Exhibit G State'!F113</f>
        <v>-4.1000000000000005</v>
      </c>
      <c r="I50" s="19"/>
      <c r="J50" s="3277">
        <f>'Exhibit G State'!AD113</f>
        <v>-4.8000000000000007</v>
      </c>
      <c r="K50" s="19"/>
      <c r="L50" s="1390">
        <f>+'Exhibit A'!L50</f>
        <v>-2411.3999999999996</v>
      </c>
      <c r="M50" s="1393"/>
      <c r="N50" s="2305">
        <f>+'Exhibit A'!N50</f>
        <v>-11078.9</v>
      </c>
      <c r="O50" s="1393"/>
      <c r="P50" s="2302"/>
      <c r="Q50" s="2316"/>
      <c r="R50" s="3277">
        <f>ROUND(SUM(D50+H50+L50),1)</f>
        <v>-2634.9</v>
      </c>
      <c r="S50" s="1393"/>
      <c r="T50" s="19">
        <f>ROUND(SUM(F50+J50+N50),1)</f>
        <v>-11223.9</v>
      </c>
      <c r="U50" s="19"/>
      <c r="V50" s="19"/>
      <c r="W50" s="2241"/>
      <c r="X50" s="1393"/>
      <c r="Y50" s="19">
        <v>-6175.4</v>
      </c>
      <c r="Z50" s="19" t="s">
        <v>14</v>
      </c>
      <c r="AA50" s="19">
        <f>'Exhibit F'!AF130+'Exhibit F'!AF131+'Exhibit F'!AF132+'Exhibit F'!AF133+'Exhibit G State'!AG113+'Exhibit H'!AD69</f>
        <v>-11391.800000000001</v>
      </c>
      <c r="AB50" s="2200"/>
      <c r="AC50" s="2296"/>
      <c r="AD50" s="19">
        <f>-ROUND(SUM(T50-AA50),1)</f>
        <v>-167.9</v>
      </c>
      <c r="AE50" s="2172"/>
      <c r="AF50" s="2317">
        <f>ROUND(SUM(-AD50/AA50),3)</f>
        <v>-1.4999999999999999E-2</v>
      </c>
      <c r="AG50" s="2174" t="s">
        <v>14</v>
      </c>
    </row>
    <row r="51" spans="1:33" ht="18" customHeight="1">
      <c r="A51" s="2189" t="s">
        <v>48</v>
      </c>
      <c r="B51" s="2189"/>
      <c r="C51" s="2190"/>
      <c r="D51" s="12">
        <f>ROUND(SUM(D49:D50),1)</f>
        <v>2186.9</v>
      </c>
      <c r="E51" s="1336"/>
      <c r="F51" s="12">
        <f>ROUND(SUM(F49:F50),1)</f>
        <v>10924.8</v>
      </c>
      <c r="G51" s="1336"/>
      <c r="H51" s="1516">
        <f>ROUND(SUM(H49:H50),1)</f>
        <v>518.70000000000005</v>
      </c>
      <c r="I51" s="20"/>
      <c r="J51" s="1516">
        <f>ROUND(SUM(J49:J50),1)</f>
        <v>952.8</v>
      </c>
      <c r="K51" s="20"/>
      <c r="L51" s="1516">
        <f>ROUND(SUM(L49:L50),1)</f>
        <v>-2390.8000000000002</v>
      </c>
      <c r="M51" s="20"/>
      <c r="N51" s="1516">
        <f>ROUND(SUM(N49:N50),1)</f>
        <v>-10705.3</v>
      </c>
      <c r="O51" s="1442"/>
      <c r="P51" s="2306"/>
      <c r="Q51" s="3654"/>
      <c r="R51" s="1516">
        <f>ROUND(SUM(R49:R50),1)</f>
        <v>314.8</v>
      </c>
      <c r="S51" s="1442"/>
      <c r="T51" s="1516">
        <f>ROUND(SUM(T49:T50),1)</f>
        <v>1172.3</v>
      </c>
      <c r="U51" s="1442"/>
      <c r="V51" s="1442"/>
      <c r="W51" s="2245"/>
      <c r="X51" s="1442"/>
      <c r="Y51" s="3315">
        <f>ROUND(SUM(+Y49+Y50),1)</f>
        <v>-206.6</v>
      </c>
      <c r="Z51" s="20"/>
      <c r="AA51" s="2243">
        <f>ROUND(SUM(+AA49+AA50),1)</f>
        <v>-536.1</v>
      </c>
      <c r="AB51" s="2246"/>
      <c r="AC51" s="2307"/>
      <c r="AD51" s="2243">
        <f>ROUND(SUM(AD49-AD50),1)</f>
        <v>1708.4</v>
      </c>
      <c r="AE51" s="2221"/>
      <c r="AF51" s="1396">
        <f>ROUND(SUM(AD51/ABS(AA51)),3)</f>
        <v>3.1869999999999998</v>
      </c>
      <c r="AG51" s="2174" t="s">
        <v>14</v>
      </c>
    </row>
    <row r="52" spans="1:33" ht="16.350000000000001" customHeight="1">
      <c r="A52" s="2190"/>
      <c r="B52" s="2190"/>
      <c r="C52" s="2190"/>
      <c r="D52" s="599"/>
      <c r="E52" s="9"/>
      <c r="F52" s="14"/>
      <c r="G52" s="9"/>
      <c r="H52" s="1390"/>
      <c r="I52" s="19"/>
      <c r="J52" s="1393"/>
      <c r="K52" s="19"/>
      <c r="L52" s="1390"/>
      <c r="M52" s="19"/>
      <c r="N52" s="1393"/>
      <c r="O52" s="1393"/>
      <c r="P52" s="2302"/>
      <c r="Q52" s="2316"/>
      <c r="R52" s="1393"/>
      <c r="S52" s="1393"/>
      <c r="T52" s="1393"/>
      <c r="U52" s="1393"/>
      <c r="V52" s="1393"/>
      <c r="W52" s="2241"/>
      <c r="X52" s="1393"/>
      <c r="Y52" s="1393"/>
      <c r="Z52" s="19"/>
      <c r="AA52" s="1393"/>
      <c r="AB52" s="2200"/>
      <c r="AC52" s="2296"/>
      <c r="AD52" s="1393"/>
      <c r="AE52" s="2172"/>
      <c r="AF52" s="1397"/>
    </row>
    <row r="53" spans="1:33" ht="18" customHeight="1">
      <c r="A53" s="2188" t="s">
        <v>43</v>
      </c>
      <c r="B53" s="2189"/>
      <c r="C53" s="2190"/>
      <c r="D53" s="598"/>
      <c r="E53" s="9"/>
      <c r="F53" s="9"/>
      <c r="G53" s="9"/>
      <c r="H53" s="602"/>
      <c r="I53" s="19"/>
      <c r="J53" s="19"/>
      <c r="K53" s="19"/>
      <c r="L53" s="602"/>
      <c r="M53" s="19"/>
      <c r="N53" s="19"/>
      <c r="O53" s="1393"/>
      <c r="P53" s="2302"/>
      <c r="Q53" s="2316"/>
      <c r="R53" s="19"/>
      <c r="S53" s="19"/>
      <c r="T53" s="19"/>
      <c r="U53" s="19"/>
      <c r="V53" s="19"/>
      <c r="W53" s="2241"/>
      <c r="X53" s="19"/>
      <c r="Y53" s="19"/>
      <c r="Z53" s="19"/>
      <c r="AA53" s="19"/>
      <c r="AB53" s="2200"/>
      <c r="AC53" s="2296"/>
      <c r="AD53" s="19"/>
      <c r="AE53" s="2172"/>
      <c r="AF53" s="1398"/>
    </row>
    <row r="54" spans="1:33" ht="18" customHeight="1">
      <c r="A54" s="2188" t="s">
        <v>57</v>
      </c>
      <c r="B54" s="2188"/>
      <c r="C54" s="2235"/>
      <c r="D54" s="602"/>
      <c r="E54" s="9"/>
      <c r="F54" s="9"/>
      <c r="G54" s="9"/>
      <c r="H54" s="602"/>
      <c r="I54" s="19"/>
      <c r="J54" s="19"/>
      <c r="K54" s="19"/>
      <c r="L54" s="602"/>
      <c r="M54" s="19"/>
      <c r="N54" s="19"/>
      <c r="O54" s="1393"/>
      <c r="P54" s="2302"/>
      <c r="Q54" s="2316"/>
      <c r="R54" s="19"/>
      <c r="S54" s="19"/>
      <c r="T54" s="19"/>
      <c r="U54" s="19"/>
      <c r="V54" s="19"/>
      <c r="W54" s="2241"/>
      <c r="X54" s="19"/>
      <c r="Y54" s="19" t="s">
        <v>14</v>
      </c>
      <c r="Z54" s="19"/>
      <c r="AA54" s="19"/>
      <c r="AB54" s="2200"/>
      <c r="AC54" s="2296"/>
      <c r="AD54" s="19"/>
      <c r="AE54" s="2172"/>
      <c r="AF54" s="1397"/>
    </row>
    <row r="55" spans="1:33" ht="18" customHeight="1">
      <c r="A55" s="2188" t="s">
        <v>58</v>
      </c>
      <c r="B55" s="2188"/>
      <c r="C55" s="2235"/>
      <c r="D55" s="20">
        <f>ROUND(SUM(D46+D51),1)</f>
        <v>-5382.1</v>
      </c>
      <c r="E55" s="20"/>
      <c r="F55" s="20">
        <f>ROUND(SUM(F46)+SUM(F51),1)</f>
        <v>7258.6</v>
      </c>
      <c r="G55" s="20"/>
      <c r="H55" s="20">
        <f>ROUND(SUM(H46+H51),1)</f>
        <v>225.9</v>
      </c>
      <c r="I55" s="20"/>
      <c r="J55" s="20">
        <f>ROUND(SUM(J46)+SUM(J51),1)</f>
        <v>1141.5999999999999</v>
      </c>
      <c r="K55" s="20"/>
      <c r="L55" s="20">
        <f>ROUND(SUM(L46+L51),1)</f>
        <v>54.3</v>
      </c>
      <c r="M55" s="2318"/>
      <c r="N55" s="2318">
        <f>ROUND(SUM(N46+N51),1)</f>
        <v>218.2</v>
      </c>
      <c r="O55" s="2306"/>
      <c r="P55" s="2306"/>
      <c r="Q55" s="2319"/>
      <c r="R55" s="2318">
        <f>ROUND(SUM(+R46+R51),1)</f>
        <v>-5101.8999999999996</v>
      </c>
      <c r="S55" s="2318"/>
      <c r="T55" s="2318">
        <f>ROUND(SUM(T46+T51),1)</f>
        <v>8618.4</v>
      </c>
      <c r="U55" s="2318"/>
      <c r="V55" s="2318"/>
      <c r="W55" s="2320"/>
      <c r="X55" s="2318"/>
      <c r="Y55" s="20">
        <f>ROUND(SUM(Y46)+SUM(Y51),1)</f>
        <v>2200.9</v>
      </c>
      <c r="Z55" s="20"/>
      <c r="AA55" s="20">
        <f>ROUND(SUM(AA46)+SUM(AA51),1)</f>
        <v>6019.9</v>
      </c>
      <c r="AB55" s="2246"/>
      <c r="AC55" s="2307"/>
      <c r="AD55" s="1442">
        <f>ROUND(SUM(+AD46+AD51),1)</f>
        <v>2598.5</v>
      </c>
      <c r="AE55" s="2221"/>
      <c r="AF55" s="1452">
        <f>ROUND(SUM(AD55/AA55),3)</f>
        <v>0.432</v>
      </c>
    </row>
    <row r="56" spans="1:33" ht="16.350000000000001" customHeight="1">
      <c r="A56" s="2189"/>
      <c r="B56" s="2189"/>
      <c r="C56" s="2190"/>
      <c r="D56" s="598"/>
      <c r="E56" s="9"/>
      <c r="F56" s="14"/>
      <c r="G56" s="9"/>
      <c r="H56" s="602"/>
      <c r="I56" s="19"/>
      <c r="J56" s="19"/>
      <c r="K56" s="19"/>
      <c r="L56" s="602"/>
      <c r="M56" s="19"/>
      <c r="N56" s="19"/>
      <c r="O56" s="1393"/>
      <c r="P56" s="2302"/>
      <c r="Q56" s="2316"/>
      <c r="R56" s="19"/>
      <c r="S56" s="19"/>
      <c r="T56" s="19"/>
      <c r="U56" s="19"/>
      <c r="V56" s="19"/>
      <c r="W56" s="2241"/>
      <c r="X56" s="19"/>
      <c r="Y56" s="19"/>
      <c r="Z56" s="19"/>
      <c r="AA56" s="19"/>
      <c r="AB56" s="2200"/>
      <c r="AC56" s="2296"/>
      <c r="AD56" s="19"/>
      <c r="AE56" s="2172"/>
      <c r="AF56" s="1397"/>
    </row>
    <row r="57" spans="1:33" ht="18" customHeight="1">
      <c r="A57" s="2321" t="s">
        <v>51</v>
      </c>
      <c r="B57" s="2227"/>
      <c r="C57" s="2190"/>
      <c r="D57" s="17">
        <f>+'Exhibit A'!D57</f>
        <v>45693.4</v>
      </c>
      <c r="E57" s="1336"/>
      <c r="F57" s="17">
        <f>'Exhibit A'!F57</f>
        <v>33052.699999999997</v>
      </c>
      <c r="G57" s="1336"/>
      <c r="H57" s="1605">
        <f>+'Exhibit G State'!F13</f>
        <v>8528.2000000000007</v>
      </c>
      <c r="I57" s="20"/>
      <c r="J57" s="1605">
        <f>'Exhibit G State'!D13</f>
        <v>7612.5</v>
      </c>
      <c r="K57" s="20"/>
      <c r="L57" s="1605">
        <f>+'Exhibit A'!L57</f>
        <v>265.89999999999998</v>
      </c>
      <c r="M57" s="1442"/>
      <c r="N57" s="3653">
        <f>+'Exhibit A'!N57</f>
        <v>102</v>
      </c>
      <c r="O57" s="1442"/>
      <c r="P57" s="2306"/>
      <c r="Q57" s="3654"/>
      <c r="R57" s="1605">
        <f>ROUND(SUM(D57+H57+L57),1)</f>
        <v>54487.5</v>
      </c>
      <c r="S57" s="1442"/>
      <c r="T57" s="1605">
        <f>ROUND(SUM(F57+J57+N57),1)</f>
        <v>40767.199999999997</v>
      </c>
      <c r="U57" s="1442"/>
      <c r="V57" s="1442"/>
      <c r="W57" s="2245"/>
      <c r="X57" s="1442"/>
      <c r="Y57" s="1605">
        <v>18753.399999999998</v>
      </c>
      <c r="Z57" s="20" t="s">
        <v>14</v>
      </c>
      <c r="AA57" s="1605">
        <f>'Exhibit F'!AF12+'Exhibit G State'!AG13+'Exhibit H'!AD12</f>
        <v>14934.4</v>
      </c>
      <c r="AB57" s="2246"/>
      <c r="AC57" s="2307"/>
      <c r="AD57" s="1605">
        <f>ROUND(SUM(T57-AA57),1)</f>
        <v>25832.799999999999</v>
      </c>
      <c r="AE57" s="2221"/>
      <c r="AF57" s="2248">
        <f>ROUND(+AD57/AA57,3)</f>
        <v>1.73</v>
      </c>
    </row>
    <row r="58" spans="1:33" ht="16.350000000000001" customHeight="1">
      <c r="A58" s="2235"/>
      <c r="B58" s="2190"/>
      <c r="C58" s="2190"/>
      <c r="D58" s="2322"/>
      <c r="E58" s="2190"/>
      <c r="F58" s="7"/>
      <c r="G58" s="2190"/>
      <c r="H58" s="2322"/>
      <c r="I58" s="2235"/>
      <c r="J58" s="2200"/>
      <c r="K58" s="2235"/>
      <c r="L58" s="2322"/>
      <c r="M58" s="2235"/>
      <c r="N58" s="2200"/>
      <c r="O58" s="2200"/>
      <c r="P58" s="2293"/>
      <c r="Q58" s="3859"/>
      <c r="R58" s="2200"/>
      <c r="S58" s="2200"/>
      <c r="T58" s="2200"/>
      <c r="U58" s="2200"/>
      <c r="V58" s="2200"/>
      <c r="W58" s="2295"/>
      <c r="X58" s="2200"/>
      <c r="Y58" s="2200"/>
      <c r="Z58" s="2235"/>
      <c r="AA58" s="2200"/>
      <c r="AB58" s="2200"/>
      <c r="AC58" s="2296"/>
      <c r="AD58" s="1393"/>
      <c r="AE58" s="2172"/>
      <c r="AF58" s="1397"/>
    </row>
    <row r="59" spans="1:33" ht="18" customHeight="1" thickBot="1">
      <c r="A59" s="2323" t="s">
        <v>59</v>
      </c>
      <c r="B59" s="2324" t="s">
        <v>14</v>
      </c>
      <c r="C59" s="2190"/>
      <c r="D59" s="22">
        <f>ROUND(SUM(D55+D57),1)</f>
        <v>40311.300000000003</v>
      </c>
      <c r="E59" s="2251"/>
      <c r="F59" s="22">
        <f>ROUND(SUM(F55+F57),1)</f>
        <v>40311.300000000003</v>
      </c>
      <c r="G59" s="2251"/>
      <c r="H59" s="22">
        <f>ROUND(SUM(H55+H57),1)</f>
        <v>8754.1</v>
      </c>
      <c r="I59" s="2251"/>
      <c r="J59" s="22">
        <f>ROUND(SUM(J55)+SUM(J57),1)</f>
        <v>8754.1</v>
      </c>
      <c r="K59" s="2251"/>
      <c r="L59" s="22">
        <f>ROUND(SUM(L55+L57),1)</f>
        <v>320.2</v>
      </c>
      <c r="M59" s="2325"/>
      <c r="N59" s="2326">
        <f>ROUND(SUM(N55+N57),1)</f>
        <v>320.2</v>
      </c>
      <c r="O59" s="2327"/>
      <c r="P59" s="2327"/>
      <c r="Q59" s="2328"/>
      <c r="R59" s="2326">
        <f>ROUND(SUM(R55+R57),1)</f>
        <v>49385.599999999999</v>
      </c>
      <c r="S59" s="2327"/>
      <c r="T59" s="2326">
        <f>ROUND(SUM(T55+T57),1)</f>
        <v>49385.599999999999</v>
      </c>
      <c r="U59" s="2327"/>
      <c r="V59" s="2327"/>
      <c r="W59" s="2329"/>
      <c r="X59" s="2327"/>
      <c r="Y59" s="22">
        <f>ROUND(SUM(Y55+Y57),1)</f>
        <v>20954.3</v>
      </c>
      <c r="Z59" s="2251"/>
      <c r="AA59" s="22">
        <f>ROUND(SUM(AA55+AA57),1)</f>
        <v>20954.3</v>
      </c>
      <c r="AB59" s="2256"/>
      <c r="AC59" s="2330"/>
      <c r="AD59" s="22">
        <f>ROUND(SUM(AD55+AD57),1)</f>
        <v>28431.3</v>
      </c>
      <c r="AE59" s="2221"/>
      <c r="AF59" s="2255">
        <f>ROUND(+AD59/AA59,3)</f>
        <v>1.357</v>
      </c>
      <c r="AG59" s="2174" t="s">
        <v>14</v>
      </c>
    </row>
    <row r="60" spans="1:33" ht="15.75" thickTop="1">
      <c r="A60" s="2257"/>
      <c r="B60" s="2257"/>
      <c r="C60" s="2257"/>
      <c r="D60" s="2258"/>
      <c r="E60" s="2258"/>
      <c r="F60" s="2258"/>
      <c r="G60" s="2258"/>
      <c r="H60" s="2259"/>
      <c r="I60" s="2260"/>
      <c r="J60" s="2260"/>
      <c r="K60" s="2260"/>
      <c r="L60" s="2260"/>
      <c r="M60" s="2260"/>
      <c r="N60" s="2260"/>
      <c r="O60" s="2260"/>
      <c r="P60" s="2331"/>
      <c r="Q60" s="2260"/>
      <c r="R60" s="2260"/>
      <c r="S60" s="2260"/>
      <c r="T60" s="2260"/>
      <c r="U60" s="2260"/>
      <c r="V60" s="2260"/>
      <c r="W60" s="2260"/>
      <c r="X60" s="2260"/>
      <c r="Y60" s="2260"/>
      <c r="Z60" s="2260"/>
      <c r="AA60" s="2260"/>
      <c r="AB60" s="2260"/>
      <c r="AC60" s="2260"/>
      <c r="AD60" s="2260"/>
      <c r="AE60" s="2172"/>
      <c r="AF60" s="2261"/>
    </row>
    <row r="61" spans="1:33">
      <c r="A61" s="2237"/>
      <c r="B61" s="2237"/>
      <c r="C61" s="2237"/>
      <c r="D61" s="2237"/>
      <c r="E61" s="2237"/>
      <c r="F61" s="2237"/>
      <c r="G61" s="2237"/>
      <c r="H61" s="2263" t="s">
        <v>14</v>
      </c>
      <c r="I61" s="2237"/>
      <c r="J61" s="2237"/>
      <c r="K61" s="2237"/>
      <c r="L61" s="2237"/>
      <c r="M61" s="2237"/>
      <c r="N61" s="2237"/>
      <c r="O61" s="2237"/>
      <c r="P61" s="2237"/>
      <c r="Q61" s="2237" t="s">
        <v>14</v>
      </c>
      <c r="R61" s="2237" t="s">
        <v>14</v>
      </c>
      <c r="S61" s="2237"/>
      <c r="T61" s="2273"/>
      <c r="U61" s="2273"/>
      <c r="V61" s="2273"/>
      <c r="W61" s="2273"/>
      <c r="X61" s="2273"/>
      <c r="Y61" s="2273"/>
      <c r="Z61" s="2273"/>
      <c r="AA61" s="2273"/>
      <c r="AB61" s="2273"/>
    </row>
    <row r="62" spans="1:33" ht="18" customHeight="1">
      <c r="A62" s="2194" t="s">
        <v>1089</v>
      </c>
      <c r="B62" s="2237"/>
      <c r="C62" s="2237"/>
      <c r="D62" s="2237"/>
      <c r="E62" s="2237"/>
      <c r="F62" s="2237"/>
      <c r="G62" s="2237"/>
      <c r="H62" s="2263"/>
      <c r="I62" s="2237"/>
      <c r="J62" s="2237"/>
      <c r="K62" s="2237"/>
      <c r="L62" s="2237"/>
      <c r="M62" s="2237"/>
      <c r="N62" s="2237"/>
      <c r="O62" s="2237"/>
      <c r="P62" s="2237"/>
      <c r="Q62" s="2237"/>
      <c r="R62" s="2237"/>
      <c r="S62" s="2237"/>
      <c r="T62" s="2273"/>
      <c r="U62" s="2273"/>
      <c r="V62" s="2273"/>
      <c r="W62" s="2273"/>
      <c r="X62" s="2273"/>
      <c r="Y62" s="2273"/>
      <c r="Z62" s="2273"/>
      <c r="AA62" s="2273" t="s">
        <v>14</v>
      </c>
      <c r="AB62" s="2273"/>
    </row>
    <row r="63" spans="1:33" ht="18" customHeight="1">
      <c r="A63" s="2332" t="s">
        <v>1088</v>
      </c>
      <c r="B63" s="2237"/>
      <c r="C63" s="2237"/>
      <c r="D63" s="2237"/>
      <c r="E63" s="2237"/>
      <c r="F63" s="2237"/>
      <c r="G63" s="2237"/>
      <c r="H63" s="2263"/>
      <c r="I63" s="2237"/>
      <c r="J63" s="2237"/>
      <c r="K63" s="2237"/>
      <c r="L63" s="2237"/>
      <c r="M63" s="2237"/>
      <c r="N63" s="2237"/>
      <c r="O63" s="2237"/>
      <c r="P63" s="2237"/>
      <c r="Q63" s="2237"/>
      <c r="R63" s="2237"/>
      <c r="S63" s="2237"/>
      <c r="T63" s="2273"/>
      <c r="U63" s="2273"/>
      <c r="V63" s="2273"/>
      <c r="W63" s="2273"/>
      <c r="X63" s="2273"/>
      <c r="Y63" s="2273"/>
      <c r="Z63" s="2273"/>
      <c r="AA63" s="2273"/>
      <c r="AB63" s="2273"/>
    </row>
    <row r="64" spans="1:33" ht="15">
      <c r="A64" s="2292"/>
      <c r="B64" s="2237"/>
      <c r="C64" s="2237"/>
      <c r="D64" s="2237"/>
      <c r="E64" s="2237"/>
      <c r="F64" s="2237"/>
      <c r="G64" s="2237"/>
      <c r="H64" s="2263"/>
      <c r="I64" s="2237"/>
      <c r="J64" s="2237"/>
      <c r="K64" s="2237"/>
      <c r="L64" s="2237"/>
      <c r="M64" s="2237"/>
      <c r="N64" s="2237"/>
      <c r="O64" s="2237"/>
      <c r="P64" s="2237"/>
      <c r="Q64" s="2237"/>
      <c r="R64" s="2237"/>
      <c r="S64" s="2237"/>
      <c r="T64" s="2273"/>
      <c r="U64" s="2273"/>
      <c r="V64" s="2273"/>
      <c r="W64" s="2273"/>
      <c r="X64" s="2273"/>
      <c r="Y64" s="602" t="s">
        <v>14</v>
      </c>
      <c r="Z64" s="2273"/>
      <c r="AA64" s="2273" t="s">
        <v>14</v>
      </c>
      <c r="AB64" s="2273"/>
    </row>
    <row r="65" spans="1:28" ht="15.75">
      <c r="A65" s="2268"/>
      <c r="B65" s="2269"/>
      <c r="C65" s="2262"/>
      <c r="D65" s="2271"/>
      <c r="E65" s="2271"/>
      <c r="F65" s="2271"/>
      <c r="G65" s="2271"/>
      <c r="H65" s="2270"/>
      <c r="I65" s="2271"/>
      <c r="J65" s="2271"/>
      <c r="K65" s="2271"/>
      <c r="L65" s="2271"/>
      <c r="M65" s="2237"/>
      <c r="N65" s="2237"/>
      <c r="O65" s="2237"/>
      <c r="P65" s="2237"/>
      <c r="Q65" s="2237"/>
      <c r="R65" s="2237"/>
      <c r="S65" s="2237"/>
      <c r="T65" s="2273"/>
      <c r="U65" s="2273"/>
      <c r="V65" s="2273"/>
      <c r="W65" s="2273"/>
      <c r="X65" s="2273"/>
      <c r="Y65" s="602" t="s">
        <v>14</v>
      </c>
      <c r="Z65" s="2273"/>
      <c r="AA65" s="2273"/>
      <c r="AB65" s="2273"/>
    </row>
    <row r="66" spans="1:28" ht="15">
      <c r="A66" s="1397"/>
      <c r="B66" s="1397"/>
      <c r="C66" s="1397"/>
      <c r="D66" s="2194"/>
      <c r="E66" s="1397"/>
      <c r="F66" s="1397"/>
      <c r="G66" s="1397"/>
      <c r="H66" s="2272"/>
      <c r="I66" s="1397"/>
      <c r="J66" s="1397"/>
      <c r="K66" s="1397"/>
      <c r="L66" s="2194"/>
      <c r="M66" s="2237"/>
      <c r="N66" s="2237"/>
      <c r="O66" s="2237"/>
      <c r="P66" s="2237"/>
      <c r="Q66" s="2237"/>
      <c r="R66" s="2237"/>
      <c r="S66" s="2237"/>
      <c r="T66" s="2273"/>
      <c r="U66" s="2273"/>
      <c r="V66" s="2273"/>
      <c r="W66" s="2273"/>
      <c r="X66" s="2273"/>
      <c r="Y66" s="2273"/>
      <c r="Z66" s="2273"/>
      <c r="AA66" s="2273"/>
      <c r="AB66" s="2273"/>
    </row>
    <row r="67" spans="1:28" ht="15">
      <c r="A67" s="1397"/>
      <c r="B67" s="1397"/>
      <c r="C67" s="1397"/>
      <c r="D67" s="2194"/>
      <c r="E67" s="1397"/>
      <c r="F67" s="1397"/>
      <c r="G67" s="1397"/>
      <c r="H67" s="2272"/>
      <c r="I67" s="1397"/>
      <c r="J67" s="1397"/>
      <c r="K67" s="1397"/>
      <c r="L67" s="2194"/>
      <c r="M67" s="2237"/>
      <c r="N67" s="2237"/>
      <c r="O67" s="2237"/>
      <c r="P67" s="2237"/>
      <c r="Q67" s="2237"/>
      <c r="R67" s="2237"/>
      <c r="S67" s="2237"/>
      <c r="T67" s="2273"/>
      <c r="U67" s="2273"/>
      <c r="V67" s="2273"/>
      <c r="W67" s="2273"/>
      <c r="X67" s="2273"/>
      <c r="Y67" s="2273"/>
      <c r="Z67" s="2273"/>
      <c r="AA67" s="2273"/>
      <c r="AB67" s="2273"/>
    </row>
    <row r="68" spans="1:28" ht="15">
      <c r="A68" s="1397"/>
      <c r="B68" s="1397"/>
      <c r="C68" s="1397"/>
      <c r="D68" s="2194"/>
      <c r="E68" s="1397"/>
      <c r="F68" s="1397"/>
      <c r="G68" s="1397"/>
      <c r="H68" s="2272"/>
      <c r="I68" s="1397"/>
      <c r="J68" s="1397"/>
      <c r="K68" s="1397"/>
      <c r="L68" s="2194"/>
      <c r="M68" s="2237"/>
      <c r="N68" s="2237"/>
      <c r="O68" s="2237"/>
      <c r="P68" s="2237"/>
      <c r="Q68" s="2237"/>
      <c r="R68" s="2237"/>
      <c r="S68" s="2237"/>
      <c r="T68" s="2273"/>
      <c r="U68" s="2273"/>
      <c r="V68" s="2273"/>
      <c r="W68" s="2273"/>
      <c r="X68" s="2273"/>
      <c r="Y68" s="2273"/>
      <c r="Z68" s="2273"/>
      <c r="AA68" s="2273"/>
      <c r="AB68" s="2273"/>
    </row>
    <row r="69" spans="1:28" ht="19.5" customHeight="1">
      <c r="A69" s="2179"/>
      <c r="I69" s="1397"/>
    </row>
  </sheetData>
  <mergeCells count="7">
    <mergeCell ref="R10:AB10"/>
    <mergeCell ref="D10:N10"/>
    <mergeCell ref="L11:N11"/>
    <mergeCell ref="A3:AB3"/>
    <mergeCell ref="A4:AB4"/>
    <mergeCell ref="A5:AB5"/>
    <mergeCell ref="A7:AB7"/>
  </mergeCells>
  <pageMargins left="0.25" right="0.25" top="0.5" bottom="0.25" header="0" footer="0.25"/>
  <pageSetup scale="49"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numberStoredAsText="1"/>
    <ignoredError sqref="AF20 AF26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72"/>
  <sheetViews>
    <sheetView showGridLines="0" zoomScale="90" zoomScaleNormal="85" workbookViewId="0"/>
  </sheetViews>
  <sheetFormatPr defaultColWidth="8.6640625" defaultRowHeight="15.75"/>
  <cols>
    <col min="1" max="1" width="56.6640625" style="710" customWidth="1"/>
    <col min="2" max="2" width="2.109375" style="710" customWidth="1"/>
    <col min="3" max="3" width="19" style="709" customWidth="1"/>
    <col min="4" max="4" width="1.6640625" style="710" customWidth="1"/>
    <col min="5" max="5" width="16.44140625" style="710" customWidth="1"/>
    <col min="6" max="6" width="1.5546875" style="710" customWidth="1"/>
    <col min="7" max="7" width="16.5546875" style="710" customWidth="1"/>
    <col min="8" max="8" width="1.5546875" style="710" customWidth="1"/>
    <col min="9" max="9" width="17.6640625" style="710" customWidth="1"/>
    <col min="10" max="10" width="1.5546875" style="710" customWidth="1"/>
    <col min="11" max="11" width="20.109375" style="710" customWidth="1"/>
    <col min="12" max="12" width="6.109375" style="2155" customWidth="1"/>
    <col min="13" max="13" width="2.5546875" style="2155" customWidth="1"/>
    <col min="14" max="14" width="11" style="2155" bestFit="1" customWidth="1"/>
    <col min="15" max="15" width="20.6640625" style="710" customWidth="1"/>
    <col min="16" max="16384" width="8.6640625" style="710"/>
  </cols>
  <sheetData>
    <row r="1" spans="1:15">
      <c r="A1" s="1462" t="s">
        <v>870</v>
      </c>
    </row>
    <row r="2" spans="1:15">
      <c r="A2" s="2909"/>
    </row>
    <row r="3" spans="1:15" ht="17.45" customHeight="1">
      <c r="A3" s="2910" t="s">
        <v>0</v>
      </c>
      <c r="B3" s="752"/>
      <c r="C3" s="752"/>
      <c r="D3" s="752"/>
      <c r="E3" s="752"/>
      <c r="F3" s="752"/>
      <c r="G3" s="752"/>
      <c r="H3" s="752"/>
      <c r="I3" s="752"/>
      <c r="J3" s="752"/>
      <c r="K3" s="2911" t="s">
        <v>226</v>
      </c>
      <c r="L3" s="2912"/>
    </row>
    <row r="4" spans="1:15" ht="17.45" customHeight="1">
      <c r="A4" s="2910" t="s">
        <v>225</v>
      </c>
      <c r="B4" s="752"/>
      <c r="C4" s="752" t="s">
        <v>14</v>
      </c>
      <c r="D4" s="752"/>
      <c r="E4" s="752"/>
      <c r="F4" s="752"/>
      <c r="G4" s="752"/>
      <c r="H4" s="752"/>
      <c r="I4" s="752"/>
      <c r="J4" s="752"/>
      <c r="L4" s="2913"/>
    </row>
    <row r="5" spans="1:15" ht="17.45" customHeight="1">
      <c r="A5" s="2910" t="s">
        <v>1163</v>
      </c>
      <c r="B5" s="752"/>
      <c r="C5" s="752"/>
      <c r="D5" s="752"/>
      <c r="E5" s="752"/>
      <c r="F5" s="752"/>
      <c r="G5" s="752"/>
      <c r="H5" s="752"/>
      <c r="I5" s="752"/>
      <c r="J5" s="752"/>
      <c r="K5" s="2914"/>
      <c r="L5" s="2915"/>
    </row>
    <row r="6" spans="1:15" ht="17.45" customHeight="1">
      <c r="A6" s="2916" t="s">
        <v>227</v>
      </c>
      <c r="B6" s="752"/>
      <c r="C6" s="752"/>
      <c r="D6" s="752"/>
      <c r="E6" s="3900"/>
      <c r="F6" s="752"/>
      <c r="G6" s="752"/>
      <c r="H6" s="752"/>
      <c r="I6" s="752"/>
      <c r="J6" s="752"/>
      <c r="K6" s="425"/>
      <c r="L6" s="2917"/>
    </row>
    <row r="7" spans="1:15" ht="17.45" customHeight="1">
      <c r="A7" s="2916" t="s">
        <v>1474</v>
      </c>
      <c r="B7" s="752"/>
      <c r="C7" s="752"/>
      <c r="D7" s="752"/>
      <c r="E7" s="752"/>
      <c r="F7" s="752"/>
      <c r="G7" s="752"/>
      <c r="H7" s="752"/>
      <c r="I7" s="752"/>
      <c r="J7" s="752"/>
      <c r="K7" s="425"/>
      <c r="L7" s="2917"/>
    </row>
    <row r="8" spans="1:15" ht="17.45" customHeight="1">
      <c r="A8" s="2916" t="s">
        <v>1513</v>
      </c>
      <c r="B8" s="752"/>
      <c r="C8" s="752"/>
      <c r="D8" s="752"/>
      <c r="E8" s="752" t="s">
        <v>14</v>
      </c>
      <c r="F8" s="752"/>
      <c r="G8" s="752"/>
      <c r="H8" s="752"/>
      <c r="I8" s="752"/>
      <c r="J8" s="752"/>
      <c r="K8" s="752"/>
      <c r="L8" s="2912"/>
    </row>
    <row r="9" spans="1:15" ht="17.45" customHeight="1">
      <c r="A9" s="2910" t="s">
        <v>1254</v>
      </c>
      <c r="B9" s="2918" t="s">
        <v>228</v>
      </c>
      <c r="C9" s="705"/>
      <c r="D9" s="705"/>
      <c r="E9" s="705"/>
      <c r="F9" s="705"/>
      <c r="G9" s="705"/>
      <c r="H9" s="705"/>
      <c r="I9" s="705"/>
      <c r="J9" s="705"/>
      <c r="K9" s="705"/>
      <c r="L9" s="707"/>
    </row>
    <row r="10" spans="1:15">
      <c r="A10" s="705"/>
      <c r="B10" s="705"/>
      <c r="C10" s="422" t="s">
        <v>229</v>
      </c>
      <c r="D10" s="426"/>
      <c r="E10" s="426"/>
      <c r="F10" s="426"/>
      <c r="G10" s="428"/>
      <c r="H10" s="426"/>
      <c r="I10" s="2150" t="s">
        <v>230</v>
      </c>
      <c r="J10" s="426"/>
      <c r="K10" s="2150" t="s">
        <v>229</v>
      </c>
      <c r="L10" s="2150"/>
    </row>
    <row r="11" spans="1:15">
      <c r="A11" s="705"/>
      <c r="B11" s="705"/>
      <c r="C11" s="3330" t="s">
        <v>1514</v>
      </c>
      <c r="D11" s="426"/>
      <c r="E11" s="2151" t="s">
        <v>231</v>
      </c>
      <c r="F11" s="428"/>
      <c r="G11" s="2152" t="s">
        <v>232</v>
      </c>
      <c r="H11" s="428"/>
      <c r="I11" s="2152" t="s">
        <v>233</v>
      </c>
      <c r="J11" s="428"/>
      <c r="K11" s="2919" t="s">
        <v>1505</v>
      </c>
      <c r="L11" s="2153"/>
    </row>
    <row r="12" spans="1:15">
      <c r="A12" s="705"/>
      <c r="B12" s="705"/>
      <c r="C12" s="2153"/>
      <c r="D12" s="426"/>
      <c r="E12" s="2150"/>
      <c r="F12" s="428"/>
      <c r="G12" s="2150"/>
      <c r="H12" s="428"/>
      <c r="I12" s="2150"/>
      <c r="J12" s="428"/>
      <c r="K12" s="2920"/>
      <c r="L12" s="2153"/>
    </row>
    <row r="13" spans="1:15">
      <c r="A13" s="423" t="s">
        <v>143</v>
      </c>
      <c r="B13" s="705"/>
      <c r="C13" s="707"/>
      <c r="D13" s="705"/>
      <c r="E13" s="1672"/>
      <c r="F13" s="705"/>
      <c r="G13" s="704"/>
      <c r="H13" s="705"/>
      <c r="I13" s="704"/>
      <c r="J13" s="705"/>
      <c r="K13" s="707"/>
      <c r="L13" s="707"/>
    </row>
    <row r="14" spans="1:15">
      <c r="A14" s="705" t="s">
        <v>234</v>
      </c>
      <c r="B14" s="1672"/>
      <c r="C14" s="1639">
        <v>0</v>
      </c>
      <c r="D14" s="1640"/>
      <c r="E14" s="1639">
        <v>8.5000000000000006E-2</v>
      </c>
      <c r="F14" s="1640"/>
      <c r="G14" s="1639">
        <v>6725.2460000000001</v>
      </c>
      <c r="H14" s="1640"/>
      <c r="I14" s="1639">
        <v>6725.1610000000001</v>
      </c>
      <c r="J14" s="1672"/>
      <c r="K14" s="768">
        <f>ROUND(SUM(C14)+SUM(E14)-SUM(G14)+SUM(I14),3)</f>
        <v>0</v>
      </c>
      <c r="L14" s="2069"/>
      <c r="O14" s="3799"/>
    </row>
    <row r="15" spans="1:15">
      <c r="A15" s="705" t="s">
        <v>235</v>
      </c>
      <c r="B15" s="705"/>
      <c r="C15" s="1643">
        <v>45667.048999999999</v>
      </c>
      <c r="D15" s="1640"/>
      <c r="E15" s="1643">
        <v>2076.0349999999999</v>
      </c>
      <c r="F15" s="1640"/>
      <c r="G15" s="1643">
        <v>2919.8879999999999</v>
      </c>
      <c r="H15" s="1640"/>
      <c r="I15" s="1643">
        <v>-4538.1779999999999</v>
      </c>
      <c r="J15" s="1672"/>
      <c r="K15" s="623">
        <f t="shared" ref="K15:K23" si="0">ROUND(SUM(C15)+SUM(E15)-SUM(G15)+SUM(I15),3)</f>
        <v>40285.017999999996</v>
      </c>
      <c r="L15" s="2075"/>
      <c r="M15" s="2072"/>
      <c r="N15" s="2072"/>
      <c r="O15" s="3799"/>
    </row>
    <row r="16" spans="1:15">
      <c r="A16" s="706" t="s">
        <v>236</v>
      </c>
      <c r="B16" s="705"/>
      <c r="C16" s="1643">
        <v>0</v>
      </c>
      <c r="D16" s="1640"/>
      <c r="E16" s="1643">
        <v>0</v>
      </c>
      <c r="F16" s="1640"/>
      <c r="G16" s="1643">
        <v>0</v>
      </c>
      <c r="H16" s="1640"/>
      <c r="I16" s="1643">
        <v>0</v>
      </c>
      <c r="J16" s="1672"/>
      <c r="K16" s="623">
        <f t="shared" si="0"/>
        <v>0</v>
      </c>
      <c r="L16" s="2075"/>
      <c r="M16" s="2072"/>
      <c r="N16" s="2072"/>
      <c r="O16" s="3799"/>
    </row>
    <row r="17" spans="1:15">
      <c r="A17" s="705" t="s">
        <v>237</v>
      </c>
      <c r="B17" s="705"/>
      <c r="C17" s="1643">
        <v>0</v>
      </c>
      <c r="D17" s="1640"/>
      <c r="E17" s="1643">
        <v>0</v>
      </c>
      <c r="F17" s="1640"/>
      <c r="G17" s="1643">
        <v>0</v>
      </c>
      <c r="H17" s="1640"/>
      <c r="I17" s="1643">
        <v>0</v>
      </c>
      <c r="J17" s="1672"/>
      <c r="K17" s="623">
        <f t="shared" si="0"/>
        <v>0</v>
      </c>
      <c r="L17" s="2075"/>
      <c r="M17" s="2072"/>
      <c r="N17" s="2072"/>
      <c r="O17" s="3799"/>
    </row>
    <row r="18" spans="1:15">
      <c r="A18" s="705" t="s">
        <v>238</v>
      </c>
      <c r="B18" s="705"/>
      <c r="C18" s="1643">
        <v>0</v>
      </c>
      <c r="D18" s="1640"/>
      <c r="E18" s="1643">
        <v>0</v>
      </c>
      <c r="F18" s="1640"/>
      <c r="G18" s="1643">
        <v>0</v>
      </c>
      <c r="H18" s="1640"/>
      <c r="I18" s="1643">
        <v>0</v>
      </c>
      <c r="J18" s="1672"/>
      <c r="K18" s="623">
        <f t="shared" si="0"/>
        <v>0</v>
      </c>
      <c r="L18" s="2075"/>
      <c r="M18" s="2072"/>
      <c r="N18" s="2072"/>
      <c r="O18" s="3799"/>
    </row>
    <row r="19" spans="1:15">
      <c r="A19" s="705" t="s">
        <v>239</v>
      </c>
      <c r="B19" s="705"/>
      <c r="C19" s="1643">
        <v>26.396999999999998</v>
      </c>
      <c r="D19" s="1640"/>
      <c r="E19" s="1643">
        <v>0</v>
      </c>
      <c r="F19" s="1640"/>
      <c r="G19" s="1643">
        <v>8.2000000000000003E-2</v>
      </c>
      <c r="H19" s="1640"/>
      <c r="I19" s="1643">
        <v>0</v>
      </c>
      <c r="J19" s="1672"/>
      <c r="K19" s="623">
        <f t="shared" si="0"/>
        <v>26.315000000000001</v>
      </c>
      <c r="L19" s="708"/>
      <c r="M19" s="2072"/>
      <c r="N19" s="2072"/>
      <c r="O19" s="3799"/>
    </row>
    <row r="20" spans="1:15">
      <c r="A20" s="705" t="s">
        <v>240</v>
      </c>
      <c r="B20" s="705"/>
      <c r="C20" s="1643">
        <v>0</v>
      </c>
      <c r="D20" s="1640"/>
      <c r="E20" s="1643">
        <v>0</v>
      </c>
      <c r="F20" s="1640"/>
      <c r="G20" s="1643">
        <v>0</v>
      </c>
      <c r="H20" s="1640"/>
      <c r="I20" s="1643">
        <v>0</v>
      </c>
      <c r="J20" s="1672"/>
      <c r="K20" s="623">
        <f t="shared" si="0"/>
        <v>0</v>
      </c>
      <c r="L20" s="2075"/>
      <c r="M20" s="2072"/>
      <c r="N20" s="2072"/>
      <c r="O20" s="3799"/>
    </row>
    <row r="21" spans="1:15">
      <c r="A21" s="706" t="s">
        <v>241</v>
      </c>
      <c r="B21" s="707"/>
      <c r="C21" s="1643">
        <v>0</v>
      </c>
      <c r="D21" s="1640"/>
      <c r="E21" s="1643">
        <v>0</v>
      </c>
      <c r="F21" s="1640"/>
      <c r="G21" s="1643">
        <v>0</v>
      </c>
      <c r="H21" s="1640"/>
      <c r="I21" s="1643">
        <v>0</v>
      </c>
      <c r="J21" s="1672"/>
      <c r="K21" s="623">
        <f t="shared" si="0"/>
        <v>0</v>
      </c>
      <c r="L21" s="2075"/>
      <c r="M21" s="2072"/>
      <c r="N21" s="2072"/>
      <c r="O21" s="3799"/>
    </row>
    <row r="22" spans="1:15">
      <c r="A22" s="706" t="s">
        <v>242</v>
      </c>
      <c r="B22" s="705"/>
      <c r="C22" s="1643">
        <v>0</v>
      </c>
      <c r="D22" s="1640"/>
      <c r="E22" s="1643">
        <v>0</v>
      </c>
      <c r="F22" s="1640"/>
      <c r="G22" s="1643">
        <v>0</v>
      </c>
      <c r="H22" s="1640"/>
      <c r="I22" s="1643">
        <v>0</v>
      </c>
      <c r="J22" s="1672"/>
      <c r="K22" s="623">
        <f t="shared" si="0"/>
        <v>0</v>
      </c>
      <c r="L22" s="2075"/>
      <c r="M22" s="2072"/>
      <c r="N22" s="2072"/>
      <c r="O22" s="3799"/>
    </row>
    <row r="23" spans="1:15">
      <c r="A23" s="706" t="s">
        <v>243</v>
      </c>
      <c r="B23" s="705"/>
      <c r="C23" s="1643">
        <v>0</v>
      </c>
      <c r="D23" s="1640"/>
      <c r="E23" s="1643">
        <v>0</v>
      </c>
      <c r="F23" s="1640"/>
      <c r="G23" s="1643">
        <v>0</v>
      </c>
      <c r="H23" s="1640"/>
      <c r="I23" s="1643">
        <v>0</v>
      </c>
      <c r="J23" s="1672"/>
      <c r="K23" s="623">
        <f t="shared" si="0"/>
        <v>0</v>
      </c>
      <c r="L23" s="2075"/>
      <c r="M23" s="2072"/>
      <c r="O23" s="3799"/>
    </row>
    <row r="24" spans="1:15" ht="22.5" customHeight="1">
      <c r="A24" s="420" t="s">
        <v>244</v>
      </c>
      <c r="B24" s="705"/>
      <c r="C24" s="421">
        <f>ROUND(SUM(C14:C23),3)</f>
        <v>45693.446000000004</v>
      </c>
      <c r="D24" s="422"/>
      <c r="E24" s="421">
        <f>ROUND(SUM(E14:E23),3)</f>
        <v>2076.12</v>
      </c>
      <c r="F24" s="422"/>
      <c r="G24" s="421">
        <f>ROUND(SUM(G14:G23),3)</f>
        <v>9645.2160000000003</v>
      </c>
      <c r="H24" s="422"/>
      <c r="I24" s="421">
        <f>ROUND(SUM(I14:I23),3)</f>
        <v>2186.9830000000002</v>
      </c>
      <c r="J24" s="422"/>
      <c r="K24" s="421">
        <f>ROUND(SUM(K14:K23),3)</f>
        <v>40311.332999999999</v>
      </c>
      <c r="L24" s="2921"/>
      <c r="M24" s="2072"/>
      <c r="N24" s="2072"/>
      <c r="O24" s="3799"/>
    </row>
    <row r="25" spans="1:15" ht="8.25" customHeight="1">
      <c r="A25" s="420"/>
      <c r="B25" s="705"/>
      <c r="C25" s="704"/>
      <c r="D25" s="623"/>
      <c r="E25" s="704"/>
      <c r="F25" s="623"/>
      <c r="G25" s="704"/>
      <c r="H25" s="623"/>
      <c r="I25" s="704"/>
      <c r="J25" s="623"/>
      <c r="K25" s="704"/>
      <c r="L25" s="704"/>
      <c r="M25" s="2072"/>
      <c r="N25" s="2072"/>
      <c r="O25" s="3799"/>
    </row>
    <row r="26" spans="1:15" ht="17.25">
      <c r="A26" s="706"/>
      <c r="B26" s="705"/>
      <c r="C26" s="707"/>
      <c r="D26" s="705"/>
      <c r="E26" s="707"/>
      <c r="F26" s="662"/>
      <c r="G26" s="707"/>
      <c r="H26" s="662"/>
      <c r="I26" s="707"/>
      <c r="J26" s="705"/>
      <c r="K26" s="708"/>
      <c r="L26" s="708"/>
      <c r="M26" s="2072"/>
      <c r="N26" s="2072"/>
      <c r="O26" s="3799"/>
    </row>
    <row r="27" spans="1:15" ht="17.25">
      <c r="A27" s="423" t="s">
        <v>785</v>
      </c>
      <c r="B27" s="705"/>
      <c r="C27" s="705"/>
      <c r="D27" s="705"/>
      <c r="E27" s="705"/>
      <c r="F27" s="662"/>
      <c r="G27" s="705"/>
      <c r="H27" s="662"/>
      <c r="I27" s="705"/>
      <c r="J27" s="705"/>
      <c r="K27" s="705"/>
      <c r="L27" s="707"/>
      <c r="M27" s="2072"/>
      <c r="N27" s="2072"/>
      <c r="O27" s="3799"/>
    </row>
    <row r="28" spans="1:15">
      <c r="A28" s="706" t="s">
        <v>245</v>
      </c>
      <c r="B28" s="705"/>
      <c r="C28" s="1643">
        <v>0.80700000000000005</v>
      </c>
      <c r="D28" s="1640"/>
      <c r="E28" s="1643">
        <v>1E-3</v>
      </c>
      <c r="F28" s="1640"/>
      <c r="G28" s="1643">
        <v>0</v>
      </c>
      <c r="H28" s="1640"/>
      <c r="I28" s="1643">
        <v>0</v>
      </c>
      <c r="J28" s="1672"/>
      <c r="K28" s="623">
        <f t="shared" ref="K28:K33" si="1">ROUND(SUM(C28)+SUM(E28)-SUM(G28)+SUM(I28),3)</f>
        <v>0.80800000000000005</v>
      </c>
      <c r="L28" s="2993"/>
      <c r="M28" s="2072"/>
      <c r="O28" s="3799"/>
    </row>
    <row r="29" spans="1:15">
      <c r="A29" s="706" t="s">
        <v>246</v>
      </c>
      <c r="B29" s="705"/>
      <c r="C29" s="1643">
        <v>62.946000000000005</v>
      </c>
      <c r="D29" s="1640"/>
      <c r="E29" s="1643">
        <v>0.71699999999999997</v>
      </c>
      <c r="F29" s="1640"/>
      <c r="G29" s="1643">
        <v>0.65800000000000003</v>
      </c>
      <c r="H29" s="1640"/>
      <c r="I29" s="1643">
        <v>7.4999999999999997E-2</v>
      </c>
      <c r="J29" s="1672"/>
      <c r="K29" s="623">
        <f t="shared" si="1"/>
        <v>63.08</v>
      </c>
      <c r="L29" s="2993"/>
      <c r="M29" s="2072"/>
      <c r="N29" s="2072"/>
      <c r="O29" s="3799"/>
    </row>
    <row r="30" spans="1:15">
      <c r="A30" s="705" t="s">
        <v>247</v>
      </c>
      <c r="B30" s="2918" t="s">
        <v>228</v>
      </c>
      <c r="C30" s="1643">
        <v>124.59099999999999</v>
      </c>
      <c r="D30" s="1640"/>
      <c r="E30" s="1643">
        <v>2.42</v>
      </c>
      <c r="F30" s="1640"/>
      <c r="G30" s="1643">
        <v>4.2699999999999996</v>
      </c>
      <c r="H30" s="1640"/>
      <c r="I30" s="1643">
        <v>0</v>
      </c>
      <c r="J30" s="1672"/>
      <c r="K30" s="623">
        <f t="shared" si="1"/>
        <v>122.741</v>
      </c>
      <c r="L30" s="2993"/>
      <c r="M30" s="2072"/>
      <c r="N30" s="2072"/>
      <c r="O30" s="3799"/>
    </row>
    <row r="31" spans="1:15">
      <c r="A31" s="706" t="s">
        <v>248</v>
      </c>
      <c r="B31" s="2918"/>
      <c r="C31" s="1643">
        <v>-1.0999999999999999E-2</v>
      </c>
      <c r="D31" s="1640"/>
      <c r="E31" s="1643">
        <v>0</v>
      </c>
      <c r="F31" s="1640"/>
      <c r="G31" s="1643">
        <v>3.4999999999999996E-2</v>
      </c>
      <c r="H31" s="1640"/>
      <c r="I31" s="1643">
        <v>0.28799999999999998</v>
      </c>
      <c r="J31" s="1672"/>
      <c r="K31" s="623">
        <f t="shared" si="1"/>
        <v>0.24199999999999999</v>
      </c>
      <c r="L31" s="2993"/>
      <c r="M31" s="2072"/>
      <c r="N31" s="2072"/>
      <c r="O31" s="3799"/>
    </row>
    <row r="32" spans="1:15">
      <c r="A32" s="706" t="s">
        <v>249</v>
      </c>
      <c r="B32" s="2918"/>
      <c r="C32" s="1643">
        <v>0.67800000000000005</v>
      </c>
      <c r="D32" s="1640"/>
      <c r="E32" s="1643">
        <v>5.0000000000000001E-3</v>
      </c>
      <c r="F32" s="1640"/>
      <c r="G32" s="1643">
        <v>4.3999999999999997E-2</v>
      </c>
      <c r="H32" s="1640"/>
      <c r="I32" s="1643">
        <v>0</v>
      </c>
      <c r="J32" s="1672"/>
      <c r="K32" s="623">
        <f t="shared" si="1"/>
        <v>0.63900000000000001</v>
      </c>
      <c r="L32" s="2993"/>
      <c r="M32" s="2072"/>
      <c r="N32" s="2072"/>
      <c r="O32" s="3799"/>
    </row>
    <row r="33" spans="1:15">
      <c r="A33" s="705" t="s">
        <v>250</v>
      </c>
      <c r="B33" s="705"/>
      <c r="C33" s="1643">
        <v>8.548</v>
      </c>
      <c r="D33" s="1640"/>
      <c r="E33" s="1643">
        <v>0.315</v>
      </c>
      <c r="F33" s="1640"/>
      <c r="G33" s="1643">
        <v>0.26200000000000001</v>
      </c>
      <c r="H33" s="1640"/>
      <c r="I33" s="1643">
        <v>-9.5000000000000001E-2</v>
      </c>
      <c r="J33" s="1672"/>
      <c r="K33" s="623">
        <f t="shared" si="1"/>
        <v>8.5060000000000002</v>
      </c>
      <c r="L33" s="2993"/>
      <c r="M33" s="2072"/>
      <c r="N33" s="2072"/>
      <c r="O33" s="3799"/>
    </row>
    <row r="34" spans="1:15">
      <c r="A34" s="705" t="s">
        <v>251</v>
      </c>
      <c r="B34" s="705"/>
      <c r="C34" s="3331"/>
      <c r="D34" s="1670"/>
      <c r="E34" s="1671"/>
      <c r="F34" s="1671"/>
      <c r="G34" s="1671"/>
      <c r="H34" s="1671"/>
      <c r="I34" s="1671"/>
      <c r="J34" s="424"/>
      <c r="K34" s="1461"/>
      <c r="L34" s="2071"/>
      <c r="M34" s="2072"/>
      <c r="N34" s="2072"/>
      <c r="O34" s="3799"/>
    </row>
    <row r="35" spans="1:15">
      <c r="A35" s="705" t="s">
        <v>252</v>
      </c>
      <c r="B35" s="705"/>
      <c r="C35" s="1643">
        <v>9.9109999999999996</v>
      </c>
      <c r="D35" s="1640"/>
      <c r="E35" s="1643">
        <v>0.85199999999999998</v>
      </c>
      <c r="F35" s="1640"/>
      <c r="G35" s="1643">
        <v>0.33900000000000002</v>
      </c>
      <c r="H35" s="1640"/>
      <c r="I35" s="1643">
        <v>-0.38200000000000001</v>
      </c>
      <c r="J35" s="1672"/>
      <c r="K35" s="623">
        <f t="shared" ref="K35:K60" si="2">ROUND(SUM(C35)+SUM(E35)-SUM(G35)+SUM(I35),3)</f>
        <v>10.042</v>
      </c>
      <c r="L35" s="2070"/>
      <c r="M35" s="2072"/>
      <c r="N35" s="2072"/>
      <c r="O35" s="3799"/>
    </row>
    <row r="36" spans="1:15">
      <c r="A36" s="705" t="s">
        <v>253</v>
      </c>
      <c r="B36" s="705"/>
      <c r="C36" s="1643">
        <v>0</v>
      </c>
      <c r="D36" s="1640"/>
      <c r="E36" s="1643">
        <v>0</v>
      </c>
      <c r="F36" s="1640"/>
      <c r="G36" s="1643">
        <v>0</v>
      </c>
      <c r="H36" s="1640"/>
      <c r="I36" s="1643">
        <v>0</v>
      </c>
      <c r="J36" s="1672"/>
      <c r="K36" s="623">
        <f t="shared" si="2"/>
        <v>0</v>
      </c>
      <c r="L36" s="2993"/>
      <c r="M36" s="2072"/>
      <c r="N36" s="2072"/>
      <c r="O36" s="3799"/>
    </row>
    <row r="37" spans="1:15">
      <c r="A37" s="705" t="s">
        <v>254</v>
      </c>
      <c r="B37" s="705"/>
      <c r="C37" s="1643">
        <v>6.05</v>
      </c>
      <c r="D37" s="1640"/>
      <c r="E37" s="1643">
        <v>2E-3</v>
      </c>
      <c r="F37" s="1640"/>
      <c r="G37" s="1643">
        <v>0</v>
      </c>
      <c r="H37" s="1640"/>
      <c r="I37" s="1643">
        <v>0</v>
      </c>
      <c r="J37" s="1672"/>
      <c r="K37" s="623">
        <f t="shared" si="2"/>
        <v>6.0519999999999996</v>
      </c>
      <c r="L37" s="2993"/>
      <c r="M37" s="2072"/>
      <c r="N37" s="2072"/>
      <c r="O37" s="3799"/>
    </row>
    <row r="38" spans="1:15">
      <c r="A38" s="1999" t="s">
        <v>255</v>
      </c>
      <c r="B38" s="2922"/>
      <c r="C38" s="1643">
        <v>0</v>
      </c>
      <c r="D38" s="1640"/>
      <c r="E38" s="1643">
        <v>0</v>
      </c>
      <c r="F38" s="1640"/>
      <c r="G38" s="1643">
        <v>0</v>
      </c>
      <c r="H38" s="1640"/>
      <c r="I38" s="1643">
        <v>0</v>
      </c>
      <c r="J38" s="1672"/>
      <c r="K38" s="623">
        <f t="shared" si="2"/>
        <v>0</v>
      </c>
      <c r="L38" s="2993"/>
      <c r="M38" s="2072"/>
      <c r="N38" s="2072"/>
      <c r="O38" s="3799"/>
    </row>
    <row r="39" spans="1:15">
      <c r="A39" s="706" t="s">
        <v>256</v>
      </c>
      <c r="B39" s="705"/>
      <c r="C39" s="1643">
        <v>141.08799999999999</v>
      </c>
      <c r="D39" s="1640"/>
      <c r="E39" s="1643">
        <v>510.94099999999997</v>
      </c>
      <c r="F39" s="1640"/>
      <c r="G39" s="1643">
        <v>469.05700000000002</v>
      </c>
      <c r="H39" s="1640"/>
      <c r="I39" s="1643">
        <v>-0.30099999999999999</v>
      </c>
      <c r="J39" s="1672"/>
      <c r="K39" s="623">
        <f t="shared" si="2"/>
        <v>182.67099999999999</v>
      </c>
      <c r="L39" s="2070"/>
      <c r="M39" s="2072"/>
      <c r="N39" s="2072"/>
      <c r="O39" s="3799"/>
    </row>
    <row r="40" spans="1:15">
      <c r="A40" s="705" t="s">
        <v>257</v>
      </c>
      <c r="B40" s="705"/>
      <c r="C40" s="1643">
        <v>65.153999999999996</v>
      </c>
      <c r="D40" s="1640"/>
      <c r="E40" s="1673">
        <v>48.662999999999997</v>
      </c>
      <c r="F40" s="1640"/>
      <c r="G40" s="1643">
        <v>57.4</v>
      </c>
      <c r="H40" s="1640"/>
      <c r="I40" s="1643">
        <v>0</v>
      </c>
      <c r="J40" s="1672"/>
      <c r="K40" s="623">
        <f t="shared" si="2"/>
        <v>56.417000000000002</v>
      </c>
      <c r="L40" s="2993"/>
      <c r="M40" s="2072"/>
      <c r="O40" s="3799"/>
    </row>
    <row r="41" spans="1:15">
      <c r="A41" s="706" t="s">
        <v>258</v>
      </c>
      <c r="B41" s="705"/>
      <c r="C41" s="1643">
        <v>826.55899999999997</v>
      </c>
      <c r="D41" s="1640"/>
      <c r="E41" s="1643">
        <v>261.03699999999998</v>
      </c>
      <c r="F41" s="1640"/>
      <c r="G41" s="1643">
        <v>2.6680000000000001</v>
      </c>
      <c r="H41" s="1640"/>
      <c r="I41" s="1643">
        <v>0</v>
      </c>
      <c r="J41" s="1672"/>
      <c r="K41" s="623">
        <f t="shared" si="2"/>
        <v>1084.9280000000001</v>
      </c>
      <c r="L41" s="2993"/>
      <c r="M41" s="2072"/>
      <c r="N41" s="2072"/>
      <c r="O41" s="3799"/>
    </row>
    <row r="42" spans="1:15">
      <c r="A42" s="706" t="s">
        <v>259</v>
      </c>
      <c r="B42" s="705"/>
      <c r="C42" s="1643">
        <v>11.368</v>
      </c>
      <c r="D42" s="1640"/>
      <c r="E42" s="1643">
        <v>1.4139999999999999</v>
      </c>
      <c r="F42" s="1640"/>
      <c r="G42" s="1643">
        <v>0.19600000000000001</v>
      </c>
      <c r="H42" s="1640"/>
      <c r="I42" s="1643">
        <v>0</v>
      </c>
      <c r="J42" s="1672"/>
      <c r="K42" s="623">
        <f t="shared" si="2"/>
        <v>12.586</v>
      </c>
      <c r="L42" s="2993"/>
      <c r="M42" s="2072"/>
      <c r="N42" s="2072"/>
      <c r="O42" s="3799"/>
    </row>
    <row r="43" spans="1:15">
      <c r="A43" s="705" t="s">
        <v>260</v>
      </c>
      <c r="B43" s="705"/>
      <c r="C43" s="1643">
        <v>-6.9000000000000006E-2</v>
      </c>
      <c r="D43" s="1640"/>
      <c r="E43" s="1643">
        <v>0</v>
      </c>
      <c r="F43" s="1640"/>
      <c r="G43" s="1643">
        <v>0.05</v>
      </c>
      <c r="H43" s="1640"/>
      <c r="I43" s="1643">
        <v>0</v>
      </c>
      <c r="J43" s="1672"/>
      <c r="K43" s="623">
        <f t="shared" si="2"/>
        <v>-0.11899999999999999</v>
      </c>
      <c r="L43" s="2993"/>
      <c r="M43" s="2072"/>
      <c r="N43" s="2072"/>
      <c r="O43" s="3799"/>
    </row>
    <row r="44" spans="1:15">
      <c r="A44" s="705" t="s">
        <v>1092</v>
      </c>
      <c r="B44" s="705"/>
      <c r="C44" s="1643">
        <v>21.335999999999999</v>
      </c>
      <c r="D44" s="1640"/>
      <c r="E44" s="1643">
        <v>2.484</v>
      </c>
      <c r="F44" s="1640"/>
      <c r="G44" s="1643">
        <v>6.5890000000000004</v>
      </c>
      <c r="H44" s="1640"/>
      <c r="I44" s="1643">
        <v>0</v>
      </c>
      <c r="J44" s="1672"/>
      <c r="K44" s="623">
        <f t="shared" si="2"/>
        <v>17.231000000000002</v>
      </c>
      <c r="L44" s="2070"/>
      <c r="M44" s="2072"/>
      <c r="N44" s="2072"/>
      <c r="O44" s="3799"/>
    </row>
    <row r="45" spans="1:15">
      <c r="A45" s="705" t="s">
        <v>261</v>
      </c>
      <c r="B45" s="705"/>
      <c r="C45" s="1643">
        <v>105.631</v>
      </c>
      <c r="D45" s="1640"/>
      <c r="E45" s="1643">
        <v>2.2919999999999998</v>
      </c>
      <c r="F45" s="1640"/>
      <c r="G45" s="1643">
        <v>2.8109999999999999</v>
      </c>
      <c r="H45" s="1640"/>
      <c r="I45" s="1643">
        <v>0</v>
      </c>
      <c r="J45" s="1672"/>
      <c r="K45" s="623">
        <f t="shared" si="2"/>
        <v>105.11199999999999</v>
      </c>
      <c r="L45" s="2993"/>
      <c r="M45" s="2072"/>
      <c r="N45" s="2072"/>
      <c r="O45" s="3799"/>
    </row>
    <row r="46" spans="1:15">
      <c r="A46" s="705" t="s">
        <v>262</v>
      </c>
      <c r="B46" s="705"/>
      <c r="C46" s="1643">
        <v>16.103999999999999</v>
      </c>
      <c r="D46" s="1640"/>
      <c r="E46" s="1643">
        <v>4.327</v>
      </c>
      <c r="F46" s="1640"/>
      <c r="G46" s="1643">
        <v>1.431</v>
      </c>
      <c r="H46" s="1640"/>
      <c r="I46" s="1643">
        <v>-2.5219999999999998</v>
      </c>
      <c r="J46" s="1672"/>
      <c r="K46" s="623">
        <f t="shared" si="2"/>
        <v>16.478000000000002</v>
      </c>
      <c r="L46" s="2993" t="s">
        <v>14</v>
      </c>
      <c r="M46" s="2072"/>
      <c r="N46" s="2072"/>
      <c r="O46" s="3799"/>
    </row>
    <row r="47" spans="1:15">
      <c r="A47" s="705" t="s">
        <v>263</v>
      </c>
      <c r="B47" s="705"/>
      <c r="C47" s="1643">
        <v>10.673999999999999</v>
      </c>
      <c r="D47" s="1640"/>
      <c r="E47" s="1643">
        <v>2E-3</v>
      </c>
      <c r="F47" s="1640"/>
      <c r="G47" s="1643">
        <v>4.4010000000000007</v>
      </c>
      <c r="H47" s="1640"/>
      <c r="I47" s="1643">
        <v>0</v>
      </c>
      <c r="J47" s="1672"/>
      <c r="K47" s="623">
        <f t="shared" si="2"/>
        <v>6.2750000000000004</v>
      </c>
      <c r="L47" s="2993"/>
      <c r="M47" s="2072"/>
      <c r="N47" s="2072"/>
      <c r="O47" s="3799"/>
    </row>
    <row r="48" spans="1:15">
      <c r="A48" s="705" t="s">
        <v>264</v>
      </c>
      <c r="B48" s="705"/>
      <c r="C48" s="1643">
        <v>11.879</v>
      </c>
      <c r="D48" s="1640"/>
      <c r="E48" s="1643">
        <v>1.171</v>
      </c>
      <c r="F48" s="1640"/>
      <c r="G48" s="1643">
        <v>0.122</v>
      </c>
      <c r="H48" s="1640"/>
      <c r="I48" s="1643">
        <v>0</v>
      </c>
      <c r="J48" s="1672"/>
      <c r="K48" s="623">
        <f t="shared" si="2"/>
        <v>12.928000000000001</v>
      </c>
      <c r="L48" s="2993"/>
      <c r="M48" s="2072"/>
      <c r="N48" s="2072"/>
      <c r="O48" s="3799"/>
    </row>
    <row r="49" spans="1:15">
      <c r="A49" s="706" t="s">
        <v>265</v>
      </c>
      <c r="B49" s="705"/>
      <c r="C49" s="1643">
        <v>0.51600000000000001</v>
      </c>
      <c r="D49" s="1640"/>
      <c r="E49" s="1643">
        <v>2E-3</v>
      </c>
      <c r="F49" s="1640"/>
      <c r="G49" s="1643">
        <v>0.01</v>
      </c>
      <c r="H49" s="1640"/>
      <c r="I49" s="1643">
        <v>0</v>
      </c>
      <c r="J49" s="1672"/>
      <c r="K49" s="623">
        <f t="shared" si="2"/>
        <v>0.50800000000000001</v>
      </c>
      <c r="L49" s="2993"/>
      <c r="M49" s="2072"/>
      <c r="N49" s="2072"/>
      <c r="O49" s="3799"/>
    </row>
    <row r="50" spans="1:15">
      <c r="A50" s="705" t="s">
        <v>266</v>
      </c>
      <c r="B50" s="705"/>
      <c r="C50" s="1643">
        <v>1165.0129999999999</v>
      </c>
      <c r="D50" s="1640"/>
      <c r="E50" s="1643">
        <v>145.71199999999999</v>
      </c>
      <c r="F50" s="1640"/>
      <c r="G50" s="1643">
        <v>442.13</v>
      </c>
      <c r="H50" s="1640"/>
      <c r="I50" s="1643">
        <v>-6.6000000000000003E-2</v>
      </c>
      <c r="J50" s="1672"/>
      <c r="K50" s="623">
        <f t="shared" si="2"/>
        <v>868.529</v>
      </c>
      <c r="L50" s="2993"/>
      <c r="M50" s="2072"/>
      <c r="N50" s="2072"/>
      <c r="O50" s="3799"/>
    </row>
    <row r="51" spans="1:15">
      <c r="A51" s="705" t="s">
        <v>267</v>
      </c>
      <c r="B51" s="705"/>
      <c r="C51" s="1643">
        <v>-35.722000000000001</v>
      </c>
      <c r="D51" s="1640"/>
      <c r="E51" s="1643">
        <v>2.5710000000000002</v>
      </c>
      <c r="F51" s="1640"/>
      <c r="G51" s="1643">
        <v>3.4750000000000001</v>
      </c>
      <c r="H51" s="1640"/>
      <c r="I51" s="1643">
        <v>0</v>
      </c>
      <c r="J51" s="1672"/>
      <c r="K51" s="623">
        <f t="shared" si="2"/>
        <v>-36.625999999999998</v>
      </c>
      <c r="L51" s="2993"/>
      <c r="M51" s="2072"/>
      <c r="N51" s="2072"/>
      <c r="O51" s="3799"/>
    </row>
    <row r="52" spans="1:15">
      <c r="A52" s="705" t="s">
        <v>268</v>
      </c>
      <c r="B52" s="705"/>
      <c r="C52" s="1643">
        <v>7.0999999999999994E-2</v>
      </c>
      <c r="D52" s="1640"/>
      <c r="E52" s="1643">
        <v>0</v>
      </c>
      <c r="F52" s="1640"/>
      <c r="G52" s="1643">
        <v>0</v>
      </c>
      <c r="H52" s="1640"/>
      <c r="I52" s="1643">
        <v>0</v>
      </c>
      <c r="J52" s="1672"/>
      <c r="K52" s="623">
        <f t="shared" si="2"/>
        <v>7.0999999999999994E-2</v>
      </c>
      <c r="L52" s="2993"/>
      <c r="M52" s="2072"/>
      <c r="N52" s="2072"/>
      <c r="O52" s="3799"/>
    </row>
    <row r="53" spans="1:15">
      <c r="A53" s="705" t="s">
        <v>890</v>
      </c>
      <c r="B53" s="705"/>
      <c r="C53" s="1643">
        <v>12.614000000000001</v>
      </c>
      <c r="D53" s="1640"/>
      <c r="E53" s="1643">
        <v>0.154</v>
      </c>
      <c r="F53" s="1640"/>
      <c r="G53" s="1643">
        <v>0.113</v>
      </c>
      <c r="H53" s="1640"/>
      <c r="I53" s="1643">
        <v>0</v>
      </c>
      <c r="J53" s="1672"/>
      <c r="K53" s="623">
        <f t="shared" si="2"/>
        <v>12.654999999999999</v>
      </c>
      <c r="L53" s="2993"/>
      <c r="M53" s="2072"/>
      <c r="N53" s="2072"/>
      <c r="O53" s="3799"/>
    </row>
    <row r="54" spans="1:15">
      <c r="A54" s="705" t="s">
        <v>269</v>
      </c>
      <c r="B54" s="705"/>
      <c r="C54" s="1643">
        <v>0</v>
      </c>
      <c r="D54" s="1640"/>
      <c r="E54" s="1643">
        <v>0</v>
      </c>
      <c r="F54" s="1640"/>
      <c r="G54" s="1643">
        <v>0</v>
      </c>
      <c r="H54" s="1640"/>
      <c r="I54" s="1643">
        <v>0</v>
      </c>
      <c r="J54" s="1672"/>
      <c r="K54" s="623">
        <f t="shared" si="2"/>
        <v>0</v>
      </c>
      <c r="L54" s="2993"/>
      <c r="M54" s="2072"/>
      <c r="O54" s="3799"/>
    </row>
    <row r="55" spans="1:15">
      <c r="A55" s="706" t="s">
        <v>270</v>
      </c>
      <c r="B55" s="705"/>
      <c r="C55" s="1643">
        <v>0.46700000000000003</v>
      </c>
      <c r="D55" s="1640"/>
      <c r="E55" s="1643">
        <v>0</v>
      </c>
      <c r="F55" s="1640"/>
      <c r="G55" s="1643">
        <v>0</v>
      </c>
      <c r="H55" s="1640"/>
      <c r="I55" s="1643">
        <v>0</v>
      </c>
      <c r="J55" s="1672"/>
      <c r="K55" s="623">
        <f t="shared" si="2"/>
        <v>0.46700000000000003</v>
      </c>
      <c r="L55" s="2070"/>
      <c r="M55" s="2072"/>
      <c r="N55" s="2072"/>
      <c r="O55" s="3799"/>
    </row>
    <row r="56" spans="1:15">
      <c r="A56" s="706" t="s">
        <v>271</v>
      </c>
      <c r="B56" s="705"/>
      <c r="C56" s="1643">
        <v>0</v>
      </c>
      <c r="D56" s="1640"/>
      <c r="E56" s="1643">
        <v>0</v>
      </c>
      <c r="F56" s="1640"/>
      <c r="G56" s="1643">
        <v>0</v>
      </c>
      <c r="H56" s="1640"/>
      <c r="I56" s="1643">
        <v>0</v>
      </c>
      <c r="J56" s="1672"/>
      <c r="K56" s="623">
        <f t="shared" si="2"/>
        <v>0</v>
      </c>
      <c r="L56" s="2993"/>
      <c r="M56" s="2072"/>
      <c r="N56" s="2072"/>
      <c r="O56" s="3799"/>
    </row>
    <row r="57" spans="1:15">
      <c r="A57" s="706" t="s">
        <v>272</v>
      </c>
      <c r="B57" s="705"/>
      <c r="C57" s="1643">
        <v>0</v>
      </c>
      <c r="D57" s="1640"/>
      <c r="E57" s="1643">
        <v>0</v>
      </c>
      <c r="F57" s="1640"/>
      <c r="G57" s="1643">
        <v>0</v>
      </c>
      <c r="H57" s="1640"/>
      <c r="I57" s="1643">
        <v>0</v>
      </c>
      <c r="J57" s="1672"/>
      <c r="K57" s="623">
        <f t="shared" si="2"/>
        <v>0</v>
      </c>
      <c r="L57" s="2993"/>
      <c r="M57" s="2072"/>
      <c r="N57" s="2072"/>
      <c r="O57" s="3799"/>
    </row>
    <row r="58" spans="1:15">
      <c r="A58" s="706" t="s">
        <v>1247</v>
      </c>
      <c r="B58" s="705"/>
      <c r="C58" s="1643">
        <v>0.621</v>
      </c>
      <c r="D58" s="1640"/>
      <c r="E58" s="1643">
        <v>1E-3</v>
      </c>
      <c r="F58" s="1640"/>
      <c r="G58" s="1643">
        <v>3.0000000000000001E-3</v>
      </c>
      <c r="H58" s="1640"/>
      <c r="I58" s="1643">
        <v>0</v>
      </c>
      <c r="J58" s="1672"/>
      <c r="K58" s="623">
        <f t="shared" si="2"/>
        <v>0.61899999999999999</v>
      </c>
      <c r="L58" s="2993"/>
      <c r="M58" s="2072"/>
      <c r="N58" s="2072"/>
      <c r="O58" s="3799"/>
    </row>
    <row r="59" spans="1:15">
      <c r="A59" s="706" t="s">
        <v>273</v>
      </c>
      <c r="B59" s="705"/>
      <c r="C59" s="1643">
        <v>2046.51</v>
      </c>
      <c r="D59" s="1640"/>
      <c r="E59" s="1643">
        <v>147.65899999999999</v>
      </c>
      <c r="F59" s="1640"/>
      <c r="G59" s="1643">
        <v>234.553</v>
      </c>
      <c r="H59" s="1640"/>
      <c r="I59" s="1643">
        <v>32.148000000000003</v>
      </c>
      <c r="J59" s="1672"/>
      <c r="K59" s="623">
        <f t="shared" si="2"/>
        <v>1991.7639999999999</v>
      </c>
      <c r="L59" s="2993"/>
      <c r="M59" s="2923"/>
      <c r="N59" s="2072"/>
      <c r="O59" s="3799"/>
    </row>
    <row r="60" spans="1:15">
      <c r="A60" s="705" t="s">
        <v>274</v>
      </c>
      <c r="B60" s="705"/>
      <c r="C60" s="1643">
        <v>67.048000000000002</v>
      </c>
      <c r="D60" s="1640"/>
      <c r="E60" s="1643">
        <v>0.01</v>
      </c>
      <c r="F60" s="1640"/>
      <c r="G60" s="1643">
        <v>16.28</v>
      </c>
      <c r="H60" s="1640"/>
      <c r="I60" s="1643">
        <v>0</v>
      </c>
      <c r="J60" s="1672"/>
      <c r="K60" s="623">
        <f t="shared" si="2"/>
        <v>50.777999999999999</v>
      </c>
      <c r="L60" s="2993"/>
      <c r="M60" s="710"/>
      <c r="N60" s="2072"/>
      <c r="O60" s="3799"/>
    </row>
    <row r="61" spans="1:15">
      <c r="A61" s="705"/>
      <c r="B61" s="705"/>
      <c r="C61" s="1643"/>
      <c r="D61" s="1640"/>
      <c r="E61" s="1643"/>
      <c r="F61" s="1640"/>
      <c r="G61" s="1643"/>
      <c r="H61" s="1640"/>
      <c r="I61" s="1643"/>
      <c r="J61" s="1672"/>
      <c r="K61" s="623"/>
      <c r="L61" s="2070"/>
      <c r="M61" s="423"/>
      <c r="N61" s="2072"/>
      <c r="O61" s="3799"/>
    </row>
    <row r="62" spans="1:15">
      <c r="A62" s="423" t="s">
        <v>829</v>
      </c>
      <c r="B62" s="705"/>
      <c r="C62" s="1643"/>
      <c r="D62" s="1640"/>
      <c r="E62" s="1643"/>
      <c r="F62" s="1640"/>
      <c r="G62" s="1643"/>
      <c r="H62" s="1640"/>
      <c r="I62" s="1643"/>
      <c r="J62" s="1672"/>
      <c r="K62" s="623"/>
      <c r="L62" s="2070"/>
      <c r="M62" s="423"/>
      <c r="N62" s="2072"/>
      <c r="O62" s="3799"/>
    </row>
    <row r="63" spans="1:15">
      <c r="A63" s="705" t="s">
        <v>275</v>
      </c>
      <c r="B63" s="1672"/>
      <c r="C63" s="1643">
        <v>5.2999999999999999E-2</v>
      </c>
      <c r="D63" s="1640"/>
      <c r="E63" s="1643">
        <v>0</v>
      </c>
      <c r="F63" s="1640"/>
      <c r="G63" s="1643">
        <v>0</v>
      </c>
      <c r="H63" s="1640"/>
      <c r="I63" s="1643">
        <v>0</v>
      </c>
      <c r="J63" s="1672"/>
      <c r="K63" s="623">
        <f>ROUND(SUM(C63)+SUM(E63)-SUM(G63)+SUM(I63),3)</f>
        <v>5.2999999999999999E-2</v>
      </c>
      <c r="L63" s="2070"/>
      <c r="M63" s="2072"/>
      <c r="N63" s="2072"/>
      <c r="O63" s="3799"/>
    </row>
    <row r="64" spans="1:15">
      <c r="A64" s="705" t="s">
        <v>276</v>
      </c>
      <c r="B64" s="705"/>
      <c r="C64" s="1643">
        <v>1783.771</v>
      </c>
      <c r="D64" s="1640"/>
      <c r="E64" s="1643">
        <v>275.23099999999999</v>
      </c>
      <c r="F64" s="1640"/>
      <c r="G64" s="1643">
        <v>514.39800000000002</v>
      </c>
      <c r="H64" s="1640"/>
      <c r="I64" s="1643">
        <v>497.22</v>
      </c>
      <c r="J64" s="1672"/>
      <c r="K64" s="623">
        <f>ROUND(SUM(C64)+SUM(E64)-SUM(G64)+SUM(I64),3)</f>
        <v>2041.8240000000001</v>
      </c>
      <c r="L64" s="2993"/>
      <c r="M64" s="2072"/>
      <c r="N64" s="2072"/>
      <c r="O64" s="3799"/>
    </row>
    <row r="65" spans="1:15">
      <c r="A65" s="706" t="s">
        <v>277</v>
      </c>
      <c r="B65" s="705"/>
      <c r="C65" s="1643">
        <v>4.6779999999999999</v>
      </c>
      <c r="D65" s="1640"/>
      <c r="E65" s="1643">
        <v>0.86699999999999999</v>
      </c>
      <c r="F65" s="1640"/>
      <c r="G65" s="1643">
        <v>0.36099999999999999</v>
      </c>
      <c r="H65" s="1640"/>
      <c r="I65" s="1643">
        <v>0</v>
      </c>
      <c r="J65" s="1672"/>
      <c r="K65" s="623">
        <f>ROUND(SUM(C65)+SUM(E65)-SUM(G65)+SUM(I65),3)</f>
        <v>5.1840000000000002</v>
      </c>
      <c r="L65" s="2993"/>
      <c r="M65" s="2072"/>
      <c r="N65" s="2072"/>
      <c r="O65" s="3799"/>
    </row>
    <row r="66" spans="1:15">
      <c r="A66" s="705" t="s">
        <v>278</v>
      </c>
      <c r="B66" s="705"/>
      <c r="C66" s="1643">
        <v>0.317</v>
      </c>
      <c r="D66" s="1640"/>
      <c r="E66" s="1643">
        <v>0</v>
      </c>
      <c r="F66" s="1640"/>
      <c r="G66" s="1643">
        <v>0.108</v>
      </c>
      <c r="H66" s="1640"/>
      <c r="I66" s="1643">
        <v>0</v>
      </c>
      <c r="J66" s="1672"/>
      <c r="K66" s="623">
        <f>ROUND(SUM(C66)+SUM(E66)-SUM(G66)+SUM(I66),3)</f>
        <v>0.20899999999999999</v>
      </c>
      <c r="L66" s="2993"/>
      <c r="M66" s="2072"/>
      <c r="N66" s="2072"/>
      <c r="O66" s="3799"/>
    </row>
    <row r="67" spans="1:15">
      <c r="A67" s="705" t="s">
        <v>279</v>
      </c>
      <c r="B67" s="705"/>
      <c r="C67" s="3331"/>
      <c r="D67" s="1670"/>
      <c r="E67" s="1673"/>
      <c r="F67" s="1674"/>
      <c r="G67" s="1673"/>
      <c r="H67" s="1674"/>
      <c r="I67" s="1675"/>
      <c r="J67" s="705"/>
      <c r="K67" s="623" t="s">
        <v>14</v>
      </c>
      <c r="L67" s="2993"/>
      <c r="M67" s="2072"/>
      <c r="N67" s="2072"/>
      <c r="O67" s="3799"/>
    </row>
    <row r="68" spans="1:15">
      <c r="A68" s="705" t="s">
        <v>280</v>
      </c>
      <c r="B68" s="705"/>
      <c r="C68" s="1643">
        <v>32.920999999999999</v>
      </c>
      <c r="D68" s="1640"/>
      <c r="E68" s="1643">
        <v>2.08</v>
      </c>
      <c r="F68" s="1640"/>
      <c r="G68" s="1643">
        <v>0.41699999999999998</v>
      </c>
      <c r="H68" s="1640"/>
      <c r="I68" s="1643">
        <v>0</v>
      </c>
      <c r="J68" s="1672"/>
      <c r="K68" s="623">
        <f t="shared" ref="K68:K73" si="3">ROUND(SUM(C68)+SUM(E68)-SUM(G68)+SUM(I68),3)</f>
        <v>34.584000000000003</v>
      </c>
      <c r="L68" s="2993"/>
      <c r="M68" s="2072"/>
      <c r="N68" s="710"/>
      <c r="O68" s="3799"/>
    </row>
    <row r="69" spans="1:15">
      <c r="A69" s="705" t="s">
        <v>281</v>
      </c>
      <c r="B69" s="425"/>
      <c r="C69" s="1643">
        <v>0.65300000000000002</v>
      </c>
      <c r="D69" s="1640"/>
      <c r="E69" s="1643">
        <v>0</v>
      </c>
      <c r="F69" s="1640"/>
      <c r="G69" s="1643">
        <v>1.2E-2</v>
      </c>
      <c r="H69" s="1640"/>
      <c r="I69" s="1643">
        <v>0</v>
      </c>
      <c r="J69" s="1672"/>
      <c r="K69" s="623">
        <f t="shared" si="3"/>
        <v>0.64100000000000001</v>
      </c>
      <c r="L69" s="2993"/>
      <c r="M69" s="2072"/>
      <c r="N69" s="2072"/>
      <c r="O69" s="3799"/>
    </row>
    <row r="70" spans="1:15">
      <c r="A70" s="705" t="s">
        <v>282</v>
      </c>
      <c r="B70" s="705"/>
      <c r="C70" s="1643">
        <v>2.4E-2</v>
      </c>
      <c r="D70" s="1640"/>
      <c r="E70" s="1643">
        <v>0</v>
      </c>
      <c r="F70" s="1640"/>
      <c r="G70" s="1643">
        <v>0</v>
      </c>
      <c r="H70" s="1640"/>
      <c r="I70" s="1643">
        <v>0</v>
      </c>
      <c r="J70" s="1672"/>
      <c r="K70" s="623">
        <f t="shared" si="3"/>
        <v>2.4E-2</v>
      </c>
      <c r="L70" s="2993"/>
      <c r="M70" s="2072"/>
      <c r="N70" s="2072"/>
      <c r="O70" s="3799"/>
    </row>
    <row r="71" spans="1:15">
      <c r="A71" s="706" t="s">
        <v>283</v>
      </c>
      <c r="B71" s="705"/>
      <c r="C71" s="1643">
        <v>9.5090000000000003</v>
      </c>
      <c r="D71" s="1640"/>
      <c r="E71" s="1643">
        <v>3.0000000000000001E-3</v>
      </c>
      <c r="F71" s="1640"/>
      <c r="G71" s="1643">
        <v>0.42499999999999999</v>
      </c>
      <c r="H71" s="1640"/>
      <c r="I71" s="1643">
        <v>0</v>
      </c>
      <c r="J71" s="1672"/>
      <c r="K71" s="623">
        <f t="shared" si="3"/>
        <v>9.0869999999999997</v>
      </c>
      <c r="L71" s="2993"/>
      <c r="M71" s="2072"/>
      <c r="N71" s="2072"/>
      <c r="O71" s="3799"/>
    </row>
    <row r="72" spans="1:15">
      <c r="A72" s="705" t="s">
        <v>284</v>
      </c>
      <c r="B72" s="705"/>
      <c r="C72" s="1643">
        <v>-19.356999999999999</v>
      </c>
      <c r="D72" s="1640"/>
      <c r="E72" s="1643">
        <v>-6.0000000000000001E-3</v>
      </c>
      <c r="F72" s="1640"/>
      <c r="G72" s="1643">
        <v>0.19400000000000001</v>
      </c>
      <c r="H72" s="1640"/>
      <c r="I72" s="1643">
        <v>0</v>
      </c>
      <c r="J72" s="1672"/>
      <c r="K72" s="623">
        <f t="shared" si="3"/>
        <v>-19.556999999999999</v>
      </c>
      <c r="L72" s="2993"/>
      <c r="M72" s="2072"/>
      <c r="N72" s="2072"/>
      <c r="O72" s="3799"/>
    </row>
    <row r="73" spans="1:15">
      <c r="A73" s="705" t="s">
        <v>285</v>
      </c>
      <c r="B73" s="705"/>
      <c r="C73" s="1643">
        <v>4.7E-2</v>
      </c>
      <c r="D73" s="1640"/>
      <c r="E73" s="1643">
        <v>6.0000000000000001E-3</v>
      </c>
      <c r="F73" s="1640"/>
      <c r="G73" s="1643">
        <v>3.0000000000000001E-3</v>
      </c>
      <c r="H73" s="1640"/>
      <c r="I73" s="1643">
        <v>0</v>
      </c>
      <c r="J73" s="1672"/>
      <c r="K73" s="623">
        <f t="shared" si="3"/>
        <v>0.05</v>
      </c>
      <c r="L73" s="2070"/>
      <c r="M73" s="2072"/>
      <c r="N73" s="2072"/>
      <c r="O73" s="3799"/>
    </row>
    <row r="74" spans="1:15">
      <c r="A74" s="705" t="s">
        <v>286</v>
      </c>
      <c r="B74" s="705"/>
      <c r="C74" s="3331"/>
      <c r="D74" s="1670"/>
      <c r="E74" s="1673"/>
      <c r="F74" s="1674"/>
      <c r="G74" s="1673"/>
      <c r="H74" s="1674"/>
      <c r="I74" s="1673"/>
      <c r="J74" s="705"/>
      <c r="K74" s="623"/>
      <c r="L74" s="2073"/>
      <c r="M74" s="2072"/>
      <c r="N74" s="2072"/>
      <c r="O74" s="3799"/>
    </row>
    <row r="75" spans="1:15">
      <c r="A75" s="705" t="s">
        <v>287</v>
      </c>
      <c r="B75" s="705"/>
      <c r="C75" s="1643">
        <v>1E-3</v>
      </c>
      <c r="D75" s="1640"/>
      <c r="E75" s="1643">
        <v>0</v>
      </c>
      <c r="F75" s="1640"/>
      <c r="G75" s="1643">
        <v>0</v>
      </c>
      <c r="H75" s="1640"/>
      <c r="I75" s="1643">
        <v>0</v>
      </c>
      <c r="J75" s="1672"/>
      <c r="K75" s="623">
        <f t="shared" ref="K75:K90" si="4">ROUND(SUM(C75)+SUM(E75)-SUM(G75)+SUM(I75),3)</f>
        <v>1E-3</v>
      </c>
      <c r="L75" s="2993"/>
      <c r="M75" s="2072"/>
      <c r="N75" s="2072"/>
      <c r="O75" s="3799"/>
    </row>
    <row r="76" spans="1:15">
      <c r="A76" s="705" t="s">
        <v>288</v>
      </c>
      <c r="B76" s="705"/>
      <c r="C76" s="1643">
        <v>-33.31</v>
      </c>
      <c r="D76" s="1640"/>
      <c r="E76" s="1643">
        <v>0</v>
      </c>
      <c r="F76" s="1640"/>
      <c r="G76" s="1673">
        <v>2.347</v>
      </c>
      <c r="H76" s="1640"/>
      <c r="I76" s="1643">
        <v>0</v>
      </c>
      <c r="J76" s="1672"/>
      <c r="K76" s="623">
        <f t="shared" si="4"/>
        <v>-35.656999999999996</v>
      </c>
      <c r="L76" s="2993"/>
      <c r="M76" s="2072"/>
      <c r="N76" s="2072"/>
      <c r="O76" s="3799"/>
    </row>
    <row r="77" spans="1:15">
      <c r="A77" s="705" t="s">
        <v>289</v>
      </c>
      <c r="B77" s="705"/>
      <c r="C77" s="1643">
        <v>84.12</v>
      </c>
      <c r="D77" s="1640"/>
      <c r="E77" s="1643">
        <v>10.425000000000001</v>
      </c>
      <c r="F77" s="1640"/>
      <c r="G77" s="1643">
        <v>5.3360000000000003</v>
      </c>
      <c r="H77" s="1640"/>
      <c r="I77" s="1643">
        <v>0</v>
      </c>
      <c r="J77" s="1672"/>
      <c r="K77" s="623">
        <f t="shared" si="4"/>
        <v>89.209000000000003</v>
      </c>
      <c r="L77" s="2070"/>
      <c r="M77" s="2072"/>
      <c r="N77" s="2072"/>
      <c r="O77" s="3799"/>
    </row>
    <row r="78" spans="1:15">
      <c r="A78" s="705" t="s">
        <v>290</v>
      </c>
      <c r="B78" s="705"/>
      <c r="C78" s="1643">
        <v>0.27</v>
      </c>
      <c r="D78" s="1640"/>
      <c r="E78" s="1643">
        <v>3.0000000000000001E-3</v>
      </c>
      <c r="F78" s="1640"/>
      <c r="G78" s="1643">
        <v>0</v>
      </c>
      <c r="H78" s="1640"/>
      <c r="I78" s="1643">
        <v>0</v>
      </c>
      <c r="J78" s="1672"/>
      <c r="K78" s="623">
        <f t="shared" si="4"/>
        <v>0.27300000000000002</v>
      </c>
      <c r="L78" s="2070"/>
      <c r="M78" s="2072"/>
      <c r="N78" s="2072"/>
      <c r="O78" s="3799"/>
    </row>
    <row r="79" spans="1:15">
      <c r="A79" s="706" t="s">
        <v>291</v>
      </c>
      <c r="B79" s="705"/>
      <c r="C79" s="1643">
        <v>692.88099999999997</v>
      </c>
      <c r="D79" s="1640"/>
      <c r="E79" s="1643">
        <v>43.336999999999996</v>
      </c>
      <c r="F79" s="1640"/>
      <c r="G79" s="1643">
        <v>3.6259999999999999</v>
      </c>
      <c r="H79" s="1640"/>
      <c r="I79" s="1643">
        <v>0</v>
      </c>
      <c r="J79" s="1672"/>
      <c r="K79" s="623">
        <f t="shared" si="4"/>
        <v>732.59199999999998</v>
      </c>
      <c r="L79" s="2993"/>
      <c r="M79" s="2072"/>
      <c r="N79" s="2072"/>
      <c r="O79" s="3799"/>
    </row>
    <row r="80" spans="1:15">
      <c r="A80" s="705" t="s">
        <v>292</v>
      </c>
      <c r="B80" s="705"/>
      <c r="C80" s="1643">
        <v>15.249000000000001</v>
      </c>
      <c r="D80" s="1640"/>
      <c r="E80" s="1643">
        <v>0.85</v>
      </c>
      <c r="F80" s="1640"/>
      <c r="G80" s="1643">
        <v>0.13200000000000001</v>
      </c>
      <c r="H80" s="1640"/>
      <c r="I80" s="1643">
        <v>0</v>
      </c>
      <c r="J80" s="1672"/>
      <c r="K80" s="623">
        <f t="shared" si="4"/>
        <v>15.967000000000001</v>
      </c>
      <c r="L80" s="2070"/>
      <c r="M80" s="2072"/>
      <c r="N80" s="2072"/>
      <c r="O80" s="3799"/>
    </row>
    <row r="81" spans="1:15">
      <c r="A81" s="706" t="s">
        <v>293</v>
      </c>
      <c r="B81" s="705"/>
      <c r="C81" s="1643">
        <v>164.28200000000001</v>
      </c>
      <c r="D81" s="1640"/>
      <c r="E81" s="1643">
        <v>3.9E-2</v>
      </c>
      <c r="F81" s="1640"/>
      <c r="G81" s="1643">
        <v>61.600999999999999</v>
      </c>
      <c r="H81" s="1640"/>
      <c r="I81" s="1643">
        <v>12.750999999999999</v>
      </c>
      <c r="J81" s="1672"/>
      <c r="K81" s="623">
        <f t="shared" si="4"/>
        <v>115.471</v>
      </c>
      <c r="L81" s="2993"/>
      <c r="M81" s="2072"/>
      <c r="N81" s="2072"/>
      <c r="O81" s="3799"/>
    </row>
    <row r="82" spans="1:15">
      <c r="A82" s="706" t="s">
        <v>1091</v>
      </c>
      <c r="B82" s="705"/>
      <c r="C82" s="1643">
        <v>30.31</v>
      </c>
      <c r="D82" s="1640"/>
      <c r="E82" s="1643">
        <v>11.215999999999999</v>
      </c>
      <c r="F82" s="1640"/>
      <c r="G82" s="1643">
        <v>0.38100000000000001</v>
      </c>
      <c r="H82" s="1640"/>
      <c r="I82" s="1643">
        <v>0</v>
      </c>
      <c r="J82" s="1672"/>
      <c r="K82" s="623">
        <f t="shared" si="4"/>
        <v>41.145000000000003</v>
      </c>
      <c r="L82" s="2993"/>
      <c r="M82" s="2072"/>
      <c r="N82" s="2072"/>
      <c r="O82" s="3799"/>
    </row>
    <row r="83" spans="1:15">
      <c r="A83" s="706" t="s">
        <v>1448</v>
      </c>
      <c r="B83" s="705"/>
      <c r="C83" s="1643">
        <v>17.901</v>
      </c>
      <c r="D83" s="1640"/>
      <c r="E83" s="1643">
        <v>0.63600000000000001</v>
      </c>
      <c r="F83" s="1640"/>
      <c r="G83" s="1643">
        <v>1.782</v>
      </c>
      <c r="H83" s="1640"/>
      <c r="I83" s="1643">
        <v>0</v>
      </c>
      <c r="J83" s="1672"/>
      <c r="K83" s="623">
        <f t="shared" si="4"/>
        <v>16.754999999999999</v>
      </c>
      <c r="L83" s="2070"/>
      <c r="M83" s="2072"/>
      <c r="N83" s="2072"/>
      <c r="O83" s="3799"/>
    </row>
    <row r="84" spans="1:15">
      <c r="A84" s="706" t="s">
        <v>1147</v>
      </c>
      <c r="B84" s="705"/>
      <c r="C84" s="1643">
        <v>54.396000000000001</v>
      </c>
      <c r="D84" s="1640"/>
      <c r="E84" s="1643">
        <v>0.3</v>
      </c>
      <c r="F84" s="1640"/>
      <c r="G84" s="1643">
        <v>0.115</v>
      </c>
      <c r="H84" s="1640"/>
      <c r="I84" s="1643">
        <v>-1.4999999999999999E-2</v>
      </c>
      <c r="J84" s="1672"/>
      <c r="K84" s="623">
        <f t="shared" si="4"/>
        <v>54.566000000000003</v>
      </c>
      <c r="L84" s="2993"/>
      <c r="M84" s="2072"/>
      <c r="N84" s="2072"/>
      <c r="O84" s="3799"/>
    </row>
    <row r="85" spans="1:15">
      <c r="A85" s="706" t="s">
        <v>1442</v>
      </c>
      <c r="B85" s="705"/>
      <c r="C85" s="1643">
        <v>61.744999999999997</v>
      </c>
      <c r="D85" s="1640"/>
      <c r="E85" s="1643">
        <v>0.52</v>
      </c>
      <c r="F85" s="1640"/>
      <c r="G85" s="1643">
        <v>1.0609999999999999</v>
      </c>
      <c r="H85" s="1640"/>
      <c r="I85" s="1643">
        <v>0</v>
      </c>
      <c r="J85" s="1672"/>
      <c r="K85" s="623">
        <f>ROUND(SUM(C85)+SUM(E85)-SUM(G85)+SUM(I85),3)</f>
        <v>61.204000000000001</v>
      </c>
      <c r="L85" s="2993"/>
      <c r="M85" s="2072"/>
      <c r="N85" s="2072"/>
      <c r="O85" s="3799"/>
    </row>
    <row r="86" spans="1:15">
      <c r="A86" s="706" t="s">
        <v>1199</v>
      </c>
      <c r="B86" s="705"/>
      <c r="C86" s="1643">
        <v>152.952</v>
      </c>
      <c r="D86" s="1640"/>
      <c r="E86" s="1643">
        <v>4.9000000000000002E-2</v>
      </c>
      <c r="F86" s="1640"/>
      <c r="G86" s="1643">
        <v>0</v>
      </c>
      <c r="H86" s="1640"/>
      <c r="I86" s="1643">
        <v>0</v>
      </c>
      <c r="J86" s="1672"/>
      <c r="K86" s="623">
        <f t="shared" si="4"/>
        <v>153.001</v>
      </c>
      <c r="L86" s="2993"/>
      <c r="M86" s="2072"/>
      <c r="N86" s="2072"/>
      <c r="O86" s="3799"/>
    </row>
    <row r="87" spans="1:15">
      <c r="A87" s="706" t="s">
        <v>1237</v>
      </c>
      <c r="B87" s="705"/>
      <c r="C87" s="1643">
        <v>0.06</v>
      </c>
      <c r="D87" s="1640"/>
      <c r="E87" s="1643">
        <v>1E-3</v>
      </c>
      <c r="F87" s="1640"/>
      <c r="G87" s="1643">
        <v>0</v>
      </c>
      <c r="H87" s="1640"/>
      <c r="I87" s="1643">
        <v>0</v>
      </c>
      <c r="J87" s="1672"/>
      <c r="K87" s="623">
        <f t="shared" si="4"/>
        <v>6.0999999999999999E-2</v>
      </c>
      <c r="L87" s="2993"/>
      <c r="M87" s="2072"/>
      <c r="N87" s="2072"/>
      <c r="O87" s="3799"/>
    </row>
    <row r="88" spans="1:15">
      <c r="A88" s="706" t="s">
        <v>1450</v>
      </c>
      <c r="B88" s="705"/>
      <c r="C88" s="1643">
        <v>22.123000000000001</v>
      </c>
      <c r="D88" s="1640"/>
      <c r="E88" s="1643">
        <v>0.35699999999999998</v>
      </c>
      <c r="F88" s="1640"/>
      <c r="G88" s="1643">
        <v>0</v>
      </c>
      <c r="H88" s="1640"/>
      <c r="I88" s="1643">
        <v>0</v>
      </c>
      <c r="J88" s="1672"/>
      <c r="K88" s="623">
        <f>ROUND(SUM(C88)+SUM(E88)-SUM(G88)+SUM(I88),3)</f>
        <v>22.48</v>
      </c>
      <c r="L88" s="2993"/>
      <c r="M88" s="2072"/>
      <c r="N88" s="2072"/>
      <c r="O88" s="3799"/>
    </row>
    <row r="89" spans="1:15">
      <c r="A89" s="706" t="s">
        <v>1451</v>
      </c>
      <c r="B89" s="705"/>
      <c r="C89" s="1643">
        <v>298.15199999999999</v>
      </c>
      <c r="D89" s="1640"/>
      <c r="E89" s="1643">
        <v>53.466000000000001</v>
      </c>
      <c r="F89" s="1640"/>
      <c r="G89" s="1643">
        <v>0</v>
      </c>
      <c r="H89" s="1640"/>
      <c r="I89" s="1643">
        <v>0</v>
      </c>
      <c r="J89" s="1672"/>
      <c r="K89" s="623">
        <f>ROUND(SUM(C89)+SUM(E89)-SUM(G89)+SUM(I89),3)</f>
        <v>351.61799999999999</v>
      </c>
      <c r="L89" s="2993"/>
      <c r="M89" s="2072"/>
      <c r="N89" s="2072"/>
      <c r="O89" s="3799"/>
    </row>
    <row r="90" spans="1:15">
      <c r="A90" s="1674" t="s">
        <v>799</v>
      </c>
      <c r="B90" s="705"/>
      <c r="C90" s="1643">
        <v>474.06400000000002</v>
      </c>
      <c r="D90" s="1640"/>
      <c r="E90" s="1643">
        <v>14.363</v>
      </c>
      <c r="F90" s="1640"/>
      <c r="G90" s="1643">
        <v>0</v>
      </c>
      <c r="H90" s="1640"/>
      <c r="I90" s="1643">
        <v>-20.547999999999998</v>
      </c>
      <c r="J90" s="1672"/>
      <c r="K90" s="623">
        <f t="shared" si="4"/>
        <v>467.87900000000002</v>
      </c>
      <c r="L90" s="2993"/>
      <c r="M90" s="2072"/>
      <c r="N90" s="2072"/>
      <c r="O90" s="3799"/>
    </row>
    <row r="91" spans="1:15">
      <c r="A91" s="422" t="s">
        <v>294</v>
      </c>
      <c r="B91" s="705"/>
      <c r="C91" s="427">
        <f>ROUND(SUM(C28:C90),3)</f>
        <v>8528.1939999999995</v>
      </c>
      <c r="D91" s="426"/>
      <c r="E91" s="427">
        <f>ROUND(SUM(E28:E90),3)</f>
        <v>1546.4949999999999</v>
      </c>
      <c r="F91" s="426"/>
      <c r="G91" s="427">
        <f>ROUND(SUM(G28:G90),3)</f>
        <v>1839.1959999999999</v>
      </c>
      <c r="H91" s="426"/>
      <c r="I91" s="427">
        <f>ROUND(SUM(I28:I90),3)</f>
        <v>518.553</v>
      </c>
      <c r="J91" s="426"/>
      <c r="K91" s="427">
        <f>ROUND(SUM(K28:K90),3)</f>
        <v>8754.0460000000003</v>
      </c>
      <c r="L91" s="2074"/>
      <c r="M91" s="2924"/>
      <c r="N91" s="2072"/>
      <c r="O91" s="3799"/>
    </row>
    <row r="92" spans="1:15" ht="11.25" customHeight="1">
      <c r="A92" s="705"/>
      <c r="B92" s="705"/>
      <c r="C92" s="707"/>
      <c r="D92" s="705"/>
      <c r="E92" s="707"/>
      <c r="F92" s="705"/>
      <c r="G92" s="707"/>
      <c r="H92" s="705"/>
      <c r="I92" s="707"/>
      <c r="J92" s="705"/>
      <c r="K92" s="707"/>
      <c r="L92" s="707"/>
      <c r="M92" s="2072"/>
      <c r="N92" s="2072"/>
      <c r="O92" s="3799"/>
    </row>
    <row r="93" spans="1:15">
      <c r="A93" s="423" t="s">
        <v>295</v>
      </c>
      <c r="B93" s="705"/>
      <c r="C93" s="705"/>
      <c r="D93" s="705"/>
      <c r="E93" s="705"/>
      <c r="F93" s="705"/>
      <c r="G93" s="705"/>
      <c r="H93" s="705"/>
      <c r="I93" s="705"/>
      <c r="J93" s="705"/>
      <c r="K93" s="705"/>
      <c r="L93" s="707"/>
      <c r="M93" s="2072"/>
      <c r="N93" s="2072"/>
      <c r="O93" s="3799"/>
    </row>
    <row r="94" spans="1:15">
      <c r="A94" s="705" t="s">
        <v>859</v>
      </c>
      <c r="B94" s="705"/>
      <c r="C94" s="1643">
        <v>-62.661999999999999</v>
      </c>
      <c r="D94" s="1640"/>
      <c r="E94" s="1643">
        <v>270.69</v>
      </c>
      <c r="F94" s="1640"/>
      <c r="G94" s="1643">
        <v>497.363</v>
      </c>
      <c r="H94" s="1640"/>
      <c r="I94" s="1643">
        <v>-1.319</v>
      </c>
      <c r="J94" s="1672"/>
      <c r="K94" s="623">
        <f t="shared" ref="K94:K100" si="5">ROUND(SUM(C94)+SUM(E94)-SUM(G94)+SUM(I94),3)</f>
        <v>-290.654</v>
      </c>
      <c r="L94" s="708"/>
      <c r="M94" s="2072"/>
      <c r="N94" s="2072"/>
      <c r="O94" s="3799"/>
    </row>
    <row r="95" spans="1:15">
      <c r="A95" s="705" t="s">
        <v>296</v>
      </c>
      <c r="B95" s="705"/>
      <c r="C95" s="1643">
        <v>5379.88</v>
      </c>
      <c r="D95" s="1640"/>
      <c r="E95" s="1643">
        <v>6471.7749999999996</v>
      </c>
      <c r="F95" s="1640"/>
      <c r="G95" s="1643">
        <v>5002.3540000000003</v>
      </c>
      <c r="H95" s="1640"/>
      <c r="I95" s="1643">
        <v>-132.97</v>
      </c>
      <c r="J95" s="1672"/>
      <c r="K95" s="623">
        <f t="shared" si="5"/>
        <v>6716.3310000000001</v>
      </c>
      <c r="L95" s="708"/>
      <c r="M95" s="2072"/>
      <c r="N95" s="2072"/>
      <c r="O95" s="3799"/>
    </row>
    <row r="96" spans="1:15">
      <c r="A96" s="705" t="s">
        <v>297</v>
      </c>
      <c r="B96" s="424"/>
      <c r="C96" s="1643">
        <v>-62.945</v>
      </c>
      <c r="D96" s="1640"/>
      <c r="E96" s="1643">
        <v>420.43</v>
      </c>
      <c r="F96" s="1640"/>
      <c r="G96" s="1643">
        <v>436.55399999999997</v>
      </c>
      <c r="H96" s="1640"/>
      <c r="I96" s="1643">
        <v>-3.7029999999999998</v>
      </c>
      <c r="J96" s="1672"/>
      <c r="K96" s="623">
        <f t="shared" si="5"/>
        <v>-82.772000000000006</v>
      </c>
      <c r="L96" s="708"/>
      <c r="M96" s="2072"/>
      <c r="N96" s="2072"/>
      <c r="O96" s="3799"/>
    </row>
    <row r="97" spans="1:15">
      <c r="A97" s="705" t="s">
        <v>1441</v>
      </c>
      <c r="B97" s="705"/>
      <c r="C97" s="1643">
        <v>8920.5059999999994</v>
      </c>
      <c r="D97" s="1640"/>
      <c r="E97" s="1643">
        <v>146.55000000000001</v>
      </c>
      <c r="F97" s="1640"/>
      <c r="G97" s="1643">
        <v>267.75799999999998</v>
      </c>
      <c r="H97" s="1640"/>
      <c r="I97" s="1643">
        <v>-4.0000000000000001E-3</v>
      </c>
      <c r="J97" s="1672"/>
      <c r="K97" s="623">
        <f t="shared" si="5"/>
        <v>8799.2939999999999</v>
      </c>
      <c r="L97" s="708"/>
      <c r="M97" s="710"/>
      <c r="O97" s="3799"/>
    </row>
    <row r="98" spans="1:15">
      <c r="A98" s="705" t="s">
        <v>298</v>
      </c>
      <c r="B98" s="705"/>
      <c r="C98" s="1643">
        <v>116.06699999999999</v>
      </c>
      <c r="D98" s="1640"/>
      <c r="E98" s="1643">
        <v>63.648000000000003</v>
      </c>
      <c r="F98" s="1640"/>
      <c r="G98" s="1643">
        <v>31.404</v>
      </c>
      <c r="H98" s="1640"/>
      <c r="I98" s="1643">
        <v>0</v>
      </c>
      <c r="J98" s="1672"/>
      <c r="K98" s="623">
        <f t="shared" si="5"/>
        <v>148.31100000000001</v>
      </c>
      <c r="L98" s="708"/>
      <c r="M98" s="2072"/>
      <c r="N98" s="2072"/>
      <c r="O98" s="3799"/>
    </row>
    <row r="99" spans="1:15">
      <c r="A99" s="705" t="s">
        <v>1440</v>
      </c>
      <c r="B99" s="705"/>
      <c r="C99" s="1643">
        <v>-0.48299999999999998</v>
      </c>
      <c r="D99" s="1640"/>
      <c r="E99" s="1643">
        <v>0.41099999999999998</v>
      </c>
      <c r="F99" s="1640"/>
      <c r="G99" s="1643">
        <v>0.373</v>
      </c>
      <c r="H99" s="1640"/>
      <c r="I99" s="1643">
        <v>0</v>
      </c>
      <c r="J99" s="1672"/>
      <c r="K99" s="623">
        <f t="shared" si="5"/>
        <v>-0.44500000000000001</v>
      </c>
      <c r="L99" s="708"/>
      <c r="M99" s="2072"/>
      <c r="N99" s="2072"/>
      <c r="O99" s="3799"/>
    </row>
    <row r="100" spans="1:15">
      <c r="A100" s="706" t="s">
        <v>299</v>
      </c>
      <c r="B100" s="705"/>
      <c r="C100" s="1643">
        <v>-12.811999999999999</v>
      </c>
      <c r="D100" s="1640"/>
      <c r="E100" s="1643">
        <v>18.956</v>
      </c>
      <c r="F100" s="1640"/>
      <c r="G100" s="1643">
        <v>18.254000000000001</v>
      </c>
      <c r="H100" s="1640"/>
      <c r="I100" s="1643">
        <v>0</v>
      </c>
      <c r="J100" s="1672"/>
      <c r="K100" s="623">
        <f t="shared" si="5"/>
        <v>-12.11</v>
      </c>
      <c r="L100" s="708"/>
      <c r="M100" s="2072"/>
      <c r="N100" s="2072"/>
      <c r="O100" s="3799"/>
    </row>
    <row r="101" spans="1:15">
      <c r="A101" s="422" t="s">
        <v>300</v>
      </c>
      <c r="B101" s="705"/>
      <c r="C101" s="427">
        <f>ROUND(SUM(C94:C100),3)</f>
        <v>14277.550999999999</v>
      </c>
      <c r="D101" s="426"/>
      <c r="E101" s="427">
        <f>ROUND(SUM(E94:E100),3)</f>
        <v>7392.46</v>
      </c>
      <c r="F101" s="426"/>
      <c r="G101" s="427">
        <f>ROUND(SUM(G94:G100),3)</f>
        <v>6254.06</v>
      </c>
      <c r="H101" s="426"/>
      <c r="I101" s="427">
        <f>ROUND(SUM(I94:I100),3)</f>
        <v>-137.99600000000001</v>
      </c>
      <c r="J101" s="426"/>
      <c r="K101" s="427">
        <f>ROUND(SUM(K94:K100),3)</f>
        <v>15277.955</v>
      </c>
      <c r="L101" s="428"/>
      <c r="M101" s="2072"/>
      <c r="N101" s="2072"/>
      <c r="O101" s="3799"/>
    </row>
    <row r="102" spans="1:15" ht="12" customHeight="1">
      <c r="A102" s="426"/>
      <c r="B102" s="705"/>
      <c r="C102" s="707"/>
      <c r="D102" s="705"/>
      <c r="E102" s="707"/>
      <c r="F102" s="705"/>
      <c r="G102" s="707"/>
      <c r="H102" s="705"/>
      <c r="I102" s="707"/>
      <c r="J102" s="705"/>
      <c r="K102" s="707"/>
      <c r="L102" s="707"/>
      <c r="M102" s="2072"/>
      <c r="N102" s="2072"/>
      <c r="O102" s="3799"/>
    </row>
    <row r="103" spans="1:15">
      <c r="A103" s="2926" t="s">
        <v>301</v>
      </c>
      <c r="B103" s="705"/>
      <c r="C103" s="2154">
        <f>C101+C91</f>
        <v>22805.744999999999</v>
      </c>
      <c r="D103" s="426"/>
      <c r="E103" s="2154">
        <f>E91+E101</f>
        <v>8938.9549999999999</v>
      </c>
      <c r="F103" s="426"/>
      <c r="G103" s="2154">
        <f>G91+G101</f>
        <v>8093.2560000000003</v>
      </c>
      <c r="H103" s="426"/>
      <c r="I103" s="2154">
        <f>I91+I101</f>
        <v>380.55700000000002</v>
      </c>
      <c r="J103" s="426"/>
      <c r="K103" s="2154">
        <f>K91+K101</f>
        <v>24032.001</v>
      </c>
      <c r="L103" s="428"/>
      <c r="M103" s="2924"/>
      <c r="N103" s="2924"/>
      <c r="O103" s="3799"/>
    </row>
    <row r="104" spans="1:15" ht="10.5" customHeight="1">
      <c r="A104" s="2927"/>
      <c r="B104" s="705"/>
      <c r="C104" s="707"/>
      <c r="D104" s="705"/>
      <c r="E104" s="707"/>
      <c r="F104" s="705"/>
      <c r="G104" s="707"/>
      <c r="H104" s="705"/>
      <c r="I104" s="707"/>
      <c r="J104" s="705"/>
      <c r="K104" s="707"/>
      <c r="L104" s="707"/>
      <c r="M104" s="2072"/>
      <c r="N104" s="2072"/>
      <c r="O104" s="3799"/>
    </row>
    <row r="105" spans="1:15" ht="17.25">
      <c r="A105" s="423" t="s">
        <v>181</v>
      </c>
      <c r="B105" s="705"/>
      <c r="C105" s="705"/>
      <c r="D105" s="705"/>
      <c r="E105" s="662"/>
      <c r="F105" s="662"/>
      <c r="G105" s="662"/>
      <c r="H105" s="662"/>
      <c r="I105" s="662"/>
      <c r="J105" s="424"/>
      <c r="K105" s="662"/>
      <c r="L105" s="707"/>
      <c r="M105" s="2072"/>
      <c r="N105" s="2072"/>
      <c r="O105" s="3799"/>
    </row>
    <row r="106" spans="1:15">
      <c r="A106" s="705" t="s">
        <v>302</v>
      </c>
      <c r="B106" s="705"/>
      <c r="C106" s="1643">
        <v>0</v>
      </c>
      <c r="D106" s="1640"/>
      <c r="E106" s="1643">
        <v>0</v>
      </c>
      <c r="F106" s="1640"/>
      <c r="G106" s="1643">
        <v>0</v>
      </c>
      <c r="H106" s="1640"/>
      <c r="I106" s="1643">
        <v>0</v>
      </c>
      <c r="J106" s="1672"/>
      <c r="K106" s="623">
        <f t="shared" ref="K106:K112" si="6">ROUND(SUM(C106)+SUM(E106)-SUM(G106)+SUM(I106),3)</f>
        <v>0</v>
      </c>
      <c r="L106" s="2075"/>
      <c r="O106" s="3799"/>
    </row>
    <row r="107" spans="1:15">
      <c r="A107" s="705" t="s">
        <v>303</v>
      </c>
      <c r="B107" s="705"/>
      <c r="C107" s="1643">
        <v>91.451999999999998</v>
      </c>
      <c r="D107" s="1640"/>
      <c r="E107" s="1643">
        <v>31.287000000000003</v>
      </c>
      <c r="F107" s="1640"/>
      <c r="G107" s="1643">
        <v>0</v>
      </c>
      <c r="H107" s="1640"/>
      <c r="I107" s="1643">
        <v>-101.73099999999999</v>
      </c>
      <c r="J107" s="1672"/>
      <c r="K107" s="623">
        <f t="shared" si="6"/>
        <v>21.007999999999999</v>
      </c>
      <c r="L107" s="708"/>
      <c r="M107" s="2072"/>
      <c r="N107" s="2072"/>
      <c r="O107" s="3799"/>
    </row>
    <row r="108" spans="1:15">
      <c r="A108" s="705" t="s">
        <v>304</v>
      </c>
      <c r="B108" s="705"/>
      <c r="C108" s="1643">
        <v>131.57400000000001</v>
      </c>
      <c r="D108" s="1640"/>
      <c r="E108" s="1643">
        <v>1992.8340000000001</v>
      </c>
      <c r="F108" s="1640"/>
      <c r="G108" s="1643">
        <v>18.015000000000001</v>
      </c>
      <c r="H108" s="1640"/>
      <c r="I108" s="1643">
        <v>-1825.126</v>
      </c>
      <c r="J108" s="1672"/>
      <c r="K108" s="623">
        <f t="shared" si="6"/>
        <v>281.267</v>
      </c>
      <c r="L108" s="708"/>
      <c r="M108" s="2072"/>
      <c r="N108" s="2072"/>
      <c r="O108" s="3799"/>
    </row>
    <row r="109" spans="1:15">
      <c r="A109" s="705" t="s">
        <v>305</v>
      </c>
      <c r="B109" s="705"/>
      <c r="C109" s="1643">
        <v>0</v>
      </c>
      <c r="D109" s="1640"/>
      <c r="E109" s="1643">
        <v>0</v>
      </c>
      <c r="F109" s="1640"/>
      <c r="G109" s="1643">
        <v>0</v>
      </c>
      <c r="H109" s="1640"/>
      <c r="I109" s="1643">
        <v>0</v>
      </c>
      <c r="J109" s="1672"/>
      <c r="K109" s="623">
        <f t="shared" si="6"/>
        <v>0</v>
      </c>
      <c r="L109" s="2075"/>
      <c r="M109" s="2072"/>
      <c r="N109" s="2072"/>
      <c r="O109" s="3799"/>
    </row>
    <row r="110" spans="1:15">
      <c r="A110" s="705" t="s">
        <v>306</v>
      </c>
      <c r="B110" s="705"/>
      <c r="C110" s="1643">
        <v>42.826999999999998</v>
      </c>
      <c r="D110" s="1640"/>
      <c r="E110" s="1643">
        <v>-5.3940000000000001</v>
      </c>
      <c r="F110" s="1640"/>
      <c r="G110" s="1643">
        <v>13</v>
      </c>
      <c r="H110" s="1640"/>
      <c r="I110" s="1643">
        <v>-6.508</v>
      </c>
      <c r="J110" s="1672"/>
      <c r="K110" s="623">
        <f t="shared" si="6"/>
        <v>17.925000000000001</v>
      </c>
      <c r="L110" s="708"/>
      <c r="M110" s="2072"/>
      <c r="N110" s="2072" t="s">
        <v>14</v>
      </c>
      <c r="O110" s="3799"/>
    </row>
    <row r="111" spans="1:15">
      <c r="A111" s="705" t="s">
        <v>307</v>
      </c>
      <c r="B111" s="705"/>
      <c r="C111" s="1643">
        <v>0</v>
      </c>
      <c r="D111" s="1640"/>
      <c r="E111" s="1643">
        <v>129.983</v>
      </c>
      <c r="F111" s="1640"/>
      <c r="G111" s="1643">
        <v>0</v>
      </c>
      <c r="H111" s="1640"/>
      <c r="I111" s="1643">
        <v>-129.983</v>
      </c>
      <c r="J111" s="1672"/>
      <c r="K111" s="623">
        <f t="shared" si="6"/>
        <v>0</v>
      </c>
      <c r="L111" s="708" t="s">
        <v>14</v>
      </c>
      <c r="M111" s="2072"/>
      <c r="N111" s="2072" t="s">
        <v>14</v>
      </c>
      <c r="O111" s="3799"/>
    </row>
    <row r="112" spans="1:15">
      <c r="A112" s="706" t="s">
        <v>308</v>
      </c>
      <c r="B112" s="705"/>
      <c r="C112" s="1643">
        <v>0</v>
      </c>
      <c r="D112" s="1640"/>
      <c r="E112" s="1643">
        <v>327.39400000000001</v>
      </c>
      <c r="F112" s="1640"/>
      <c r="G112" s="1643">
        <v>0</v>
      </c>
      <c r="H112" s="1640"/>
      <c r="I112" s="1643">
        <v>-327.39400000000001</v>
      </c>
      <c r="J112" s="1672"/>
      <c r="K112" s="623">
        <f t="shared" si="6"/>
        <v>0</v>
      </c>
      <c r="L112" s="708" t="s">
        <v>14</v>
      </c>
      <c r="M112" s="2072"/>
      <c r="N112" s="2072" t="s">
        <v>14</v>
      </c>
      <c r="O112" s="3799"/>
    </row>
    <row r="113" spans="1:15">
      <c r="A113" s="2928" t="s">
        <v>309</v>
      </c>
      <c r="B113" s="2929"/>
      <c r="C113" s="427">
        <f>ROUND(SUM(C106:C112),3)</f>
        <v>265.85300000000001</v>
      </c>
      <c r="D113" s="429"/>
      <c r="E113" s="427">
        <f>ROUND(SUM(E106:E112),3)</f>
        <v>2476.1039999999998</v>
      </c>
      <c r="F113" s="429"/>
      <c r="G113" s="427">
        <f>ROUND(SUM(G106:G112),3)</f>
        <v>31.015000000000001</v>
      </c>
      <c r="H113" s="429"/>
      <c r="I113" s="427">
        <f>ROUND(SUM(I106:I112),3)</f>
        <v>-2390.7420000000002</v>
      </c>
      <c r="J113" s="429"/>
      <c r="K113" s="427">
        <f>ROUND(SUM(K106:K112),3)</f>
        <v>320.2</v>
      </c>
      <c r="L113" s="428" t="s">
        <v>14</v>
      </c>
      <c r="M113" s="2924"/>
      <c r="N113" s="2072" t="s">
        <v>14</v>
      </c>
      <c r="O113" s="3799"/>
    </row>
    <row r="114" spans="1:15">
      <c r="A114" s="705"/>
      <c r="B114" s="705"/>
      <c r="C114" s="707"/>
      <c r="D114" s="705"/>
      <c r="E114" s="707"/>
      <c r="F114" s="705"/>
      <c r="G114" s="707"/>
      <c r="H114" s="705"/>
      <c r="I114" s="707"/>
      <c r="J114" s="705"/>
      <c r="K114" s="707" t="s">
        <v>14</v>
      </c>
      <c r="L114" s="707"/>
      <c r="M114" s="2072"/>
      <c r="N114" s="2072" t="s">
        <v>14</v>
      </c>
      <c r="O114" s="3799"/>
    </row>
    <row r="115" spans="1:15">
      <c r="A115" s="2930" t="s">
        <v>830</v>
      </c>
      <c r="B115" s="705"/>
      <c r="K115" s="709"/>
      <c r="L115" s="708"/>
      <c r="M115" s="2072"/>
      <c r="N115" s="2072"/>
      <c r="O115" s="3799"/>
    </row>
    <row r="116" spans="1:15">
      <c r="A116" s="705" t="s">
        <v>310</v>
      </c>
      <c r="B116" s="1672"/>
      <c r="C116" s="1643">
        <v>0</v>
      </c>
      <c r="D116" s="1640"/>
      <c r="E116" s="1643">
        <v>943.02</v>
      </c>
      <c r="F116" s="1640"/>
      <c r="G116" s="3769">
        <v>718.86599999999999</v>
      </c>
      <c r="H116" s="1640"/>
      <c r="I116" s="1643">
        <v>-224.154</v>
      </c>
      <c r="J116" s="1672"/>
      <c r="K116" s="623">
        <f>ROUND(SUM(C116)+SUM(E116)-SUM(G116)+SUM(I116),3)</f>
        <v>0</v>
      </c>
      <c r="L116" s="2075"/>
      <c r="M116" s="2072"/>
      <c r="N116" s="710"/>
      <c r="O116" s="3799"/>
    </row>
    <row r="117" spans="1:15">
      <c r="A117" s="705" t="s">
        <v>311</v>
      </c>
      <c r="B117" s="706"/>
      <c r="C117" s="1643">
        <v>77.677000000000007</v>
      </c>
      <c r="D117" s="1640"/>
      <c r="E117" s="3769">
        <v>166.31</v>
      </c>
      <c r="F117" s="1640"/>
      <c r="G117" s="1643">
        <v>141.95500000000001</v>
      </c>
      <c r="H117" s="1640"/>
      <c r="I117" s="3769">
        <v>-7.9850000000000003</v>
      </c>
      <c r="J117" s="3797"/>
      <c r="K117" s="3770">
        <f t="shared" ref="K117:K131" si="7">ROUND(SUM(C117)+SUM(E117)-SUM(G117)+SUM(I117),3)</f>
        <v>94.046999999999997</v>
      </c>
      <c r="L117" s="708"/>
      <c r="M117" s="2072"/>
      <c r="N117" s="2072"/>
      <c r="O117" s="3799"/>
    </row>
    <row r="118" spans="1:15">
      <c r="A118" s="705" t="s">
        <v>312</v>
      </c>
      <c r="B118" s="705"/>
      <c r="C118" s="1643">
        <v>137.434</v>
      </c>
      <c r="D118" s="1640"/>
      <c r="E118" s="1643">
        <v>4.3999999999999997E-2</v>
      </c>
      <c r="F118" s="1640"/>
      <c r="G118" s="1643">
        <v>4.46</v>
      </c>
      <c r="H118" s="1640"/>
      <c r="I118" s="1643">
        <v>1.3720000000000001</v>
      </c>
      <c r="J118" s="1672"/>
      <c r="K118" s="623">
        <f t="shared" si="7"/>
        <v>134.38999999999999</v>
      </c>
      <c r="L118" s="708"/>
      <c r="M118" s="2072"/>
      <c r="N118" s="2072"/>
      <c r="O118" s="3799"/>
    </row>
    <row r="119" spans="1:15">
      <c r="A119" s="705" t="s">
        <v>313</v>
      </c>
      <c r="B119" s="705"/>
      <c r="C119" s="1643">
        <v>17.73</v>
      </c>
      <c r="D119" s="1640"/>
      <c r="E119" s="1643">
        <v>6.0000000000000001E-3</v>
      </c>
      <c r="F119" s="1640"/>
      <c r="G119" s="1643">
        <v>0</v>
      </c>
      <c r="H119" s="1640"/>
      <c r="I119" s="1643">
        <v>0</v>
      </c>
      <c r="J119" s="1672"/>
      <c r="K119" s="623">
        <f t="shared" si="7"/>
        <v>17.736000000000001</v>
      </c>
      <c r="L119" s="708"/>
      <c r="M119" s="2072"/>
      <c r="N119" s="2072"/>
      <c r="O119" s="3799"/>
    </row>
    <row r="120" spans="1:15">
      <c r="A120" s="705" t="s">
        <v>314</v>
      </c>
      <c r="B120" s="705"/>
      <c r="C120" s="1643">
        <v>-56.222000000000001</v>
      </c>
      <c r="D120" s="1640"/>
      <c r="E120" s="1643">
        <v>6.6840000000000002</v>
      </c>
      <c r="F120" s="1640"/>
      <c r="G120" s="1643">
        <v>11.225</v>
      </c>
      <c r="H120" s="1640"/>
      <c r="I120" s="1643">
        <v>0</v>
      </c>
      <c r="J120" s="1672"/>
      <c r="K120" s="623">
        <f t="shared" si="7"/>
        <v>-60.762999999999998</v>
      </c>
      <c r="L120" s="708"/>
      <c r="M120" s="2072"/>
      <c r="N120" s="2072"/>
      <c r="O120" s="3799"/>
    </row>
    <row r="121" spans="1:15">
      <c r="A121" s="705" t="s">
        <v>315</v>
      </c>
      <c r="B121" s="705"/>
      <c r="C121" s="1643">
        <v>1.4999999999999999E-2</v>
      </c>
      <c r="D121" s="1640"/>
      <c r="E121" s="1643">
        <v>0</v>
      </c>
      <c r="F121" s="1640"/>
      <c r="G121" s="1643">
        <v>0</v>
      </c>
      <c r="H121" s="1640"/>
      <c r="I121" s="1643">
        <v>0</v>
      </c>
      <c r="J121" s="1672"/>
      <c r="K121" s="623">
        <f t="shared" si="7"/>
        <v>1.4999999999999999E-2</v>
      </c>
      <c r="L121" s="708"/>
      <c r="M121" s="2072"/>
      <c r="N121" s="2072"/>
      <c r="O121" s="3799"/>
    </row>
    <row r="122" spans="1:15">
      <c r="A122" s="705" t="s">
        <v>316</v>
      </c>
      <c r="B122" s="705"/>
      <c r="C122" s="1643">
        <v>47.027999999999999</v>
      </c>
      <c r="D122" s="1640"/>
      <c r="E122" s="1643">
        <v>3.931</v>
      </c>
      <c r="F122" s="1640"/>
      <c r="G122" s="1643">
        <v>13.663</v>
      </c>
      <c r="H122" s="1640"/>
      <c r="I122" s="1643">
        <v>48.125</v>
      </c>
      <c r="J122" s="1672"/>
      <c r="K122" s="623">
        <f t="shared" si="7"/>
        <v>85.421000000000006</v>
      </c>
      <c r="L122" s="708"/>
      <c r="M122" s="2072"/>
      <c r="N122" s="2072"/>
      <c r="O122" s="3799"/>
    </row>
    <row r="123" spans="1:15">
      <c r="A123" s="705" t="s">
        <v>317</v>
      </c>
      <c r="B123" s="705"/>
      <c r="C123" s="1643">
        <v>0</v>
      </c>
      <c r="D123" s="1640"/>
      <c r="E123" s="1643">
        <v>0</v>
      </c>
      <c r="F123" s="1640"/>
      <c r="G123" s="1643">
        <v>0</v>
      </c>
      <c r="H123" s="1640"/>
      <c r="I123" s="1643">
        <v>0</v>
      </c>
      <c r="J123" s="1672"/>
      <c r="K123" s="623">
        <f t="shared" si="7"/>
        <v>0</v>
      </c>
      <c r="L123" s="708"/>
      <c r="M123" s="2072"/>
      <c r="N123" s="2072"/>
      <c r="O123" s="3799"/>
    </row>
    <row r="124" spans="1:15">
      <c r="A124" s="705" t="s">
        <v>318</v>
      </c>
      <c r="B124" s="705"/>
      <c r="C124" s="1643">
        <v>0.16400000000000001</v>
      </c>
      <c r="D124" s="1640"/>
      <c r="E124" s="1643">
        <v>0</v>
      </c>
      <c r="F124" s="1640"/>
      <c r="G124" s="1643">
        <v>0</v>
      </c>
      <c r="H124" s="1640"/>
      <c r="I124" s="1643">
        <v>0</v>
      </c>
      <c r="J124" s="1672"/>
      <c r="K124" s="623">
        <f t="shared" si="7"/>
        <v>0.16400000000000001</v>
      </c>
      <c r="L124" s="708"/>
      <c r="M124" s="2072"/>
      <c r="N124" s="2072"/>
      <c r="O124" s="3799"/>
    </row>
    <row r="125" spans="1:15">
      <c r="A125" s="705" t="s">
        <v>858</v>
      </c>
      <c r="B125" s="705"/>
      <c r="C125" s="1643">
        <v>0</v>
      </c>
      <c r="D125" s="1640"/>
      <c r="E125" s="1643">
        <v>0</v>
      </c>
      <c r="F125" s="1640"/>
      <c r="G125" s="1643">
        <v>0</v>
      </c>
      <c r="H125" s="1640"/>
      <c r="I125" s="1643">
        <v>0</v>
      </c>
      <c r="J125" s="1672"/>
      <c r="K125" s="623">
        <f t="shared" si="7"/>
        <v>0</v>
      </c>
      <c r="L125" s="708"/>
      <c r="M125" s="2072"/>
      <c r="N125" s="2072"/>
      <c r="O125" s="3799"/>
    </row>
    <row r="126" spans="1:15">
      <c r="A126" s="705" t="s">
        <v>319</v>
      </c>
      <c r="B126" s="705"/>
      <c r="C126" s="1643">
        <v>0.66800000000000004</v>
      </c>
      <c r="D126" s="1640"/>
      <c r="E126" s="1643">
        <v>0</v>
      </c>
      <c r="F126" s="1640"/>
      <c r="G126" s="1643">
        <v>0</v>
      </c>
      <c r="H126" s="1640"/>
      <c r="I126" s="1643">
        <v>0</v>
      </c>
      <c r="J126" s="1672"/>
      <c r="K126" s="623">
        <f t="shared" si="7"/>
        <v>0.66800000000000004</v>
      </c>
      <c r="L126" s="708"/>
      <c r="M126" s="2072"/>
      <c r="N126" s="2072"/>
      <c r="O126" s="3799"/>
    </row>
    <row r="127" spans="1:15">
      <c r="A127" s="705" t="s">
        <v>320</v>
      </c>
      <c r="B127" s="705"/>
      <c r="C127" s="1643">
        <v>3.3279999999999998</v>
      </c>
      <c r="D127" s="1640"/>
      <c r="E127" s="1643">
        <v>0</v>
      </c>
      <c r="F127" s="1640"/>
      <c r="G127" s="1643">
        <v>0</v>
      </c>
      <c r="H127" s="1640"/>
      <c r="I127" s="1643">
        <v>0</v>
      </c>
      <c r="J127" s="1672"/>
      <c r="K127" s="623">
        <f t="shared" si="7"/>
        <v>3.3279999999999998</v>
      </c>
      <c r="L127" s="708"/>
      <c r="M127" s="2072"/>
      <c r="N127" s="2072"/>
      <c r="O127" s="3799"/>
    </row>
    <row r="128" spans="1:15">
      <c r="A128" s="705" t="s">
        <v>321</v>
      </c>
      <c r="B128" s="705"/>
      <c r="C128" s="1643">
        <v>1.419</v>
      </c>
      <c r="D128" s="1640"/>
      <c r="E128" s="1643">
        <v>0</v>
      </c>
      <c r="F128" s="1640"/>
      <c r="G128" s="1643">
        <v>0</v>
      </c>
      <c r="H128" s="1640"/>
      <c r="I128" s="1643">
        <v>0</v>
      </c>
      <c r="J128" s="1672"/>
      <c r="K128" s="623">
        <f t="shared" si="7"/>
        <v>1.419</v>
      </c>
      <c r="L128" s="708"/>
      <c r="M128" s="2072"/>
      <c r="N128" s="2072"/>
      <c r="O128" s="3799"/>
    </row>
    <row r="129" spans="1:15">
      <c r="A129" s="705" t="s">
        <v>322</v>
      </c>
      <c r="B129" s="705"/>
      <c r="C129" s="1643">
        <v>17.21</v>
      </c>
      <c r="D129" s="1640"/>
      <c r="E129" s="1643">
        <v>0</v>
      </c>
      <c r="F129" s="1640"/>
      <c r="G129" s="1643">
        <v>0</v>
      </c>
      <c r="H129" s="1640"/>
      <c r="I129" s="1643">
        <v>0</v>
      </c>
      <c r="J129" s="1672"/>
      <c r="K129" s="623">
        <f t="shared" si="7"/>
        <v>17.21</v>
      </c>
      <c r="L129" s="708"/>
      <c r="M129" s="2072"/>
      <c r="N129" s="2072"/>
      <c r="O129" s="3799"/>
    </row>
    <row r="130" spans="1:15">
      <c r="A130" s="705" t="s">
        <v>323</v>
      </c>
      <c r="B130" s="705"/>
      <c r="C130" s="1643">
        <v>4.2549999999999999</v>
      </c>
      <c r="D130" s="1640"/>
      <c r="E130" s="1643">
        <v>0</v>
      </c>
      <c r="F130" s="1640"/>
      <c r="G130" s="1643">
        <v>0</v>
      </c>
      <c r="H130" s="1640"/>
      <c r="I130" s="1643">
        <v>0</v>
      </c>
      <c r="J130" s="1672"/>
      <c r="K130" s="623">
        <f t="shared" si="7"/>
        <v>4.2549999999999999</v>
      </c>
      <c r="L130" s="708"/>
      <c r="M130" s="2072"/>
      <c r="N130" s="710"/>
      <c r="O130" s="3799"/>
    </row>
    <row r="131" spans="1:15">
      <c r="A131" s="705" t="s">
        <v>324</v>
      </c>
      <c r="B131" s="705"/>
      <c r="C131" s="1643">
        <v>5.55</v>
      </c>
      <c r="D131" s="1640"/>
      <c r="E131" s="1643">
        <v>0</v>
      </c>
      <c r="F131" s="1640"/>
      <c r="G131" s="1643">
        <v>0</v>
      </c>
      <c r="H131" s="1640"/>
      <c r="I131" s="1643">
        <v>0</v>
      </c>
      <c r="J131" s="1672"/>
      <c r="K131" s="623">
        <f t="shared" si="7"/>
        <v>5.55</v>
      </c>
      <c r="L131" s="708"/>
      <c r="M131" s="2072"/>
      <c r="N131" s="2072"/>
      <c r="O131" s="3799"/>
    </row>
    <row r="132" spans="1:15">
      <c r="A132" s="705" t="s">
        <v>325</v>
      </c>
      <c r="B132" s="705"/>
      <c r="C132" s="3795"/>
      <c r="D132" s="1670"/>
      <c r="E132" s="1673"/>
      <c r="F132" s="1640"/>
      <c r="G132" s="1673" t="s">
        <v>14</v>
      </c>
      <c r="H132" s="1640"/>
      <c r="I132" s="1673"/>
      <c r="J132" s="705"/>
      <c r="K132" s="3796"/>
      <c r="L132" s="708"/>
      <c r="M132" s="2072"/>
      <c r="N132" s="2072"/>
      <c r="O132" s="3799"/>
    </row>
    <row r="133" spans="1:15">
      <c r="A133" s="705" t="s">
        <v>326</v>
      </c>
      <c r="B133" s="705"/>
      <c r="C133" s="1643">
        <v>2.778</v>
      </c>
      <c r="D133" s="1640"/>
      <c r="E133" s="1643">
        <v>0</v>
      </c>
      <c r="F133" s="1640"/>
      <c r="G133" s="1643">
        <v>0</v>
      </c>
      <c r="H133" s="1640"/>
      <c r="I133" s="1643">
        <v>0</v>
      </c>
      <c r="J133" s="1672"/>
      <c r="K133" s="623">
        <f t="shared" ref="K133:K154" si="8">ROUND(SUM(C133)+SUM(E133)-SUM(G133)+SUM(I133),3)</f>
        <v>2.778</v>
      </c>
      <c r="L133" s="708"/>
      <c r="M133" s="2072"/>
      <c r="N133" s="2072"/>
      <c r="O133" s="3799"/>
    </row>
    <row r="134" spans="1:15">
      <c r="A134" s="705" t="s">
        <v>327</v>
      </c>
      <c r="B134" s="705"/>
      <c r="C134" s="1643">
        <v>1.4279999999999999</v>
      </c>
      <c r="D134" s="1640"/>
      <c r="E134" s="1643">
        <v>0</v>
      </c>
      <c r="F134" s="1640"/>
      <c r="G134" s="1643">
        <v>0</v>
      </c>
      <c r="H134" s="1640"/>
      <c r="I134" s="1643">
        <v>0</v>
      </c>
      <c r="J134" s="1672"/>
      <c r="K134" s="623">
        <f t="shared" si="8"/>
        <v>1.4279999999999999</v>
      </c>
      <c r="L134" s="708"/>
      <c r="M134" s="2072"/>
      <c r="N134" s="2072"/>
      <c r="O134" s="3799"/>
    </row>
    <row r="135" spans="1:15">
      <c r="A135" s="705" t="s">
        <v>1094</v>
      </c>
      <c r="B135" s="705"/>
      <c r="C135" s="1643">
        <v>0</v>
      </c>
      <c r="D135" s="1640"/>
      <c r="E135" s="1643">
        <v>0</v>
      </c>
      <c r="F135" s="1640"/>
      <c r="G135" s="1643">
        <v>0</v>
      </c>
      <c r="H135" s="1640"/>
      <c r="I135" s="1643">
        <v>0</v>
      </c>
      <c r="J135" s="1672"/>
      <c r="K135" s="623">
        <f t="shared" si="8"/>
        <v>0</v>
      </c>
      <c r="L135" s="708"/>
      <c r="M135" s="2072"/>
      <c r="N135" s="2072"/>
      <c r="O135" s="3799"/>
    </row>
    <row r="136" spans="1:15">
      <c r="A136" s="705" t="s">
        <v>1164</v>
      </c>
      <c r="B136" s="705"/>
      <c r="C136" s="1643">
        <v>0</v>
      </c>
      <c r="D136" s="1640"/>
      <c r="E136" s="1643">
        <v>0</v>
      </c>
      <c r="F136" s="1640"/>
      <c r="G136" s="1643">
        <v>0</v>
      </c>
      <c r="H136" s="1640"/>
      <c r="I136" s="1643">
        <v>0</v>
      </c>
      <c r="J136" s="1672"/>
      <c r="K136" s="623">
        <f t="shared" si="8"/>
        <v>0</v>
      </c>
      <c r="L136" s="708"/>
      <c r="M136" s="2072"/>
      <c r="N136" s="2072"/>
      <c r="O136" s="3799"/>
    </row>
    <row r="137" spans="1:15">
      <c r="A137" s="705" t="s">
        <v>328</v>
      </c>
      <c r="B137" s="705"/>
      <c r="C137" s="1643">
        <v>0</v>
      </c>
      <c r="D137" s="1640"/>
      <c r="E137" s="1643">
        <v>0</v>
      </c>
      <c r="F137" s="1640"/>
      <c r="G137" s="1643">
        <v>0</v>
      </c>
      <c r="H137" s="1640"/>
      <c r="I137" s="1643">
        <v>0</v>
      </c>
      <c r="J137" s="1672"/>
      <c r="K137" s="623">
        <f t="shared" si="8"/>
        <v>0</v>
      </c>
      <c r="L137" s="708"/>
      <c r="M137" s="2072"/>
      <c r="N137" s="2072"/>
      <c r="O137" s="3799"/>
    </row>
    <row r="138" spans="1:15">
      <c r="A138" s="705" t="s">
        <v>329</v>
      </c>
      <c r="B138" s="705"/>
      <c r="C138" s="1643">
        <v>0</v>
      </c>
      <c r="D138" s="1640"/>
      <c r="E138" s="1643">
        <v>0</v>
      </c>
      <c r="F138" s="1640"/>
      <c r="G138" s="1643">
        <v>0</v>
      </c>
      <c r="H138" s="1640"/>
      <c r="I138" s="1643">
        <v>0</v>
      </c>
      <c r="J138" s="1672"/>
      <c r="K138" s="623">
        <f t="shared" si="8"/>
        <v>0</v>
      </c>
      <c r="L138" s="708"/>
      <c r="M138" s="2072"/>
      <c r="N138" s="2072"/>
      <c r="O138" s="3799"/>
    </row>
    <row r="139" spans="1:15">
      <c r="A139" s="705" t="s">
        <v>330</v>
      </c>
      <c r="B139" s="705"/>
      <c r="C139" s="1643">
        <v>-808.06500000000005</v>
      </c>
      <c r="D139" s="1640"/>
      <c r="E139" s="3769">
        <v>166.203</v>
      </c>
      <c r="F139" s="1640"/>
      <c r="G139" s="1643">
        <v>-178.13499999999999</v>
      </c>
      <c r="H139" s="1640"/>
      <c r="I139" s="1643">
        <v>0</v>
      </c>
      <c r="J139" s="1672"/>
      <c r="K139" s="3770">
        <f t="shared" si="8"/>
        <v>-463.72699999999998</v>
      </c>
      <c r="L139" s="708"/>
      <c r="M139" s="2072"/>
      <c r="N139" s="2072"/>
      <c r="O139" s="3799"/>
    </row>
    <row r="140" spans="1:15">
      <c r="A140" s="705" t="s">
        <v>331</v>
      </c>
      <c r="B140" s="705"/>
      <c r="C140" s="1643">
        <v>1.083</v>
      </c>
      <c r="D140" s="1640"/>
      <c r="E140" s="1643">
        <v>1E-3</v>
      </c>
      <c r="F140" s="1640"/>
      <c r="G140" s="1643">
        <v>0</v>
      </c>
      <c r="H140" s="1640"/>
      <c r="I140" s="1643">
        <v>0</v>
      </c>
      <c r="J140" s="1672"/>
      <c r="K140" s="623">
        <f t="shared" si="8"/>
        <v>1.0840000000000001</v>
      </c>
      <c r="L140" s="2075"/>
      <c r="M140" s="2072"/>
      <c r="N140" s="710"/>
      <c r="O140" s="3799"/>
    </row>
    <row r="141" spans="1:15">
      <c r="A141" s="706" t="s">
        <v>332</v>
      </c>
      <c r="B141" s="705"/>
      <c r="C141" s="1643">
        <v>-99.034999999999997</v>
      </c>
      <c r="D141" s="1640"/>
      <c r="E141" s="1643">
        <v>0.67100000000000004</v>
      </c>
      <c r="F141" s="1640"/>
      <c r="G141" s="1643">
        <v>7.9710000000000001</v>
      </c>
      <c r="H141" s="1640"/>
      <c r="I141" s="1643">
        <v>-0.48899999999999999</v>
      </c>
      <c r="J141" s="1672"/>
      <c r="K141" s="623">
        <f t="shared" si="8"/>
        <v>-106.824</v>
      </c>
      <c r="L141" s="708"/>
      <c r="M141" s="2072"/>
      <c r="N141" s="2072"/>
      <c r="O141" s="3799"/>
    </row>
    <row r="142" spans="1:15">
      <c r="A142" s="705" t="s">
        <v>333</v>
      </c>
      <c r="B142" s="705"/>
      <c r="C142" s="1643">
        <v>0.54</v>
      </c>
      <c r="D142" s="1640"/>
      <c r="E142" s="1643">
        <v>0</v>
      </c>
      <c r="F142" s="1640"/>
      <c r="G142" s="1643">
        <v>0</v>
      </c>
      <c r="H142" s="1640"/>
      <c r="I142" s="1643">
        <v>0</v>
      </c>
      <c r="J142" s="1672"/>
      <c r="K142" s="623">
        <f t="shared" si="8"/>
        <v>0.54</v>
      </c>
      <c r="L142" s="708"/>
      <c r="M142" s="2072"/>
      <c r="N142" s="710"/>
      <c r="O142" s="3799"/>
    </row>
    <row r="143" spans="1:15">
      <c r="A143" s="705" t="s">
        <v>334</v>
      </c>
      <c r="B143" s="705"/>
      <c r="C143" s="1643">
        <v>-16.422000000000001</v>
      </c>
      <c r="D143" s="1640"/>
      <c r="E143" s="1643">
        <v>0</v>
      </c>
      <c r="F143" s="1640"/>
      <c r="G143" s="1643">
        <v>0.82299999999999995</v>
      </c>
      <c r="H143" s="1640"/>
      <c r="I143" s="1643">
        <v>0</v>
      </c>
      <c r="J143" s="1672"/>
      <c r="K143" s="623">
        <f t="shared" si="8"/>
        <v>-17.245000000000001</v>
      </c>
      <c r="L143" s="708"/>
      <c r="M143" s="2072"/>
      <c r="N143" s="2072"/>
      <c r="O143" s="3799"/>
    </row>
    <row r="144" spans="1:15">
      <c r="A144" s="705" t="s">
        <v>335</v>
      </c>
      <c r="B144" s="705"/>
      <c r="C144" s="1643">
        <v>-12.942</v>
      </c>
      <c r="D144" s="1640"/>
      <c r="E144" s="1643">
        <v>0</v>
      </c>
      <c r="F144" s="1640"/>
      <c r="G144" s="1643">
        <v>0</v>
      </c>
      <c r="H144" s="1640"/>
      <c r="I144" s="1643">
        <v>0</v>
      </c>
      <c r="J144" s="1672"/>
      <c r="K144" s="623">
        <f t="shared" si="8"/>
        <v>-12.942</v>
      </c>
      <c r="L144" s="708"/>
      <c r="M144" s="2072"/>
      <c r="N144" s="2072"/>
      <c r="O144" s="3799"/>
    </row>
    <row r="145" spans="1:15">
      <c r="A145" s="705" t="s">
        <v>336</v>
      </c>
      <c r="B145" s="705"/>
      <c r="C145" s="1643">
        <v>-465.24200000000002</v>
      </c>
      <c r="D145" s="1640"/>
      <c r="E145" s="1643">
        <v>0</v>
      </c>
      <c r="F145" s="1640"/>
      <c r="G145" s="1643">
        <v>39.052999999999997</v>
      </c>
      <c r="H145" s="1640"/>
      <c r="I145" s="1643">
        <v>0</v>
      </c>
      <c r="J145" s="1672"/>
      <c r="K145" s="623">
        <f t="shared" si="8"/>
        <v>-504.29500000000002</v>
      </c>
      <c r="L145" s="708"/>
      <c r="M145" s="2072"/>
      <c r="N145" s="2072"/>
      <c r="O145" s="3799"/>
    </row>
    <row r="146" spans="1:15">
      <c r="A146" s="705" t="s">
        <v>337</v>
      </c>
      <c r="B146" s="705"/>
      <c r="C146" s="1643">
        <v>17.891999999999999</v>
      </c>
      <c r="D146" s="1640"/>
      <c r="E146" s="1643">
        <v>-8.9999999999999993E-3</v>
      </c>
      <c r="F146" s="1640"/>
      <c r="G146" s="3794">
        <v>1.9E-2</v>
      </c>
      <c r="H146" s="1640"/>
      <c r="I146" s="1643">
        <v>0</v>
      </c>
      <c r="J146" s="1672"/>
      <c r="K146" s="623">
        <f t="shared" si="8"/>
        <v>17.864000000000001</v>
      </c>
      <c r="L146" s="708"/>
      <c r="M146" s="2072"/>
      <c r="N146" s="2072"/>
      <c r="O146" s="3799"/>
    </row>
    <row r="147" spans="1:15">
      <c r="A147" s="705" t="s">
        <v>865</v>
      </c>
      <c r="B147" s="705"/>
      <c r="C147" s="1643">
        <v>-12.016</v>
      </c>
      <c r="D147" s="1640"/>
      <c r="E147" s="1643">
        <v>0</v>
      </c>
      <c r="F147" s="1640"/>
      <c r="G147" s="1643">
        <v>0</v>
      </c>
      <c r="H147" s="1640"/>
      <c r="I147" s="1643">
        <v>0</v>
      </c>
      <c r="J147" s="1672"/>
      <c r="K147" s="623">
        <f t="shared" si="8"/>
        <v>-12.016</v>
      </c>
      <c r="L147" s="708"/>
      <c r="M147" s="2072"/>
      <c r="N147" s="2072"/>
      <c r="O147" s="3799"/>
    </row>
    <row r="148" spans="1:15">
      <c r="A148" s="705" t="s">
        <v>338</v>
      </c>
      <c r="B148" s="705"/>
      <c r="C148" s="1643">
        <v>154.01599999999999</v>
      </c>
      <c r="D148" s="1640"/>
      <c r="E148" s="1643">
        <v>2.831</v>
      </c>
      <c r="F148" s="1640"/>
      <c r="G148" s="1643">
        <v>9.0079999999999991</v>
      </c>
      <c r="H148" s="1640"/>
      <c r="I148" s="1643">
        <v>1.47</v>
      </c>
      <c r="J148" s="1672"/>
      <c r="K148" s="623">
        <f t="shared" si="8"/>
        <v>149.309</v>
      </c>
      <c r="L148" s="708"/>
      <c r="M148" s="2072"/>
      <c r="N148" s="2072"/>
      <c r="O148" s="3799"/>
    </row>
    <row r="149" spans="1:15">
      <c r="A149" s="705" t="s">
        <v>339</v>
      </c>
      <c r="B149" s="705"/>
      <c r="C149" s="1643">
        <v>7.1999999999999995E-2</v>
      </c>
      <c r="D149" s="1640"/>
      <c r="E149" s="1643">
        <v>5.0000000000000001E-3</v>
      </c>
      <c r="F149" s="1640"/>
      <c r="G149" s="1643">
        <v>0</v>
      </c>
      <c r="H149" s="1640"/>
      <c r="I149" s="1643">
        <v>0</v>
      </c>
      <c r="J149" s="1672"/>
      <c r="K149" s="623">
        <f t="shared" si="8"/>
        <v>7.6999999999999999E-2</v>
      </c>
      <c r="L149" s="708"/>
      <c r="M149" s="2072"/>
      <c r="N149" s="2072"/>
      <c r="O149" s="3799"/>
    </row>
    <row r="150" spans="1:15">
      <c r="A150" s="705" t="s">
        <v>340</v>
      </c>
      <c r="B150" s="705"/>
      <c r="C150" s="1643">
        <v>-462.416</v>
      </c>
      <c r="D150" s="1640"/>
      <c r="E150" s="1643">
        <v>32.872999999999998</v>
      </c>
      <c r="F150" s="1640"/>
      <c r="G150" s="1643">
        <v>13.228999999999999</v>
      </c>
      <c r="H150" s="1640"/>
      <c r="I150" s="1643">
        <v>0</v>
      </c>
      <c r="J150" s="1672"/>
      <c r="K150" s="623">
        <f t="shared" si="8"/>
        <v>-442.77199999999999</v>
      </c>
      <c r="L150" s="2075"/>
      <c r="M150" s="2072"/>
      <c r="N150" s="2072"/>
      <c r="O150" s="3799"/>
    </row>
    <row r="151" spans="1:15">
      <c r="A151" s="705" t="s">
        <v>341</v>
      </c>
      <c r="B151" s="705"/>
      <c r="C151" s="1643">
        <v>-253.77099999999999</v>
      </c>
      <c r="D151" s="1640"/>
      <c r="E151" s="1643">
        <v>0</v>
      </c>
      <c r="F151" s="1640"/>
      <c r="G151" s="3794">
        <v>25.007000000000001</v>
      </c>
      <c r="H151" s="1640"/>
      <c r="I151" s="1643">
        <v>0</v>
      </c>
      <c r="J151" s="1672"/>
      <c r="K151" s="623">
        <f t="shared" si="8"/>
        <v>-278.77800000000002</v>
      </c>
      <c r="L151" s="708"/>
      <c r="M151" s="2072"/>
      <c r="N151" s="2072"/>
      <c r="O151" s="3799"/>
    </row>
    <row r="152" spans="1:15">
      <c r="A152" s="705" t="s">
        <v>342</v>
      </c>
      <c r="B152" s="705"/>
      <c r="C152" s="1643">
        <v>66.040999999999997</v>
      </c>
      <c r="D152" s="1640"/>
      <c r="E152" s="1643">
        <v>-0.02</v>
      </c>
      <c r="F152" s="1640"/>
      <c r="G152" s="3794">
        <v>1.63</v>
      </c>
      <c r="H152" s="1640"/>
      <c r="I152" s="1643">
        <v>0</v>
      </c>
      <c r="J152" s="1672"/>
      <c r="K152" s="623">
        <f t="shared" si="8"/>
        <v>64.391000000000005</v>
      </c>
      <c r="L152" s="708"/>
      <c r="M152" s="2072"/>
      <c r="N152" s="2072"/>
      <c r="O152" s="3799"/>
    </row>
    <row r="153" spans="1:15">
      <c r="A153" s="705" t="s">
        <v>343</v>
      </c>
      <c r="B153" s="705"/>
      <c r="C153" s="1643">
        <v>-60.648000000000003</v>
      </c>
      <c r="D153" s="1640"/>
      <c r="E153" s="1643">
        <v>1.274</v>
      </c>
      <c r="F153" s="1640"/>
      <c r="G153" s="1643">
        <v>0.86399999999999999</v>
      </c>
      <c r="H153" s="1640"/>
      <c r="I153" s="1643">
        <v>0</v>
      </c>
      <c r="J153" s="1672"/>
      <c r="K153" s="623">
        <f t="shared" si="8"/>
        <v>-60.238</v>
      </c>
      <c r="L153" s="708"/>
      <c r="M153" s="2072"/>
      <c r="N153" s="710"/>
      <c r="O153" s="3799"/>
    </row>
    <row r="154" spans="1:15">
      <c r="A154" s="705" t="s">
        <v>1101</v>
      </c>
      <c r="B154" s="705"/>
      <c r="C154" s="1643">
        <v>46.698999999999998</v>
      </c>
      <c r="D154" s="1640"/>
      <c r="E154" s="1643">
        <v>0</v>
      </c>
      <c r="F154" s="1640"/>
      <c r="G154" s="1643">
        <v>8.5749999999999993</v>
      </c>
      <c r="H154" s="1640"/>
      <c r="I154" s="1643">
        <v>0</v>
      </c>
      <c r="J154" s="1672"/>
      <c r="K154" s="623">
        <f t="shared" si="8"/>
        <v>38.124000000000002</v>
      </c>
      <c r="L154" s="708"/>
      <c r="M154" s="2072"/>
      <c r="N154" s="2072"/>
      <c r="O154" s="3799"/>
    </row>
    <row r="155" spans="1:15">
      <c r="A155" s="426" t="s">
        <v>1345</v>
      </c>
      <c r="B155" s="705"/>
      <c r="C155" s="427">
        <f>ROUND(SUM(C116:C154),3)</f>
        <v>-1643.752</v>
      </c>
      <c r="D155" s="426"/>
      <c r="E155" s="427">
        <f>ROUND(SUM(E116:E154),3)</f>
        <v>1323.8240000000001</v>
      </c>
      <c r="F155" s="426"/>
      <c r="G155" s="427">
        <f>ROUND(SUM(G116:G154),3)</f>
        <v>818.21299999999997</v>
      </c>
      <c r="H155" s="426"/>
      <c r="I155" s="427">
        <f>ROUND(SUM(I116:I154),3)</f>
        <v>-181.661</v>
      </c>
      <c r="J155" s="426"/>
      <c r="K155" s="427">
        <f>ROUND(SUM(K116:K154),3)</f>
        <v>-1319.8019999999999</v>
      </c>
      <c r="L155" s="428"/>
      <c r="M155" s="2924"/>
      <c r="N155" s="2924"/>
      <c r="O155" s="3799"/>
    </row>
    <row r="156" spans="1:15">
      <c r="A156" s="426"/>
      <c r="B156" s="705"/>
      <c r="C156" s="707"/>
      <c r="D156" s="705"/>
      <c r="E156" s="711"/>
      <c r="F156" s="712"/>
      <c r="G156" s="711"/>
      <c r="H156" s="712"/>
      <c r="I156" s="711"/>
      <c r="J156" s="705"/>
      <c r="K156" s="707"/>
      <c r="L156" s="707"/>
      <c r="O156" s="3799"/>
    </row>
    <row r="157" spans="1:15" ht="16.5" thickBot="1">
      <c r="A157" s="426" t="s">
        <v>344</v>
      </c>
      <c r="B157" s="429"/>
      <c r="C157" s="430">
        <f>ROUND(SUM(C24+C103+C113+C155),3)</f>
        <v>67121.292000000001</v>
      </c>
      <c r="D157" s="429"/>
      <c r="E157" s="430">
        <f>ROUND(SUM(E24+E103+E113+E155),3)</f>
        <v>14815.003000000001</v>
      </c>
      <c r="F157" s="431"/>
      <c r="G157" s="430">
        <f>ROUND(SUM(G24+G103+G113+G155),3)</f>
        <v>18587.7</v>
      </c>
      <c r="H157" s="431"/>
      <c r="I157" s="430">
        <f>ROUND(SUM(I24+I103+I113+I155),3)</f>
        <v>-4.8630000000000004</v>
      </c>
      <c r="J157" s="429"/>
      <c r="K157" s="430">
        <f>ROUND(SUM(K24+K103+K113+K155),3)</f>
        <v>63343.732000000004</v>
      </c>
      <c r="L157" s="432"/>
      <c r="O157" s="3799"/>
    </row>
    <row r="158" spans="1:15" ht="16.5" thickTop="1">
      <c r="A158" s="705"/>
      <c r="B158" s="705"/>
      <c r="C158" s="707" t="s">
        <v>14</v>
      </c>
      <c r="D158" s="705"/>
      <c r="E158" s="707"/>
      <c r="F158" s="705"/>
      <c r="G158" s="707"/>
      <c r="H158" s="705"/>
      <c r="I158" s="707"/>
      <c r="J158" s="705"/>
      <c r="K158" s="707"/>
      <c r="L158" s="707"/>
    </row>
    <row r="159" spans="1:15">
      <c r="A159" s="705"/>
      <c r="B159" s="705"/>
      <c r="C159" s="705" t="s">
        <v>14</v>
      </c>
      <c r="D159" s="705"/>
      <c r="E159" s="705"/>
      <c r="F159" s="705"/>
      <c r="G159" s="705"/>
      <c r="H159" s="705"/>
      <c r="I159" s="705"/>
      <c r="J159" s="705"/>
      <c r="K159" s="705"/>
      <c r="L159" s="707"/>
    </row>
    <row r="160" spans="1:15">
      <c r="A160" s="425"/>
      <c r="B160" s="705"/>
      <c r="C160" s="705"/>
      <c r="D160" s="705"/>
      <c r="E160" s="3321"/>
      <c r="F160" s="705"/>
      <c r="G160" s="705" t="s">
        <v>14</v>
      </c>
      <c r="H160" s="705"/>
      <c r="I160" s="712" t="s">
        <v>14</v>
      </c>
      <c r="J160" s="705"/>
      <c r="K160" s="3322" t="s">
        <v>14</v>
      </c>
      <c r="L160" s="707"/>
    </row>
    <row r="161" spans="1:12">
      <c r="A161" s="705" t="s">
        <v>14</v>
      </c>
      <c r="B161" s="705"/>
      <c r="C161" s="705"/>
      <c r="D161" s="705"/>
      <c r="E161" s="705"/>
      <c r="F161" s="705"/>
      <c r="G161" s="709" t="s">
        <v>14</v>
      </c>
      <c r="H161" s="705"/>
      <c r="I161" s="705" t="s">
        <v>14</v>
      </c>
      <c r="J161" s="705"/>
      <c r="K161" s="705" t="s">
        <v>14</v>
      </c>
      <c r="L161" s="707"/>
    </row>
    <row r="162" spans="1:12">
      <c r="A162" s="705"/>
      <c r="B162" s="705"/>
      <c r="C162" s="705"/>
      <c r="D162" s="705"/>
      <c r="E162" s="705"/>
      <c r="F162" s="705"/>
      <c r="G162" s="705"/>
      <c r="H162" s="705"/>
      <c r="I162" s="705" t="s">
        <v>14</v>
      </c>
      <c r="J162" s="705"/>
      <c r="K162" s="705" t="s">
        <v>14</v>
      </c>
      <c r="L162" s="707"/>
    </row>
    <row r="163" spans="1:12">
      <c r="A163" s="713"/>
      <c r="B163" s="705"/>
      <c r="C163" s="705"/>
      <c r="D163" s="705"/>
      <c r="E163" s="705"/>
      <c r="F163" s="705"/>
      <c r="G163" s="705"/>
      <c r="H163" s="705"/>
      <c r="I163" s="714" t="s">
        <v>14</v>
      </c>
      <c r="J163" s="705"/>
      <c r="K163" s="705" t="s">
        <v>14</v>
      </c>
      <c r="L163" s="707"/>
    </row>
    <row r="164" spans="1:12">
      <c r="I164" s="3760" t="s">
        <v>14</v>
      </c>
      <c r="K164" s="2925" t="s">
        <v>14</v>
      </c>
    </row>
    <row r="165" spans="1:12">
      <c r="I165" s="2155"/>
    </row>
    <row r="166" spans="1:12">
      <c r="I166" s="2155"/>
    </row>
    <row r="167" spans="1:12">
      <c r="I167" s="2155"/>
    </row>
    <row r="168" spans="1:12">
      <c r="I168" s="432"/>
    </row>
    <row r="169" spans="1:12">
      <c r="I169" s="2155"/>
    </row>
    <row r="170" spans="1:12">
      <c r="I170" s="2155"/>
    </row>
    <row r="171" spans="1:12">
      <c r="I171" s="2155"/>
    </row>
    <row r="172" spans="1:12">
      <c r="I172" s="2155"/>
    </row>
  </sheetData>
  <pageMargins left="0.5" right="0.25" top="0.32" bottom="0" header="0.27" footer="0.1"/>
  <pageSetup scale="58" firstPageNumber="38" fitToHeight="3" orientation="landscape" useFirstPageNumber="1" r:id="rId1"/>
  <headerFooter scaleWithDoc="0" alignWithMargins="0">
    <oddFooter>&amp;C&amp;8&amp;P</oddFooter>
    <firstFooter>&amp;C28</firstFooter>
  </headerFooter>
  <rowBreaks count="2" manualBreakCount="2">
    <brk id="60" max="11" man="1"/>
    <brk id="114"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85" workbookViewId="0"/>
  </sheetViews>
  <sheetFormatPr defaultColWidth="8.6640625" defaultRowHeight="18"/>
  <cols>
    <col min="1" max="1" width="55.6640625" style="2156" customWidth="1"/>
    <col min="2" max="2" width="6.109375" style="2156" customWidth="1"/>
    <col min="3" max="3" width="20.109375" style="2156" customWidth="1"/>
    <col min="4" max="4" width="3.109375" style="2156" customWidth="1"/>
    <col min="5" max="5" width="17.109375" style="2156" customWidth="1"/>
    <col min="6" max="6" width="3.5546875" style="2156" customWidth="1"/>
    <col min="7" max="7" width="18.109375" style="2156" customWidth="1"/>
    <col min="8" max="8" width="3.109375" style="2156" customWidth="1"/>
    <col min="9" max="9" width="18.5546875" style="2156" customWidth="1"/>
    <col min="10" max="10" width="3.44140625" style="2156" customWidth="1"/>
    <col min="11" max="11" width="22.109375" style="2156" customWidth="1"/>
    <col min="12" max="12" width="15.5546875" style="2156" customWidth="1"/>
    <col min="13" max="13" width="9.6640625" style="2156" bestFit="1" customWidth="1"/>
    <col min="14" max="16384" width="8.6640625" style="2156"/>
  </cols>
  <sheetData>
    <row r="1" spans="1:15">
      <c r="A1" s="1462" t="s">
        <v>870</v>
      </c>
    </row>
    <row r="2" spans="1:15">
      <c r="A2" s="2949"/>
    </row>
    <row r="3" spans="1:15" s="435" customFormat="1" ht="18" customHeight="1">
      <c r="A3" s="439" t="s">
        <v>0</v>
      </c>
      <c r="B3" s="2950"/>
      <c r="C3" s="2950"/>
      <c r="D3" s="2950"/>
      <c r="E3" s="2157"/>
      <c r="F3" s="2157"/>
      <c r="G3" s="433"/>
      <c r="H3" s="433"/>
      <c r="I3" s="439"/>
      <c r="J3" s="439"/>
      <c r="K3" s="442" t="s">
        <v>345</v>
      </c>
      <c r="L3" s="433"/>
      <c r="M3" s="433"/>
      <c r="N3" s="433"/>
      <c r="O3" s="433"/>
    </row>
    <row r="4" spans="1:15" s="435" customFormat="1" ht="18" customHeight="1">
      <c r="A4" s="439" t="s">
        <v>346</v>
      </c>
      <c r="B4" s="2950"/>
      <c r="C4" s="2950"/>
      <c r="D4" s="2950"/>
      <c r="E4" s="2157"/>
      <c r="F4" s="2157"/>
      <c r="G4" s="433"/>
      <c r="H4" s="433"/>
      <c r="I4" s="439"/>
      <c r="J4" s="439"/>
      <c r="K4" s="439"/>
      <c r="L4" s="433"/>
      <c r="M4" s="433"/>
      <c r="N4" s="433"/>
      <c r="O4" s="433"/>
    </row>
    <row r="5" spans="1:15" s="435" customFormat="1" ht="18" customHeight="1">
      <c r="A5" s="445" t="s">
        <v>1167</v>
      </c>
      <c r="B5" s="2950"/>
      <c r="C5" s="2950"/>
      <c r="D5" s="2950"/>
      <c r="E5" s="2157"/>
      <c r="F5" s="2157"/>
      <c r="G5" s="433"/>
      <c r="H5" s="433"/>
      <c r="I5" s="439"/>
      <c r="J5" s="439"/>
      <c r="K5" s="439"/>
      <c r="L5" s="433"/>
      <c r="M5" s="433"/>
      <c r="N5" s="433"/>
      <c r="O5" s="433"/>
    </row>
    <row r="6" spans="1:15" s="435" customFormat="1" ht="18" customHeight="1">
      <c r="A6" s="445" t="s">
        <v>347</v>
      </c>
      <c r="B6" s="2950"/>
      <c r="C6" s="2950"/>
      <c r="D6" s="2950"/>
      <c r="E6" s="2157"/>
      <c r="F6" s="2157"/>
      <c r="G6" s="433"/>
      <c r="H6" s="433"/>
      <c r="I6" s="439"/>
      <c r="J6" s="439"/>
      <c r="K6" s="439"/>
      <c r="L6" s="433"/>
      <c r="M6" s="433"/>
      <c r="N6" s="433"/>
      <c r="O6" s="433"/>
    </row>
    <row r="7" spans="1:15" s="435" customFormat="1" ht="18" customHeight="1">
      <c r="A7" s="445" t="str">
        <f>'Sch 1 '!A7</f>
        <v>FISCAL YEAR 2022-2023</v>
      </c>
      <c r="B7" s="2950"/>
      <c r="C7" s="2950"/>
      <c r="D7" s="2950"/>
      <c r="E7" s="2157"/>
      <c r="F7" s="2157"/>
      <c r="G7" s="433"/>
      <c r="H7" s="433"/>
      <c r="I7" s="439"/>
      <c r="J7" s="439"/>
      <c r="K7" s="439"/>
      <c r="L7" s="433"/>
      <c r="M7" s="433"/>
      <c r="N7" s="433"/>
      <c r="O7" s="433"/>
    </row>
    <row r="8" spans="1:15" s="435" customFormat="1" ht="18" customHeight="1">
      <c r="A8" s="445" t="str">
        <f>'Sch 1 '!A8</f>
        <v>FOR THE MONTH OF MAY 2022</v>
      </c>
      <c r="B8" s="2950"/>
      <c r="C8" s="2950"/>
      <c r="D8" s="2950"/>
      <c r="E8" s="2157" t="s">
        <v>14</v>
      </c>
      <c r="G8" s="2157"/>
      <c r="H8" s="433"/>
      <c r="I8" s="439"/>
      <c r="J8" s="439"/>
      <c r="K8" s="439"/>
      <c r="L8" s="433"/>
      <c r="M8" s="433"/>
      <c r="N8" s="433"/>
      <c r="O8" s="433"/>
    </row>
    <row r="9" spans="1:15" s="435" customFormat="1" ht="18" customHeight="1">
      <c r="A9" s="439" t="s">
        <v>1250</v>
      </c>
      <c r="B9" s="2950"/>
      <c r="C9" s="2950"/>
      <c r="D9" s="2950"/>
      <c r="E9" s="2157"/>
      <c r="F9" s="2157"/>
      <c r="G9" s="433"/>
      <c r="H9" s="433"/>
      <c r="I9" s="439"/>
      <c r="J9" s="439"/>
      <c r="K9" s="439"/>
      <c r="L9" s="433"/>
      <c r="M9" s="433"/>
      <c r="N9" s="433"/>
      <c r="O9" s="433"/>
    </row>
    <row r="10" spans="1:15" s="435" customFormat="1">
      <c r="A10" s="439"/>
      <c r="B10" s="439"/>
      <c r="C10" s="433"/>
      <c r="D10" s="439"/>
      <c r="E10" s="433"/>
      <c r="F10" s="433"/>
      <c r="G10" s="433"/>
      <c r="H10" s="433"/>
      <c r="I10" s="433"/>
      <c r="J10" s="433"/>
      <c r="K10" s="433"/>
      <c r="L10" s="433"/>
      <c r="M10" s="433"/>
      <c r="N10" s="433"/>
      <c r="O10" s="433"/>
    </row>
    <row r="11" spans="1:15" s="435" customFormat="1">
      <c r="A11" s="439"/>
      <c r="B11" s="439"/>
      <c r="C11" s="439"/>
      <c r="D11" s="439"/>
      <c r="E11" s="439"/>
      <c r="F11" s="439"/>
      <c r="G11" s="439"/>
      <c r="H11" s="439"/>
      <c r="I11" s="439"/>
      <c r="J11" s="439"/>
      <c r="K11" s="439"/>
      <c r="L11" s="433"/>
      <c r="M11" s="433"/>
      <c r="N11" s="433"/>
      <c r="O11" s="433"/>
    </row>
    <row r="12" spans="1:15" s="435" customFormat="1">
      <c r="A12" s="439"/>
      <c r="B12" s="439"/>
      <c r="C12" s="671"/>
      <c r="D12" s="439"/>
      <c r="E12" s="439"/>
      <c r="F12" s="439"/>
      <c r="G12" s="439"/>
      <c r="H12" s="439"/>
      <c r="I12" s="671" t="s">
        <v>348</v>
      </c>
      <c r="J12" s="439"/>
      <c r="K12" s="671"/>
      <c r="L12" s="433"/>
      <c r="M12" s="433"/>
      <c r="N12" s="433"/>
      <c r="O12" s="433"/>
    </row>
    <row r="13" spans="1:15" s="435" customFormat="1">
      <c r="A13" s="439"/>
      <c r="B13" s="439"/>
      <c r="C13" s="671" t="s">
        <v>229</v>
      </c>
      <c r="D13" s="439"/>
      <c r="E13" s="439"/>
      <c r="F13" s="439"/>
      <c r="G13" s="439"/>
      <c r="H13" s="439"/>
      <c r="I13" s="671" t="s">
        <v>349</v>
      </c>
      <c r="J13" s="439"/>
      <c r="K13" s="671" t="s">
        <v>229</v>
      </c>
      <c r="L13" s="433"/>
      <c r="M13" s="433"/>
      <c r="N13" s="433"/>
      <c r="O13" s="433"/>
    </row>
    <row r="14" spans="1:15" s="435" customFormat="1">
      <c r="A14" s="457" t="s">
        <v>350</v>
      </c>
      <c r="B14" s="439"/>
      <c r="C14" s="3327" t="str">
        <f>'Sch 1 '!C11</f>
        <v>MAY 1, 2022</v>
      </c>
      <c r="D14" s="439"/>
      <c r="E14" s="671" t="s">
        <v>231</v>
      </c>
      <c r="F14" s="439"/>
      <c r="G14" s="671" t="s">
        <v>232</v>
      </c>
      <c r="H14" s="439"/>
      <c r="I14" s="671" t="s">
        <v>233</v>
      </c>
      <c r="J14" s="439"/>
      <c r="K14" s="883" t="str">
        <f>'Sch 1 '!K11</f>
        <v>MAY 31, 2022</v>
      </c>
      <c r="L14" s="433"/>
      <c r="M14" s="433"/>
      <c r="N14" s="433"/>
      <c r="O14" s="433"/>
    </row>
    <row r="15" spans="1:15" s="435" customFormat="1" ht="12" customHeight="1">
      <c r="A15" s="433"/>
      <c r="B15" s="433"/>
      <c r="C15" s="3328"/>
      <c r="D15" s="433"/>
      <c r="E15" s="2158"/>
      <c r="F15" s="433"/>
      <c r="G15" s="2158"/>
      <c r="H15" s="433"/>
      <c r="I15" s="2158"/>
      <c r="J15" s="433"/>
      <c r="K15" s="2158"/>
      <c r="L15" s="433"/>
      <c r="M15" s="433"/>
      <c r="N15" s="433"/>
      <c r="O15" s="433"/>
    </row>
    <row r="16" spans="1:15" s="435" customFormat="1">
      <c r="A16" s="446" t="s">
        <v>212</v>
      </c>
      <c r="B16" s="433"/>
      <c r="C16" s="433"/>
      <c r="D16" s="433"/>
      <c r="E16" s="443"/>
      <c r="F16" s="433"/>
      <c r="G16" s="433"/>
      <c r="H16" s="433"/>
      <c r="I16" s="433"/>
      <c r="J16" s="433"/>
      <c r="K16" s="433"/>
      <c r="L16" s="433"/>
      <c r="M16" s="433"/>
      <c r="N16" s="433"/>
      <c r="O16" s="433"/>
    </row>
    <row r="17" spans="1:15" s="435" customFormat="1" ht="12" customHeight="1">
      <c r="A17" s="433"/>
      <c r="B17" s="433"/>
      <c r="C17" s="433"/>
      <c r="D17" s="433"/>
      <c r="E17" s="443"/>
      <c r="F17" s="433"/>
      <c r="G17" s="433"/>
      <c r="H17" s="433"/>
      <c r="I17" s="433"/>
      <c r="J17" s="433"/>
      <c r="K17" s="433"/>
      <c r="L17" s="433"/>
      <c r="M17" s="433"/>
      <c r="N17" s="433"/>
      <c r="O17" s="433"/>
    </row>
    <row r="18" spans="1:15" s="435" customFormat="1" ht="16.5" customHeight="1">
      <c r="A18" s="3747" t="s">
        <v>1438</v>
      </c>
      <c r="B18" s="433"/>
      <c r="C18" s="1644">
        <v>243.637</v>
      </c>
      <c r="D18" s="1645"/>
      <c r="E18" s="1644">
        <v>4.2250000000000005</v>
      </c>
      <c r="F18" s="1645"/>
      <c r="G18" s="1644">
        <v>7.4429999999999996</v>
      </c>
      <c r="H18" s="1645"/>
      <c r="I18" s="1644">
        <v>0</v>
      </c>
      <c r="J18" s="2937"/>
      <c r="K18" s="1647">
        <f t="shared" ref="K18" si="0">ROUND(SUM(C18)+SUM(E18)-SUM(G18)+SUM(I18),3)</f>
        <v>240.41900000000001</v>
      </c>
      <c r="L18" s="687"/>
      <c r="M18" s="433"/>
      <c r="N18" s="433"/>
      <c r="O18" s="433"/>
    </row>
    <row r="19" spans="1:15" s="435" customFormat="1" ht="16.350000000000001" customHeight="1">
      <c r="A19" s="433" t="s">
        <v>351</v>
      </c>
      <c r="B19" s="434"/>
      <c r="C19" s="1648">
        <v>0.10100000000000001</v>
      </c>
      <c r="D19" s="1645"/>
      <c r="E19" s="1648">
        <v>4.0000000000000001E-3</v>
      </c>
      <c r="F19" s="1645"/>
      <c r="G19" s="1648">
        <v>4.0000000000000001E-3</v>
      </c>
      <c r="H19" s="1645"/>
      <c r="I19" s="1648">
        <v>0</v>
      </c>
      <c r="J19" s="2937"/>
      <c r="K19" s="1649">
        <f t="shared" ref="K19:K25" si="1">ROUND(SUM(C19)+SUM(E19)-SUM(G19)+SUM(I19),3)</f>
        <v>0.10100000000000001</v>
      </c>
      <c r="L19" s="687"/>
      <c r="M19" s="433"/>
      <c r="N19" s="433"/>
      <c r="O19" s="433"/>
    </row>
    <row r="20" spans="1:15" s="435" customFormat="1" ht="15.75" customHeight="1">
      <c r="A20" s="433" t="s">
        <v>352</v>
      </c>
      <c r="B20" s="433"/>
      <c r="C20" s="1648">
        <v>1.57</v>
      </c>
      <c r="D20" s="1645"/>
      <c r="E20" s="1648">
        <v>1.8089999999999999</v>
      </c>
      <c r="F20" s="1645"/>
      <c r="G20" s="1648">
        <v>1.139</v>
      </c>
      <c r="H20" s="1645"/>
      <c r="I20" s="1648">
        <v>2</v>
      </c>
      <c r="J20" s="2937"/>
      <c r="K20" s="1649">
        <f>ROUND(SUM(C20)+SUM(E20)-SUM(G20)+SUM(I20),3)</f>
        <v>4.24</v>
      </c>
      <c r="L20" s="687"/>
      <c r="M20" s="433"/>
      <c r="N20" s="433"/>
      <c r="O20" s="433"/>
    </row>
    <row r="21" spans="1:15" s="435" customFormat="1" ht="16.350000000000001" customHeight="1">
      <c r="A21" s="433" t="s">
        <v>353</v>
      </c>
      <c r="B21" s="433"/>
      <c r="C21" s="1648">
        <v>3.2949999999999999</v>
      </c>
      <c r="D21" s="1645"/>
      <c r="E21" s="1648">
        <v>3.6219999999999999</v>
      </c>
      <c r="F21" s="1645"/>
      <c r="G21" s="1648">
        <v>3.2690000000000001</v>
      </c>
      <c r="H21" s="1645"/>
      <c r="I21" s="1648">
        <v>0</v>
      </c>
      <c r="J21" s="2937"/>
      <c r="K21" s="1649">
        <f t="shared" si="1"/>
        <v>3.6480000000000001</v>
      </c>
      <c r="L21" s="687"/>
      <c r="M21" s="433"/>
      <c r="N21" s="433"/>
      <c r="O21" s="433"/>
    </row>
    <row r="22" spans="1:15" s="435" customFormat="1" ht="16.350000000000001" customHeight="1">
      <c r="A22" s="433" t="s">
        <v>902</v>
      </c>
      <c r="B22" s="433"/>
      <c r="C22" s="1648">
        <v>16.212</v>
      </c>
      <c r="D22" s="1645"/>
      <c r="E22" s="1648">
        <v>2.254</v>
      </c>
      <c r="F22" s="1645"/>
      <c r="G22" s="1648">
        <v>1.9360000000000002</v>
      </c>
      <c r="H22" s="1645"/>
      <c r="I22" s="1648">
        <v>0</v>
      </c>
      <c r="J22" s="2937"/>
      <c r="K22" s="1649">
        <f t="shared" si="1"/>
        <v>16.53</v>
      </c>
      <c r="L22" s="687"/>
      <c r="M22" s="433"/>
      <c r="N22" s="433"/>
      <c r="O22" s="433"/>
    </row>
    <row r="23" spans="1:15" s="435" customFormat="1" ht="16.350000000000001" customHeight="1">
      <c r="A23" s="433" t="s">
        <v>903</v>
      </c>
      <c r="B23" s="433"/>
      <c r="C23" s="1648">
        <v>2.097</v>
      </c>
      <c r="D23" s="1645"/>
      <c r="E23" s="1648">
        <v>1E-3</v>
      </c>
      <c r="F23" s="1645"/>
      <c r="G23" s="1648">
        <v>2.1999999999999999E-2</v>
      </c>
      <c r="H23" s="1645"/>
      <c r="I23" s="1648">
        <v>0</v>
      </c>
      <c r="J23" s="2937"/>
      <c r="K23" s="1649">
        <f t="shared" si="1"/>
        <v>2.0760000000000001</v>
      </c>
      <c r="L23" s="687"/>
      <c r="M23" s="433"/>
      <c r="N23" s="433"/>
      <c r="O23" s="433"/>
    </row>
    <row r="24" spans="1:15" s="435" customFormat="1" ht="16.350000000000001" customHeight="1">
      <c r="A24" s="433" t="s">
        <v>904</v>
      </c>
      <c r="B24" s="433"/>
      <c r="C24" s="1648">
        <v>2.173</v>
      </c>
      <c r="D24" s="1645"/>
      <c r="E24" s="1648">
        <v>1.2E-2</v>
      </c>
      <c r="F24" s="1645"/>
      <c r="G24" s="1648">
        <v>4.0000000000000001E-3</v>
      </c>
      <c r="H24" s="1645"/>
      <c r="I24" s="1648">
        <v>0</v>
      </c>
      <c r="J24" s="2937"/>
      <c r="K24" s="1649">
        <f t="shared" si="1"/>
        <v>2.181</v>
      </c>
      <c r="L24" s="687"/>
      <c r="M24" s="433"/>
      <c r="N24" s="433"/>
      <c r="O24" s="433"/>
    </row>
    <row r="25" spans="1:15" s="435" customFormat="1" ht="16.350000000000001" customHeight="1">
      <c r="A25" s="433" t="s">
        <v>354</v>
      </c>
      <c r="B25" s="433"/>
      <c r="C25" s="1648">
        <v>4.7869999999999999</v>
      </c>
      <c r="D25" s="1645"/>
      <c r="E25" s="1648">
        <v>7.5999999999999998E-2</v>
      </c>
      <c r="F25" s="1645"/>
      <c r="G25" s="1648">
        <v>9.6000000000000002E-2</v>
      </c>
      <c r="H25" s="1645"/>
      <c r="I25" s="1648">
        <v>0</v>
      </c>
      <c r="J25" s="2937"/>
      <c r="K25" s="1649">
        <f t="shared" si="1"/>
        <v>4.7670000000000003</v>
      </c>
      <c r="L25" s="687"/>
      <c r="M25" s="433"/>
      <c r="N25" s="433"/>
      <c r="O25" s="433"/>
    </row>
    <row r="26" spans="1:15" s="435" customFormat="1" ht="16.350000000000001" customHeight="1">
      <c r="A26" s="3303" t="s">
        <v>1266</v>
      </c>
      <c r="B26" s="433"/>
      <c r="C26" s="1648">
        <v>13.865</v>
      </c>
      <c r="D26" s="1645"/>
      <c r="E26" s="1648">
        <v>82.415999999999997</v>
      </c>
      <c r="F26" s="1645"/>
      <c r="G26" s="1648">
        <v>-186.64</v>
      </c>
      <c r="H26" s="1645"/>
      <c r="I26" s="1648">
        <v>0</v>
      </c>
      <c r="J26" s="2937"/>
      <c r="K26" s="1649">
        <f>ROUND(SUM(C26)+SUM(E26)-SUM(G26)+SUM(I26),3)</f>
        <v>282.92099999999999</v>
      </c>
      <c r="L26" s="687"/>
      <c r="M26" s="433"/>
      <c r="N26" s="433"/>
      <c r="O26" s="433"/>
    </row>
    <row r="27" spans="1:15" s="435" customFormat="1" ht="16.350000000000001" customHeight="1">
      <c r="A27" s="443" t="s">
        <v>376</v>
      </c>
      <c r="B27" s="433"/>
      <c r="C27" s="1648">
        <v>43.515999999999998</v>
      </c>
      <c r="D27" s="1645"/>
      <c r="E27" s="1648">
        <v>245.09299999999999</v>
      </c>
      <c r="F27" s="1645"/>
      <c r="G27" s="1648">
        <v>207.68700000000001</v>
      </c>
      <c r="H27" s="1645"/>
      <c r="I27" s="1648">
        <v>0</v>
      </c>
      <c r="J27" s="2937"/>
      <c r="K27" s="1649">
        <f>ROUND(SUM(C27)+SUM(E27)-SUM(G27)+SUM(I27),3)</f>
        <v>80.921999999999997</v>
      </c>
      <c r="L27" s="687"/>
      <c r="M27" s="433"/>
      <c r="N27" s="433"/>
      <c r="O27" s="433"/>
    </row>
    <row r="28" spans="1:15" s="435" customFormat="1" ht="20.100000000000001" customHeight="1">
      <c r="A28" s="439" t="s">
        <v>355</v>
      </c>
      <c r="B28" s="433"/>
      <c r="C28" s="1511">
        <f>ROUND(SUM(C18:C27),3)</f>
        <v>331.25299999999999</v>
      </c>
      <c r="D28" s="1534"/>
      <c r="E28" s="1511">
        <f>ROUND(SUM(E18:E27),3)</f>
        <v>339.512</v>
      </c>
      <c r="F28" s="1534"/>
      <c r="G28" s="1511">
        <f>ROUND(SUM(G18:G27),3)</f>
        <v>34.96</v>
      </c>
      <c r="H28" s="678"/>
      <c r="I28" s="1511">
        <f>ROUND(SUM(I18:I27),3)</f>
        <v>2</v>
      </c>
      <c r="J28" s="678"/>
      <c r="K28" s="1511">
        <f>ROUND(SUM(K18:K27),3)</f>
        <v>637.80499999999995</v>
      </c>
      <c r="L28" s="687"/>
      <c r="M28" s="433"/>
      <c r="N28" s="433"/>
      <c r="O28" s="433"/>
    </row>
    <row r="29" spans="1:15" s="435" customFormat="1" ht="15" customHeight="1">
      <c r="A29" s="433"/>
      <c r="B29" s="433"/>
      <c r="C29" s="680"/>
      <c r="D29" s="436"/>
      <c r="E29" s="680"/>
      <c r="F29" s="436"/>
      <c r="G29" s="680"/>
      <c r="H29" s="436"/>
      <c r="I29" s="437"/>
      <c r="J29" s="436"/>
      <c r="K29" s="680"/>
      <c r="L29" s="687"/>
      <c r="M29" s="433"/>
      <c r="N29" s="433"/>
      <c r="O29" s="433"/>
    </row>
    <row r="30" spans="1:15" s="435" customFormat="1" ht="15" customHeight="1">
      <c r="A30" s="433"/>
      <c r="B30" s="433"/>
      <c r="C30" s="436"/>
      <c r="D30" s="2945" t="s">
        <v>228</v>
      </c>
      <c r="E30" s="436"/>
      <c r="F30" s="436"/>
      <c r="G30" s="436"/>
      <c r="H30" s="436"/>
      <c r="I30" s="436"/>
      <c r="J30" s="436"/>
      <c r="K30" s="436"/>
      <c r="L30" s="687"/>
      <c r="M30" s="433"/>
      <c r="N30" s="433"/>
      <c r="O30" s="433"/>
    </row>
    <row r="31" spans="1:15" s="435" customFormat="1" ht="15" customHeight="1">
      <c r="A31" s="433"/>
      <c r="B31" s="433"/>
      <c r="C31" s="436"/>
      <c r="D31" s="436"/>
      <c r="E31" s="436"/>
      <c r="F31" s="436"/>
      <c r="G31" s="436"/>
      <c r="H31" s="436"/>
      <c r="I31" s="436"/>
      <c r="J31" s="436"/>
      <c r="K31" s="436"/>
      <c r="L31" s="687"/>
      <c r="M31" s="433"/>
      <c r="N31" s="433"/>
      <c r="O31" s="433"/>
    </row>
    <row r="32" spans="1:15" s="435" customFormat="1" ht="18" customHeight="1">
      <c r="A32" s="446" t="s">
        <v>217</v>
      </c>
      <c r="B32" s="433"/>
      <c r="C32" s="436"/>
      <c r="D32" s="436"/>
      <c r="E32" s="436"/>
      <c r="F32" s="436"/>
      <c r="G32" s="436"/>
      <c r="H32" s="436"/>
      <c r="I32" s="436"/>
      <c r="J32" s="436"/>
      <c r="K32" s="436"/>
      <c r="L32" s="687"/>
      <c r="M32" s="433"/>
      <c r="N32" s="433"/>
      <c r="O32" s="433"/>
    </row>
    <row r="33" spans="1:15" s="435" customFormat="1" ht="15" customHeight="1">
      <c r="A33" s="446"/>
      <c r="B33" s="433"/>
      <c r="C33" s="436"/>
      <c r="D33" s="436"/>
      <c r="E33" s="436"/>
      <c r="F33" s="436"/>
      <c r="G33" s="436"/>
      <c r="H33" s="436"/>
      <c r="I33" s="436"/>
      <c r="J33" s="436"/>
      <c r="K33" s="436"/>
      <c r="L33" s="687"/>
      <c r="M33" s="433"/>
      <c r="N33" s="433"/>
      <c r="O33" s="433"/>
    </row>
    <row r="34" spans="1:15" s="435" customFormat="1" ht="16.350000000000001" customHeight="1">
      <c r="A34" s="433" t="s">
        <v>905</v>
      </c>
      <c r="B34" s="433"/>
      <c r="C34" s="1648">
        <v>-30.39</v>
      </c>
      <c r="D34" s="1645"/>
      <c r="E34" s="1648">
        <v>24.775000000000002</v>
      </c>
      <c r="F34" s="1645"/>
      <c r="G34" s="1648">
        <v>30.027000000000001</v>
      </c>
      <c r="H34" s="1645"/>
      <c r="I34" s="3514">
        <v>0.43099999999999999</v>
      </c>
      <c r="J34" s="2937"/>
      <c r="K34" s="1649">
        <f t="shared" ref="K34:K41" si="2">ROUND(SUM(C34)+SUM(E34)-SUM(G34)+SUM(I34),3)</f>
        <v>-35.210999999999999</v>
      </c>
      <c r="L34" s="687"/>
      <c r="M34" s="436"/>
      <c r="N34" s="433"/>
      <c r="O34" s="433"/>
    </row>
    <row r="35" spans="1:15" s="435" customFormat="1" ht="16.350000000000001" customHeight="1">
      <c r="A35" s="433" t="s">
        <v>356</v>
      </c>
      <c r="B35" s="433"/>
      <c r="C35" s="1648">
        <v>-40.134999999999998</v>
      </c>
      <c r="D35" s="1645"/>
      <c r="E35" s="1648">
        <v>8.6150000000000002</v>
      </c>
      <c r="F35" s="1645"/>
      <c r="G35" s="1648">
        <v>10.411</v>
      </c>
      <c r="H35" s="1645"/>
      <c r="I35" s="1648">
        <v>2.4350000000000001</v>
      </c>
      <c r="J35" s="2937"/>
      <c r="K35" s="1649">
        <f t="shared" si="2"/>
        <v>-39.496000000000002</v>
      </c>
      <c r="L35" s="687"/>
      <c r="M35" s="436"/>
      <c r="N35" s="433"/>
      <c r="O35" s="433"/>
    </row>
    <row r="36" spans="1:15" s="435" customFormat="1" ht="16.350000000000001" customHeight="1">
      <c r="A36" s="433" t="s">
        <v>357</v>
      </c>
      <c r="B36" s="433"/>
      <c r="C36" s="1648">
        <v>-0.247</v>
      </c>
      <c r="D36" s="1645"/>
      <c r="E36" s="1648">
        <v>4.2999999999999997E-2</v>
      </c>
      <c r="F36" s="1645"/>
      <c r="G36" s="1648">
        <v>-0.4</v>
      </c>
      <c r="H36" s="1645"/>
      <c r="I36" s="1648">
        <v>0</v>
      </c>
      <c r="J36" s="2937"/>
      <c r="K36" s="1649">
        <f t="shared" si="2"/>
        <v>0.19600000000000001</v>
      </c>
      <c r="L36" s="687"/>
      <c r="M36" s="436"/>
      <c r="N36" s="433"/>
      <c r="O36" s="433"/>
    </row>
    <row r="37" spans="1:15" s="435" customFormat="1" ht="16.350000000000001" customHeight="1">
      <c r="A37" s="433" t="s">
        <v>358</v>
      </c>
      <c r="B37" s="433"/>
      <c r="C37" s="1648">
        <v>4.4999999999999998E-2</v>
      </c>
      <c r="D37" s="1645"/>
      <c r="E37" s="1648">
        <v>0</v>
      </c>
      <c r="F37" s="1645"/>
      <c r="G37" s="1648">
        <v>0</v>
      </c>
      <c r="H37" s="1645"/>
      <c r="I37" s="1648">
        <v>0</v>
      </c>
      <c r="J37" s="2937"/>
      <c r="K37" s="1649">
        <f t="shared" si="2"/>
        <v>4.4999999999999998E-2</v>
      </c>
      <c r="L37" s="687"/>
      <c r="M37" s="436"/>
      <c r="N37" s="433"/>
      <c r="O37" s="433"/>
    </row>
    <row r="38" spans="1:15" s="435" customFormat="1" ht="16.350000000000001" customHeight="1">
      <c r="A38" s="433" t="s">
        <v>906</v>
      </c>
      <c r="B38" s="433"/>
      <c r="C38" s="1648">
        <v>1.018</v>
      </c>
      <c r="D38" s="1645"/>
      <c r="E38" s="1648">
        <v>0</v>
      </c>
      <c r="F38" s="1645"/>
      <c r="G38" s="1648">
        <v>5.5E-2</v>
      </c>
      <c r="H38" s="1645"/>
      <c r="I38" s="1648">
        <v>0</v>
      </c>
      <c r="J38" s="2937"/>
      <c r="K38" s="1649">
        <f t="shared" si="2"/>
        <v>0.96299999999999997</v>
      </c>
      <c r="L38" s="687"/>
      <c r="M38" s="436"/>
      <c r="N38" s="433"/>
      <c r="O38" s="433"/>
    </row>
    <row r="39" spans="1:15" s="435" customFormat="1" ht="16.350000000000001" customHeight="1">
      <c r="A39" s="433" t="s">
        <v>359</v>
      </c>
      <c r="B39" s="433"/>
      <c r="C39" s="1648">
        <v>-52.238</v>
      </c>
      <c r="D39" s="1645"/>
      <c r="E39" s="1648">
        <v>0</v>
      </c>
      <c r="F39" s="1645"/>
      <c r="G39" s="1648">
        <v>2.8610000000000002</v>
      </c>
      <c r="H39" s="1645"/>
      <c r="I39" s="1648">
        <v>0</v>
      </c>
      <c r="J39" s="2937"/>
      <c r="K39" s="1649">
        <f t="shared" si="2"/>
        <v>-55.098999999999997</v>
      </c>
      <c r="L39" s="687"/>
      <c r="M39" s="436" t="s">
        <v>14</v>
      </c>
      <c r="N39" s="433"/>
      <c r="O39" s="433"/>
    </row>
    <row r="40" spans="1:15" s="435" customFormat="1" ht="16.350000000000001" customHeight="1">
      <c r="A40" s="433" t="s">
        <v>360</v>
      </c>
      <c r="B40" s="433"/>
      <c r="C40" s="1648">
        <v>-10.324999999999999</v>
      </c>
      <c r="D40" s="1645"/>
      <c r="E40" s="1648">
        <v>0</v>
      </c>
      <c r="F40" s="1645"/>
      <c r="G40" s="1648">
        <v>1.6619999999999999</v>
      </c>
      <c r="H40" s="1645"/>
      <c r="I40" s="1648">
        <v>0</v>
      </c>
      <c r="J40" s="2937"/>
      <c r="K40" s="1649">
        <f t="shared" si="2"/>
        <v>-11.987</v>
      </c>
      <c r="L40" s="687"/>
      <c r="M40" s="436" t="s">
        <v>14</v>
      </c>
      <c r="N40" s="433"/>
      <c r="O40" s="433"/>
    </row>
    <row r="41" spans="1:15" s="435" customFormat="1" ht="16.350000000000001" customHeight="1">
      <c r="A41" s="433" t="s">
        <v>361</v>
      </c>
      <c r="B41" s="433"/>
      <c r="C41" s="1648">
        <v>-17.588999999999999</v>
      </c>
      <c r="D41" s="1645"/>
      <c r="E41" s="1648">
        <v>2.5310000000000001</v>
      </c>
      <c r="F41" s="1645"/>
      <c r="G41" s="1648">
        <v>3.5550000000000002</v>
      </c>
      <c r="H41" s="1645"/>
      <c r="I41" s="1648">
        <v>-3.0000000000000001E-3</v>
      </c>
      <c r="J41" s="2937"/>
      <c r="K41" s="1649">
        <f t="shared" si="2"/>
        <v>-18.616</v>
      </c>
      <c r="L41" s="687"/>
      <c r="M41" s="436"/>
      <c r="N41" s="433"/>
      <c r="O41" s="433"/>
    </row>
    <row r="42" spans="1:15" s="435" customFormat="1" ht="20.100000000000001" customHeight="1">
      <c r="A42" s="439" t="s">
        <v>362</v>
      </c>
      <c r="B42" s="433"/>
      <c r="C42" s="1511">
        <f>ROUND(SUM(C34:C41),3)</f>
        <v>-149.86099999999999</v>
      </c>
      <c r="D42" s="681"/>
      <c r="E42" s="1511">
        <f>ROUND(SUM(E34:E41),3)</f>
        <v>35.963999999999999</v>
      </c>
      <c r="F42" s="681"/>
      <c r="G42" s="1511">
        <f>ROUND(SUM(G34:G41),3)</f>
        <v>48.170999999999999</v>
      </c>
      <c r="H42" s="679"/>
      <c r="I42" s="1511">
        <f>ROUND(SUM(I34:I41),3)</f>
        <v>2.863</v>
      </c>
      <c r="J42" s="679"/>
      <c r="K42" s="1511">
        <f>ROUND(SUM(K34:K41),3)</f>
        <v>-159.20500000000001</v>
      </c>
      <c r="L42" s="687"/>
      <c r="M42" s="433"/>
      <c r="N42" s="433"/>
      <c r="O42" s="433"/>
    </row>
    <row r="43" spans="1:15" s="435" customFormat="1" ht="15" customHeight="1">
      <c r="A43" s="439"/>
      <c r="B43" s="433"/>
      <c r="C43" s="3329"/>
      <c r="D43" s="2160"/>
      <c r="E43" s="2159"/>
      <c r="F43" s="2160"/>
      <c r="G43" s="2159"/>
      <c r="H43" s="2160"/>
      <c r="I43" s="2938"/>
      <c r="J43" s="2160"/>
      <c r="K43" s="2159"/>
      <c r="L43" s="687"/>
      <c r="M43" s="433"/>
      <c r="N43" s="433"/>
      <c r="O43" s="433"/>
    </row>
    <row r="44" spans="1:15" s="435" customFormat="1" ht="15" customHeight="1">
      <c r="A44" s="439"/>
      <c r="B44" s="433"/>
      <c r="C44" s="2938"/>
      <c r="D44" s="2160"/>
      <c r="E44" s="2160"/>
      <c r="F44" s="2160"/>
      <c r="G44" s="2160" t="s">
        <v>14</v>
      </c>
      <c r="H44" s="2160"/>
      <c r="I44" s="2951"/>
      <c r="J44" s="2160"/>
      <c r="K44" s="2160"/>
      <c r="L44" s="687"/>
      <c r="M44" s="433"/>
      <c r="N44" s="433"/>
      <c r="O44" s="433"/>
    </row>
    <row r="45" spans="1:15" s="435" customFormat="1" ht="20.100000000000001" customHeight="1" thickBot="1">
      <c r="A45" s="439" t="s">
        <v>63</v>
      </c>
      <c r="B45" s="434"/>
      <c r="C45" s="2161">
        <f>ROUND(SUM(C42)+SUM(C28),3)</f>
        <v>181.392</v>
      </c>
      <c r="D45" s="689"/>
      <c r="E45" s="2161">
        <f>ROUND(SUM(E42)+SUM(E28),3)</f>
        <v>375.476</v>
      </c>
      <c r="F45" s="689"/>
      <c r="G45" s="2161">
        <f>ROUND(SUM(G42)+SUM(G28),3)</f>
        <v>83.131</v>
      </c>
      <c r="H45" s="689"/>
      <c r="I45" s="2161">
        <f>ROUND(SUM(I42)+SUM(I28),3)</f>
        <v>4.8630000000000004</v>
      </c>
      <c r="J45" s="689"/>
      <c r="K45" s="2161">
        <f>ROUND(SUM(K42)+SUM(K28),3)</f>
        <v>478.6</v>
      </c>
      <c r="L45" s="687"/>
      <c r="M45" s="433"/>
      <c r="N45" s="433"/>
      <c r="O45" s="433"/>
    </row>
    <row r="46" spans="1:15" s="435" customFormat="1" ht="18.75" thickTop="1">
      <c r="A46" s="433"/>
      <c r="B46" s="433"/>
      <c r="C46" s="2162"/>
      <c r="D46" s="2160"/>
      <c r="E46" s="2162" t="s">
        <v>14</v>
      </c>
      <c r="F46" s="2160"/>
      <c r="G46" s="2162"/>
      <c r="H46" s="2160"/>
      <c r="I46" s="674"/>
      <c r="J46" s="2160"/>
      <c r="K46" s="2162"/>
      <c r="L46" s="433"/>
      <c r="M46" s="433"/>
      <c r="N46" s="433"/>
      <c r="O46" s="433"/>
    </row>
    <row r="47" spans="1:15" s="435" customFormat="1">
      <c r="A47" s="2952"/>
      <c r="B47" s="2156"/>
      <c r="C47" s="2165"/>
      <c r="D47" s="2165"/>
      <c r="E47" s="2163" t="s">
        <v>14</v>
      </c>
      <c r="F47" s="2163"/>
      <c r="G47" s="2953"/>
      <c r="H47" s="2163" t="s">
        <v>14</v>
      </c>
      <c r="I47" s="2954" t="s">
        <v>14</v>
      </c>
      <c r="J47" s="2165"/>
      <c r="K47" s="2955"/>
      <c r="L47" s="2156"/>
      <c r="M47" s="2156"/>
      <c r="N47" s="2156"/>
      <c r="O47" s="2156"/>
    </row>
    <row r="48" spans="1:15" s="435" customFormat="1">
      <c r="A48" s="2156"/>
      <c r="B48" s="2156"/>
      <c r="C48" s="2165"/>
      <c r="D48" s="2165"/>
      <c r="E48" s="2164" t="s">
        <v>14</v>
      </c>
      <c r="F48" s="2164"/>
      <c r="G48" s="2164"/>
      <c r="H48" s="2164"/>
      <c r="I48" s="2164" t="s">
        <v>14</v>
      </c>
      <c r="J48" s="2164"/>
      <c r="K48" s="2164"/>
      <c r="L48" s="2156"/>
      <c r="M48" s="2156"/>
      <c r="N48" s="2156"/>
      <c r="O48" s="2156"/>
    </row>
    <row r="49" spans="1:15" s="435" customFormat="1">
      <c r="A49" s="2156"/>
      <c r="B49" s="2156"/>
      <c r="C49" s="2165"/>
      <c r="D49" s="2165"/>
      <c r="E49" s="2165" t="s">
        <v>14</v>
      </c>
      <c r="F49" s="2165"/>
      <c r="G49" s="2956"/>
      <c r="H49" s="2156"/>
      <c r="I49" s="2957" t="s">
        <v>14</v>
      </c>
      <c r="J49" s="2165"/>
      <c r="K49" s="2165"/>
      <c r="L49" s="2156"/>
      <c r="M49" s="2156"/>
      <c r="N49" s="2156"/>
      <c r="O49" s="2156"/>
    </row>
    <row r="50" spans="1:15" s="435" customFormat="1">
      <c r="A50" s="2156"/>
      <c r="B50" s="2156"/>
      <c r="C50" s="2165"/>
      <c r="D50" s="2165"/>
      <c r="E50" s="2164" t="s">
        <v>14</v>
      </c>
      <c r="F50" s="2165"/>
      <c r="G50" s="2165"/>
      <c r="H50" s="2156"/>
      <c r="I50" s="2957" t="s">
        <v>14</v>
      </c>
      <c r="J50" s="2165"/>
      <c r="K50" s="2165"/>
      <c r="L50" s="2156"/>
      <c r="M50" s="2156"/>
      <c r="N50" s="2156"/>
      <c r="O50" s="2156"/>
    </row>
    <row r="51" spans="1:15" s="435" customFormat="1">
      <c r="A51" s="2156"/>
      <c r="B51" s="2156"/>
      <c r="C51" s="2165"/>
      <c r="D51" s="2165"/>
      <c r="E51" s="2164" t="s">
        <v>14</v>
      </c>
      <c r="F51" s="2165"/>
      <c r="G51" s="2165"/>
      <c r="H51" s="2156"/>
      <c r="I51" s="2957" t="s">
        <v>14</v>
      </c>
      <c r="J51" s="2165"/>
      <c r="K51" s="2165"/>
      <c r="L51" s="2156"/>
      <c r="M51" s="2156"/>
      <c r="N51" s="2156"/>
      <c r="O51" s="2156"/>
    </row>
    <row r="52" spans="1:15" s="435" customFormat="1">
      <c r="A52" s="2156"/>
      <c r="B52" s="2156"/>
      <c r="C52" s="2165"/>
      <c r="D52" s="2165"/>
      <c r="E52" s="2165"/>
      <c r="F52" s="2165"/>
      <c r="G52" s="2165"/>
      <c r="H52" s="2156"/>
      <c r="I52" s="2957" t="s">
        <v>14</v>
      </c>
      <c r="J52" s="2165"/>
      <c r="K52" s="2165"/>
      <c r="L52" s="2156"/>
      <c r="M52" s="2156"/>
      <c r="N52" s="2156"/>
      <c r="O52" s="2156"/>
    </row>
    <row r="53" spans="1:15" s="435" customFormat="1">
      <c r="A53" s="433"/>
      <c r="B53" s="2156"/>
      <c r="C53" s="2165"/>
      <c r="D53" s="2165"/>
      <c r="E53" s="2165"/>
      <c r="F53" s="2165"/>
      <c r="G53" s="2165"/>
      <c r="H53" s="2156"/>
      <c r="I53" s="2957" t="s">
        <v>14</v>
      </c>
      <c r="J53" s="2165"/>
      <c r="K53" s="2165"/>
      <c r="L53" s="2156"/>
      <c r="M53" s="2156"/>
      <c r="N53" s="2156"/>
      <c r="O53" s="2156"/>
    </row>
    <row r="54" spans="1:15" s="435" customFormat="1">
      <c r="A54" s="2156"/>
      <c r="B54" s="2156"/>
      <c r="C54" s="2165"/>
      <c r="D54" s="2165"/>
      <c r="E54" s="2165"/>
      <c r="F54" s="2165"/>
      <c r="G54" s="2165"/>
      <c r="H54" s="2156"/>
      <c r="I54" s="2156"/>
      <c r="J54" s="2165"/>
      <c r="K54" s="2165"/>
      <c r="L54" s="2156"/>
      <c r="M54" s="2156"/>
      <c r="N54" s="2156"/>
      <c r="O54" s="2156"/>
    </row>
    <row r="55" spans="1:15" s="435" customFormat="1">
      <c r="A55" s="2156"/>
      <c r="B55" s="2156"/>
      <c r="C55" s="2165"/>
      <c r="D55" s="2165"/>
      <c r="E55" s="2165"/>
      <c r="F55" s="2165"/>
      <c r="G55" s="2165"/>
      <c r="H55" s="2156"/>
      <c r="I55" s="2156"/>
      <c r="J55" s="2165"/>
      <c r="K55" s="2165"/>
      <c r="L55" s="2156"/>
      <c r="M55" s="2156"/>
      <c r="N55" s="2156"/>
      <c r="O55" s="2156"/>
    </row>
    <row r="56" spans="1:15" s="435" customFormat="1">
      <c r="A56" s="2156"/>
      <c r="B56" s="2156"/>
      <c r="C56" s="2165"/>
      <c r="D56" s="2165"/>
      <c r="E56" s="2165"/>
      <c r="F56" s="2165"/>
      <c r="G56" s="2165"/>
      <c r="H56" s="2156"/>
      <c r="I56" s="2156"/>
      <c r="J56" s="2165"/>
      <c r="K56" s="2165"/>
      <c r="L56" s="2156"/>
      <c r="M56" s="2156"/>
      <c r="N56" s="2156"/>
      <c r="O56" s="2156"/>
    </row>
    <row r="57" spans="1:15" s="435" customFormat="1">
      <c r="A57" s="2156"/>
      <c r="B57" s="2156"/>
      <c r="C57" s="2165"/>
      <c r="D57" s="2165"/>
      <c r="E57" s="2165"/>
      <c r="F57" s="2165"/>
      <c r="G57" s="2165"/>
      <c r="H57" s="2156"/>
      <c r="I57" s="2156"/>
      <c r="J57" s="2165"/>
      <c r="K57" s="2165"/>
      <c r="L57" s="2156"/>
      <c r="M57" s="2156"/>
      <c r="N57" s="2156"/>
      <c r="O57" s="2156"/>
    </row>
    <row r="58" spans="1:15" s="435" customFormat="1">
      <c r="A58" s="2156"/>
      <c r="B58" s="2156"/>
      <c r="C58" s="2165"/>
      <c r="D58" s="2165"/>
      <c r="E58" s="2165"/>
      <c r="F58" s="2165"/>
      <c r="G58" s="2165"/>
      <c r="H58" s="2156"/>
      <c r="I58" s="2156"/>
      <c r="J58" s="2165"/>
      <c r="K58" s="2165"/>
      <c r="L58" s="2156"/>
      <c r="M58" s="2156"/>
      <c r="N58" s="2156"/>
      <c r="O58" s="2156"/>
    </row>
    <row r="59" spans="1:15" s="435" customFormat="1">
      <c r="A59" s="2156"/>
      <c r="B59" s="2156"/>
      <c r="C59" s="2165"/>
      <c r="D59" s="2165"/>
      <c r="E59" s="2165"/>
      <c r="F59" s="2165"/>
      <c r="G59" s="2165"/>
      <c r="H59" s="2156"/>
      <c r="I59" s="2156"/>
      <c r="J59" s="2165"/>
      <c r="K59" s="2165"/>
      <c r="L59" s="2156"/>
      <c r="M59" s="2156"/>
      <c r="N59" s="2156"/>
      <c r="O59" s="2156"/>
    </row>
    <row r="60" spans="1:15" s="435" customFormat="1">
      <c r="A60" s="2156"/>
      <c r="B60" s="2156"/>
      <c r="C60" s="2165"/>
      <c r="D60" s="2165"/>
      <c r="E60" s="2165"/>
      <c r="F60" s="2165"/>
      <c r="G60" s="2165"/>
      <c r="H60" s="2156"/>
      <c r="I60" s="2156"/>
      <c r="J60" s="2165"/>
      <c r="K60" s="2165"/>
      <c r="L60" s="2156"/>
      <c r="M60" s="2156"/>
      <c r="N60" s="2156"/>
      <c r="O60" s="2156"/>
    </row>
    <row r="61" spans="1:15" s="435" customFormat="1">
      <c r="A61" s="2156"/>
      <c r="B61" s="2156"/>
      <c r="C61" s="2165"/>
      <c r="D61" s="2165"/>
      <c r="E61" s="2165"/>
      <c r="F61" s="2165"/>
      <c r="G61" s="2165"/>
      <c r="H61" s="2156"/>
      <c r="I61" s="2156"/>
      <c r="J61" s="2165"/>
      <c r="K61" s="2165"/>
      <c r="L61" s="2156"/>
      <c r="M61" s="2156"/>
      <c r="N61" s="2156"/>
      <c r="O61" s="2156"/>
    </row>
    <row r="62" spans="1:15" s="435" customFormat="1">
      <c r="A62" s="2156"/>
      <c r="B62" s="2156"/>
      <c r="C62" s="2165"/>
      <c r="D62" s="2165"/>
      <c r="E62" s="2165"/>
      <c r="F62" s="2165"/>
      <c r="G62" s="2165"/>
      <c r="H62" s="2156"/>
      <c r="I62" s="2156"/>
      <c r="J62" s="2165"/>
      <c r="K62" s="2165"/>
      <c r="L62" s="2156"/>
      <c r="M62" s="2156"/>
      <c r="N62" s="2156"/>
      <c r="O62" s="2156"/>
    </row>
    <row r="63" spans="1:15" s="435" customFormat="1">
      <c r="A63" s="2156"/>
      <c r="B63" s="2156"/>
      <c r="C63" s="2165"/>
      <c r="D63" s="2165"/>
      <c r="E63" s="2165"/>
      <c r="F63" s="2165"/>
      <c r="G63" s="2165"/>
      <c r="H63" s="2156"/>
      <c r="I63" s="2156"/>
      <c r="J63" s="2165"/>
      <c r="K63" s="2165"/>
      <c r="L63" s="2156"/>
      <c r="M63" s="2156"/>
      <c r="N63" s="2156"/>
      <c r="O63" s="2156"/>
    </row>
    <row r="64" spans="1:15" s="435" customFormat="1">
      <c r="A64" s="2156"/>
      <c r="B64" s="2156"/>
      <c r="C64" s="2165"/>
      <c r="D64" s="2165"/>
      <c r="E64" s="2165"/>
      <c r="F64" s="2165"/>
      <c r="G64" s="2165"/>
      <c r="H64" s="2156"/>
      <c r="I64" s="2156"/>
      <c r="J64" s="2165"/>
      <c r="K64" s="2165"/>
      <c r="L64" s="2156"/>
      <c r="M64" s="2156"/>
      <c r="N64" s="2156"/>
      <c r="O64" s="2156"/>
    </row>
    <row r="65" spans="1:15" s="435" customFormat="1">
      <c r="A65" s="2156"/>
      <c r="B65" s="2156"/>
      <c r="C65" s="2165"/>
      <c r="D65" s="2165"/>
      <c r="E65" s="2165"/>
      <c r="F65" s="2165"/>
      <c r="G65" s="2165"/>
      <c r="H65" s="2156"/>
      <c r="I65" s="2156"/>
      <c r="J65" s="2165"/>
      <c r="K65" s="2165"/>
      <c r="L65" s="2156"/>
      <c r="M65" s="2156"/>
      <c r="N65" s="2156"/>
      <c r="O65" s="2156"/>
    </row>
    <row r="66" spans="1:15" s="435" customFormat="1">
      <c r="A66" s="2156"/>
      <c r="B66" s="2156"/>
      <c r="C66" s="2165"/>
      <c r="D66" s="2165"/>
      <c r="E66" s="2165"/>
      <c r="F66" s="2165"/>
      <c r="G66" s="2165"/>
      <c r="H66" s="2156"/>
      <c r="I66" s="2156"/>
      <c r="J66" s="2165"/>
      <c r="K66" s="2165"/>
      <c r="L66" s="2156"/>
      <c r="M66" s="2156"/>
      <c r="N66" s="2156"/>
      <c r="O66" s="2156"/>
    </row>
    <row r="67" spans="1:15" s="435" customFormat="1">
      <c r="A67" s="2156"/>
      <c r="B67" s="2156"/>
      <c r="C67" s="2165"/>
      <c r="D67" s="2165"/>
      <c r="E67" s="2165"/>
      <c r="F67" s="2165"/>
      <c r="G67" s="2165"/>
      <c r="H67" s="2156"/>
      <c r="I67" s="2156"/>
      <c r="J67" s="2165"/>
      <c r="K67" s="2165"/>
      <c r="L67" s="2156"/>
      <c r="M67" s="2156"/>
      <c r="N67" s="2156"/>
      <c r="O67" s="2156"/>
    </row>
    <row r="68" spans="1:15" s="435" customFormat="1">
      <c r="A68" s="2156"/>
      <c r="B68" s="2156"/>
      <c r="C68" s="2165"/>
      <c r="D68" s="2165"/>
      <c r="E68" s="2165"/>
      <c r="F68" s="2165"/>
      <c r="G68" s="2165"/>
      <c r="H68" s="2156"/>
      <c r="I68" s="2156"/>
      <c r="J68" s="2165"/>
      <c r="K68" s="2165"/>
      <c r="L68" s="2156"/>
      <c r="M68" s="2156"/>
      <c r="N68" s="2156"/>
      <c r="O68" s="2156"/>
    </row>
    <row r="69" spans="1:15" s="435" customFormat="1">
      <c r="A69" s="2156"/>
      <c r="B69" s="2156"/>
      <c r="C69" s="2165"/>
      <c r="D69" s="2165"/>
      <c r="E69" s="2165"/>
      <c r="F69" s="2165"/>
      <c r="G69" s="2165"/>
      <c r="H69" s="2156"/>
      <c r="I69" s="2156"/>
      <c r="J69" s="2165"/>
      <c r="K69" s="2165"/>
      <c r="L69" s="2156"/>
      <c r="M69" s="2156"/>
      <c r="N69" s="2156"/>
      <c r="O69" s="2156"/>
    </row>
    <row r="70" spans="1:15" s="435" customFormat="1">
      <c r="A70" s="2156"/>
      <c r="B70" s="2156"/>
      <c r="C70" s="2165"/>
      <c r="D70" s="2165"/>
      <c r="E70" s="2165"/>
      <c r="F70" s="2165"/>
      <c r="G70" s="2165"/>
      <c r="H70" s="2156"/>
      <c r="I70" s="2156"/>
      <c r="J70" s="2165"/>
      <c r="K70" s="2165"/>
      <c r="L70" s="2156"/>
      <c r="M70" s="2156"/>
      <c r="N70" s="2156"/>
      <c r="O70" s="2156"/>
    </row>
    <row r="71" spans="1:15" s="435" customFormat="1">
      <c r="A71" s="2156"/>
      <c r="B71" s="2156"/>
      <c r="C71" s="2165"/>
      <c r="D71" s="2165"/>
      <c r="E71" s="2165"/>
      <c r="F71" s="2165"/>
      <c r="G71" s="2165"/>
      <c r="H71" s="2156"/>
      <c r="I71" s="2156"/>
      <c r="J71" s="2165"/>
      <c r="K71" s="2165"/>
      <c r="L71" s="2156"/>
      <c r="M71" s="2156"/>
      <c r="N71" s="2156"/>
      <c r="O71" s="2156"/>
    </row>
    <row r="72" spans="1:15" s="435" customFormat="1">
      <c r="A72" s="2156"/>
      <c r="B72" s="2156"/>
      <c r="C72" s="2165"/>
      <c r="D72" s="2165"/>
      <c r="E72" s="2165"/>
      <c r="F72" s="2165"/>
      <c r="G72" s="2165"/>
      <c r="H72" s="2156"/>
      <c r="I72" s="2156"/>
      <c r="J72" s="2165"/>
      <c r="K72" s="2165"/>
      <c r="L72" s="2156"/>
      <c r="M72" s="2156"/>
      <c r="N72" s="2156"/>
      <c r="O72" s="2156"/>
    </row>
    <row r="73" spans="1:15" s="435" customFormat="1">
      <c r="A73" s="2156"/>
      <c r="B73" s="2156"/>
      <c r="C73" s="2165"/>
      <c r="D73" s="2165"/>
      <c r="E73" s="2165"/>
      <c r="F73" s="2165"/>
      <c r="G73" s="2165"/>
      <c r="H73" s="2156"/>
      <c r="I73" s="2156"/>
      <c r="J73" s="2165"/>
      <c r="K73" s="2165"/>
      <c r="L73" s="2156"/>
      <c r="M73" s="2156"/>
      <c r="N73" s="2156"/>
      <c r="O73" s="2156"/>
    </row>
    <row r="74" spans="1:15" s="435" customFormat="1">
      <c r="A74" s="2156"/>
      <c r="B74" s="2156"/>
      <c r="C74" s="2165"/>
      <c r="D74" s="2165"/>
      <c r="E74" s="2165"/>
      <c r="F74" s="2165"/>
      <c r="G74" s="2165"/>
      <c r="H74" s="2156"/>
      <c r="I74" s="2156"/>
      <c r="J74" s="2165"/>
      <c r="K74" s="2165"/>
      <c r="L74" s="2156"/>
      <c r="M74" s="2156"/>
      <c r="N74" s="2156"/>
      <c r="O74" s="2156"/>
    </row>
    <row r="75" spans="1:15" s="435" customFormat="1">
      <c r="A75" s="2156"/>
      <c r="B75" s="2156"/>
      <c r="C75" s="2165"/>
      <c r="D75" s="2165"/>
      <c r="E75" s="2165"/>
      <c r="F75" s="2165"/>
      <c r="G75" s="2165"/>
      <c r="H75" s="2156"/>
      <c r="I75" s="2156"/>
      <c r="J75" s="2165"/>
      <c r="K75" s="2165"/>
      <c r="L75" s="2156"/>
      <c r="M75" s="2156"/>
      <c r="N75" s="2156"/>
      <c r="O75" s="2156"/>
    </row>
    <row r="76" spans="1:15" s="435" customFormat="1">
      <c r="A76" s="2156"/>
      <c r="B76" s="2156"/>
      <c r="C76" s="2165"/>
      <c r="D76" s="2165"/>
      <c r="E76" s="2165"/>
      <c r="F76" s="2165"/>
      <c r="G76" s="2165"/>
      <c r="H76" s="2156"/>
      <c r="I76" s="2156"/>
      <c r="J76" s="2165"/>
      <c r="K76" s="2165"/>
      <c r="L76" s="2156"/>
      <c r="M76" s="2156"/>
      <c r="N76" s="2156"/>
      <c r="O76" s="2156"/>
    </row>
    <row r="77" spans="1:15" s="435" customFormat="1">
      <c r="A77" s="2156"/>
      <c r="B77" s="2156"/>
      <c r="C77" s="2165"/>
      <c r="D77" s="2165"/>
      <c r="E77" s="2165"/>
      <c r="F77" s="2165"/>
      <c r="G77" s="2165"/>
      <c r="H77" s="2156"/>
      <c r="I77" s="2156"/>
      <c r="J77" s="2165"/>
      <c r="K77" s="2165"/>
      <c r="L77" s="2156"/>
      <c r="M77" s="2156"/>
      <c r="N77" s="2156"/>
      <c r="O77" s="2156"/>
    </row>
    <row r="78" spans="1:15" s="435" customFormat="1">
      <c r="A78" s="2156"/>
      <c r="B78" s="2156"/>
      <c r="C78" s="2165"/>
      <c r="D78" s="2165"/>
      <c r="E78" s="2165"/>
      <c r="F78" s="2165"/>
      <c r="G78" s="2165"/>
      <c r="H78" s="2156"/>
      <c r="I78" s="2156"/>
      <c r="J78" s="2165"/>
      <c r="K78" s="2165"/>
      <c r="L78" s="2156"/>
      <c r="M78" s="2156"/>
      <c r="N78" s="2156"/>
      <c r="O78" s="2156"/>
    </row>
    <row r="79" spans="1:15" s="435" customFormat="1">
      <c r="A79" s="2156"/>
      <c r="B79" s="2156"/>
      <c r="C79" s="2165"/>
      <c r="D79" s="2165"/>
      <c r="E79" s="2165"/>
      <c r="F79" s="2165"/>
      <c r="G79" s="2165"/>
      <c r="H79" s="2156"/>
      <c r="I79" s="2156"/>
      <c r="J79" s="2165"/>
      <c r="K79" s="2165"/>
      <c r="L79" s="2156"/>
      <c r="M79" s="2156"/>
      <c r="N79" s="2156"/>
      <c r="O79" s="2156"/>
    </row>
    <row r="80" spans="1:15" s="435" customFormat="1">
      <c r="A80" s="2156"/>
      <c r="B80" s="2156"/>
      <c r="C80" s="2165"/>
      <c r="D80" s="2165"/>
      <c r="E80" s="2165"/>
      <c r="F80" s="2165"/>
      <c r="G80" s="2165"/>
      <c r="H80" s="2156"/>
      <c r="I80" s="2156"/>
      <c r="J80" s="2165"/>
      <c r="K80" s="2165"/>
      <c r="L80" s="2156"/>
      <c r="M80" s="2156"/>
      <c r="N80" s="2156"/>
      <c r="O80" s="2156"/>
    </row>
    <row r="81" spans="1:15" s="435" customFormat="1">
      <c r="A81" s="2156"/>
      <c r="B81" s="2156"/>
      <c r="C81" s="2165"/>
      <c r="D81" s="2165"/>
      <c r="E81" s="2165"/>
      <c r="F81" s="2165"/>
      <c r="G81" s="2165"/>
      <c r="H81" s="2156"/>
      <c r="I81" s="2156"/>
      <c r="J81" s="2165"/>
      <c r="K81" s="2165"/>
      <c r="L81" s="2156"/>
      <c r="M81" s="2156"/>
      <c r="N81" s="2156"/>
      <c r="O81" s="2156"/>
    </row>
    <row r="82" spans="1:15" s="435" customFormat="1">
      <c r="A82" s="2156"/>
      <c r="B82" s="2156"/>
      <c r="C82" s="2165"/>
      <c r="D82" s="2165"/>
      <c r="E82" s="2165"/>
      <c r="F82" s="2165"/>
      <c r="G82" s="2165"/>
      <c r="H82" s="2156"/>
      <c r="I82" s="2156"/>
      <c r="J82" s="2165"/>
      <c r="K82" s="2165"/>
      <c r="L82" s="2156"/>
      <c r="M82" s="2156"/>
      <c r="N82" s="2156"/>
      <c r="O82" s="2156"/>
    </row>
    <row r="83" spans="1:15" s="435" customFormat="1">
      <c r="A83" s="2156"/>
      <c r="B83" s="2156"/>
      <c r="C83" s="2165"/>
      <c r="D83" s="2165"/>
      <c r="E83" s="2165"/>
      <c r="F83" s="2165"/>
      <c r="G83" s="2165"/>
      <c r="H83" s="2156"/>
      <c r="I83" s="2156"/>
      <c r="J83" s="2165"/>
      <c r="K83" s="2165"/>
      <c r="L83" s="2156"/>
      <c r="M83" s="2156"/>
      <c r="N83" s="2156"/>
      <c r="O83" s="2156"/>
    </row>
    <row r="84" spans="1:15" s="435" customFormat="1">
      <c r="A84" s="2156"/>
      <c r="B84" s="2156"/>
      <c r="C84" s="2165"/>
      <c r="D84" s="2165"/>
      <c r="E84" s="2165"/>
      <c r="F84" s="2165"/>
      <c r="G84" s="2165"/>
      <c r="H84" s="2156"/>
      <c r="I84" s="2156"/>
      <c r="J84" s="2165"/>
      <c r="K84" s="2165"/>
      <c r="L84" s="2156"/>
      <c r="M84" s="2156"/>
      <c r="N84" s="2156"/>
      <c r="O84" s="2156"/>
    </row>
    <row r="85" spans="1:15" s="435" customFormat="1">
      <c r="A85" s="2156"/>
      <c r="B85" s="2156"/>
      <c r="C85" s="2165"/>
      <c r="D85" s="2165"/>
      <c r="E85" s="2165"/>
      <c r="F85" s="2165"/>
      <c r="G85" s="2165"/>
      <c r="H85" s="2156"/>
      <c r="I85" s="2156"/>
      <c r="J85" s="2165"/>
      <c r="K85" s="2165"/>
      <c r="L85" s="2156"/>
      <c r="M85" s="2156"/>
      <c r="N85" s="2156"/>
      <c r="O85" s="2156"/>
    </row>
    <row r="86" spans="1:15" s="435" customFormat="1">
      <c r="A86" s="2156"/>
      <c r="B86" s="2156"/>
      <c r="C86" s="2165"/>
      <c r="D86" s="2165"/>
      <c r="E86" s="2165"/>
      <c r="F86" s="2165"/>
      <c r="G86" s="2165"/>
      <c r="H86" s="2156"/>
      <c r="I86" s="2156"/>
      <c r="J86" s="2165"/>
      <c r="K86" s="2165"/>
      <c r="L86" s="2156"/>
      <c r="M86" s="2156"/>
      <c r="N86" s="2156"/>
      <c r="O86" s="2156"/>
    </row>
    <row r="87" spans="1:15" s="435" customFormat="1">
      <c r="A87" s="2156"/>
      <c r="B87" s="2156"/>
      <c r="C87" s="2165"/>
      <c r="D87" s="2165"/>
      <c r="E87" s="2165"/>
      <c r="F87" s="2165"/>
      <c r="G87" s="2165"/>
      <c r="H87" s="2156"/>
      <c r="I87" s="2156"/>
      <c r="J87" s="2165"/>
      <c r="K87" s="2165"/>
      <c r="L87" s="2156"/>
      <c r="M87" s="2156"/>
      <c r="N87" s="2156"/>
      <c r="O87" s="2156"/>
    </row>
    <row r="88" spans="1:15" s="435" customFormat="1">
      <c r="A88" s="2156"/>
      <c r="B88" s="2156"/>
      <c r="C88" s="2165"/>
      <c r="D88" s="2165"/>
      <c r="E88" s="2165"/>
      <c r="F88" s="2165"/>
      <c r="G88" s="2165"/>
      <c r="H88" s="2156"/>
      <c r="I88" s="2156"/>
      <c r="J88" s="2165"/>
      <c r="K88" s="2165"/>
      <c r="L88" s="2156"/>
      <c r="M88" s="2156"/>
      <c r="N88" s="2156"/>
      <c r="O88" s="2156"/>
    </row>
    <row r="89" spans="1:15" s="435" customFormat="1">
      <c r="A89" s="2156"/>
      <c r="B89" s="2156"/>
      <c r="C89" s="2165"/>
      <c r="D89" s="2165"/>
      <c r="E89" s="2165"/>
      <c r="F89" s="2165"/>
      <c r="G89" s="2165"/>
      <c r="H89" s="2156"/>
      <c r="I89" s="2156"/>
      <c r="J89" s="2165"/>
      <c r="K89" s="2165"/>
      <c r="L89" s="2156"/>
      <c r="M89" s="2156"/>
      <c r="N89" s="2156"/>
      <c r="O89" s="2156"/>
    </row>
    <row r="90" spans="1:15" s="435" customFormat="1">
      <c r="A90" s="2156"/>
      <c r="B90" s="2156"/>
      <c r="C90" s="2165"/>
      <c r="D90" s="2165"/>
      <c r="E90" s="2165"/>
      <c r="F90" s="2165"/>
      <c r="G90" s="2165"/>
      <c r="H90" s="2156"/>
      <c r="I90" s="2156"/>
      <c r="J90" s="2165"/>
      <c r="K90" s="2165"/>
      <c r="L90" s="2156"/>
      <c r="M90" s="2156"/>
      <c r="N90" s="2156"/>
      <c r="O90" s="2156"/>
    </row>
    <row r="91" spans="1:15" s="435" customFormat="1">
      <c r="A91" s="2156"/>
      <c r="B91" s="2156"/>
      <c r="C91" s="2165"/>
      <c r="D91" s="2165"/>
      <c r="E91" s="2165"/>
      <c r="F91" s="2165"/>
      <c r="G91" s="2165"/>
      <c r="H91" s="2156"/>
      <c r="I91" s="2156"/>
      <c r="J91" s="2165"/>
      <c r="K91" s="2165"/>
      <c r="L91" s="2156"/>
      <c r="M91" s="2156"/>
      <c r="N91" s="2156"/>
      <c r="O91" s="2156"/>
    </row>
    <row r="92" spans="1:15" s="435" customFormat="1">
      <c r="A92" s="2156"/>
      <c r="B92" s="2156"/>
      <c r="C92" s="2165"/>
      <c r="D92" s="2165"/>
      <c r="E92" s="2165"/>
      <c r="F92" s="2165"/>
      <c r="G92" s="2165"/>
      <c r="H92" s="2156"/>
      <c r="I92" s="2156"/>
      <c r="J92" s="2165"/>
      <c r="K92" s="2165"/>
      <c r="L92" s="2156"/>
      <c r="M92" s="2156"/>
      <c r="N92" s="2156"/>
      <c r="O92" s="2156"/>
    </row>
    <row r="93" spans="1:15" s="435" customFormat="1">
      <c r="A93" s="2156"/>
      <c r="B93" s="2156"/>
      <c r="C93" s="2165"/>
      <c r="D93" s="2165"/>
      <c r="E93" s="2165"/>
      <c r="F93" s="2165"/>
      <c r="G93" s="2165"/>
      <c r="H93" s="2156"/>
      <c r="I93" s="2156"/>
      <c r="J93" s="2165"/>
      <c r="K93" s="2165"/>
      <c r="L93" s="2156"/>
      <c r="M93" s="2156"/>
      <c r="N93" s="2156"/>
      <c r="O93" s="2156"/>
    </row>
    <row r="94" spans="1:15" s="435" customFormat="1">
      <c r="A94" s="2156"/>
      <c r="B94" s="2156"/>
      <c r="C94" s="2165"/>
      <c r="D94" s="2165"/>
      <c r="E94" s="2165"/>
      <c r="F94" s="2165"/>
      <c r="G94" s="2165"/>
      <c r="H94" s="2156"/>
      <c r="I94" s="2156"/>
      <c r="J94" s="2165"/>
      <c r="K94" s="2165"/>
      <c r="L94" s="2156"/>
      <c r="M94" s="2156"/>
      <c r="N94" s="2156"/>
      <c r="O94" s="2156"/>
    </row>
    <row r="95" spans="1:15" s="435" customFormat="1">
      <c r="A95" s="2156"/>
      <c r="B95" s="2156"/>
      <c r="C95" s="2165"/>
      <c r="D95" s="2165"/>
      <c r="E95" s="2165"/>
      <c r="F95" s="2165"/>
      <c r="G95" s="2165"/>
      <c r="H95" s="2156"/>
      <c r="I95" s="2156"/>
      <c r="J95" s="2165"/>
      <c r="K95" s="2165"/>
      <c r="L95" s="2156"/>
      <c r="M95" s="2156"/>
      <c r="N95" s="2156"/>
      <c r="O95" s="2156"/>
    </row>
  </sheetData>
  <pageMargins left="0.75" right="0.5" top="0.5" bottom="0.5" header="0" footer="0.25"/>
  <pageSetup scale="60" firstPageNumber="41"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M138"/>
  <sheetViews>
    <sheetView showGridLines="0" zoomScale="80" zoomScaleNormal="85" workbookViewId="0"/>
  </sheetViews>
  <sheetFormatPr defaultColWidth="8.6640625" defaultRowHeight="12.75"/>
  <cols>
    <col min="1" max="1" width="56.109375" style="438" customWidth="1"/>
    <col min="2" max="2" width="5.6640625" style="438" customWidth="1"/>
    <col min="3" max="3" width="9.6640625" style="438" customWidth="1"/>
    <col min="4" max="4" width="20.6640625" style="438" customWidth="1"/>
    <col min="5" max="5" width="1.6640625" style="438" customWidth="1"/>
    <col min="6" max="6" width="20.6640625" style="438" customWidth="1"/>
    <col min="7" max="7" width="2.109375" style="438" customWidth="1"/>
    <col min="8" max="8" width="20.6640625" style="438" customWidth="1"/>
    <col min="9" max="9" width="1.6640625" style="438" customWidth="1"/>
    <col min="10" max="10" width="20.6640625" style="438" customWidth="1"/>
    <col min="11" max="11" width="2.109375" style="438" customWidth="1"/>
    <col min="12" max="12" width="22.6640625" style="438" customWidth="1"/>
    <col min="13" max="13" width="2.44140625" style="438" customWidth="1"/>
    <col min="14" max="16384" width="8.6640625" style="438"/>
  </cols>
  <sheetData>
    <row r="1" spans="1:13" ht="15">
      <c r="A1" s="625" t="s">
        <v>870</v>
      </c>
    </row>
    <row r="2" spans="1:13" ht="18" customHeight="1"/>
    <row r="3" spans="1:13" ht="18">
      <c r="A3" s="439" t="s">
        <v>0</v>
      </c>
      <c r="B3" s="440"/>
      <c r="C3" s="440"/>
      <c r="D3" s="441"/>
      <c r="E3" s="441"/>
      <c r="F3" s="440"/>
      <c r="G3" s="440" t="s">
        <v>14</v>
      </c>
      <c r="H3" s="440"/>
      <c r="I3" s="440"/>
      <c r="J3" s="440"/>
      <c r="K3" s="440"/>
      <c r="L3" s="442" t="s">
        <v>363</v>
      </c>
      <c r="M3" s="441"/>
    </row>
    <row r="4" spans="1:13" ht="18">
      <c r="A4" s="439" t="s">
        <v>364</v>
      </c>
      <c r="B4" s="440"/>
      <c r="C4" s="440"/>
      <c r="D4" s="441"/>
      <c r="E4" s="441"/>
      <c r="F4" s="440"/>
      <c r="G4" s="440"/>
      <c r="H4" s="440"/>
      <c r="I4" s="440"/>
      <c r="J4" s="440"/>
      <c r="K4" s="440"/>
      <c r="L4" s="444"/>
      <c r="M4" s="441"/>
    </row>
    <row r="5" spans="1:13" ht="18">
      <c r="A5" s="445" t="s">
        <v>1166</v>
      </c>
      <c r="B5" s="440"/>
      <c r="C5" s="440"/>
      <c r="D5" s="441"/>
      <c r="E5" s="441"/>
      <c r="F5" s="440"/>
      <c r="G5" s="440"/>
      <c r="H5" s="440"/>
      <c r="I5" s="440"/>
      <c r="J5" s="440"/>
      <c r="K5" s="440"/>
      <c r="L5" s="440"/>
      <c r="M5" s="441"/>
    </row>
    <row r="6" spans="1:13" ht="18">
      <c r="A6" s="445" t="str">
        <f>'Sch 2 '!A7</f>
        <v>FISCAL YEAR 2022-2023</v>
      </c>
      <c r="B6" s="440"/>
      <c r="C6" s="440"/>
      <c r="D6" s="441"/>
      <c r="E6" s="441"/>
      <c r="F6" s="440"/>
      <c r="G6" s="440"/>
      <c r="H6" s="440"/>
      <c r="I6" s="440"/>
      <c r="J6" s="440"/>
      <c r="K6" s="440"/>
      <c r="L6" s="440"/>
      <c r="M6" s="441"/>
    </row>
    <row r="7" spans="1:13" ht="18">
      <c r="A7" s="445" t="str">
        <f>'Sch 2 '!A8</f>
        <v>FOR THE MONTH OF MAY 2022</v>
      </c>
      <c r="B7" s="440"/>
      <c r="C7" s="440"/>
      <c r="D7" s="441"/>
      <c r="E7" s="441"/>
      <c r="F7" s="440"/>
      <c r="G7" s="440"/>
      <c r="H7" s="440"/>
      <c r="I7" s="440"/>
      <c r="J7" s="440"/>
      <c r="K7" s="440"/>
      <c r="L7" s="440"/>
      <c r="M7" s="441"/>
    </row>
    <row r="8" spans="1:13" ht="18">
      <c r="A8" s="782" t="s">
        <v>1250</v>
      </c>
      <c r="B8" s="440"/>
      <c r="C8" s="440"/>
      <c r="D8" s="441"/>
      <c r="E8" s="441"/>
      <c r="F8" s="440"/>
      <c r="G8" s="440"/>
      <c r="H8" s="440"/>
      <c r="I8" s="440"/>
      <c r="J8" s="440"/>
      <c r="K8" s="440"/>
      <c r="L8" s="440"/>
      <c r="M8" s="441"/>
    </row>
    <row r="9" spans="1:13" ht="18">
      <c r="A9" s="439"/>
      <c r="B9" s="439"/>
      <c r="C9" s="439"/>
      <c r="D9" s="671"/>
      <c r="E9" s="439"/>
      <c r="F9" s="439"/>
      <c r="G9" s="439"/>
      <c r="H9" s="439"/>
      <c r="I9" s="439"/>
      <c r="J9" s="671" t="s">
        <v>348</v>
      </c>
      <c r="K9" s="439"/>
      <c r="L9" s="671"/>
      <c r="M9" s="441"/>
    </row>
    <row r="10" spans="1:13" ht="18">
      <c r="A10" s="439"/>
      <c r="B10" s="439"/>
      <c r="C10" s="439"/>
      <c r="D10" s="671" t="s">
        <v>229</v>
      </c>
      <c r="E10" s="439"/>
      <c r="F10" s="439"/>
      <c r="G10" s="439"/>
      <c r="H10" s="439"/>
      <c r="I10" s="439"/>
      <c r="J10" s="671" t="s">
        <v>349</v>
      </c>
      <c r="K10" s="439"/>
      <c r="L10" s="671" t="s">
        <v>229</v>
      </c>
      <c r="M10" s="441"/>
    </row>
    <row r="11" spans="1:13" ht="18">
      <c r="A11" s="457" t="s">
        <v>350</v>
      </c>
      <c r="B11" s="439"/>
      <c r="C11" s="439"/>
      <c r="D11" s="883" t="str">
        <f>'Sch 1 '!C11</f>
        <v>MAY 1, 2022</v>
      </c>
      <c r="E11" s="439"/>
      <c r="F11" s="671" t="s">
        <v>231</v>
      </c>
      <c r="G11" s="439"/>
      <c r="H11" s="671" t="s">
        <v>232</v>
      </c>
      <c r="I11" s="439"/>
      <c r="J11" s="671" t="s">
        <v>233</v>
      </c>
      <c r="K11" s="439"/>
      <c r="L11" s="883" t="str">
        <f>'Sch 1 '!K11</f>
        <v>MAY 31, 2022</v>
      </c>
      <c r="M11" s="441"/>
    </row>
    <row r="12" spans="1:13" ht="9.75" customHeight="1">
      <c r="A12" s="439" t="s">
        <v>14</v>
      </c>
      <c r="B12" s="439"/>
      <c r="C12" s="439"/>
      <c r="D12" s="672" t="s">
        <v>14</v>
      </c>
      <c r="E12" s="439"/>
      <c r="F12" s="672" t="s">
        <v>14</v>
      </c>
      <c r="G12" s="439"/>
      <c r="H12" s="672" t="s">
        <v>14</v>
      </c>
      <c r="I12" s="439"/>
      <c r="J12" s="672" t="s">
        <v>14</v>
      </c>
      <c r="K12" s="439" t="s">
        <v>14</v>
      </c>
      <c r="L12" s="672" t="s">
        <v>14</v>
      </c>
      <c r="M12" s="441"/>
    </row>
    <row r="13" spans="1:13" ht="18" customHeight="1">
      <c r="A13" s="446" t="s">
        <v>782</v>
      </c>
      <c r="B13" s="443"/>
      <c r="C13" s="443"/>
      <c r="D13" s="673"/>
      <c r="E13" s="673"/>
      <c r="F13" s="460"/>
      <c r="G13" s="433"/>
      <c r="H13" s="460"/>
      <c r="I13" s="673"/>
      <c r="J13" s="673"/>
      <c r="K13" s="673"/>
      <c r="L13" s="673"/>
      <c r="M13" s="447"/>
    </row>
    <row r="14" spans="1:13" ht="7.5" customHeight="1">
      <c r="A14" s="439"/>
      <c r="B14" s="443"/>
      <c r="C14" s="443"/>
      <c r="D14" s="673"/>
      <c r="E14" s="673"/>
      <c r="F14" s="673"/>
      <c r="G14" s="673"/>
      <c r="H14" s="673"/>
      <c r="I14" s="673"/>
      <c r="J14" s="673"/>
      <c r="K14" s="673"/>
      <c r="L14" s="673"/>
      <c r="M14" s="447"/>
    </row>
    <row r="15" spans="1:13" ht="15.75" customHeight="1">
      <c r="A15" s="443" t="s">
        <v>907</v>
      </c>
      <c r="B15" s="443"/>
      <c r="C15" s="443"/>
      <c r="D15" s="3881">
        <v>7.9000000000000001E-2</v>
      </c>
      <c r="E15" s="1645"/>
      <c r="F15" s="1644">
        <v>10.804</v>
      </c>
      <c r="G15" s="1645"/>
      <c r="H15" s="1644">
        <v>11.413</v>
      </c>
      <c r="I15" s="1645"/>
      <c r="J15" s="1644">
        <v>0</v>
      </c>
      <c r="K15" s="2937"/>
      <c r="L15" s="1647">
        <f>ROUND(SUM(D15)+SUM(F15)-SUM(H15)+SUM(J15),3)</f>
        <v>-0.53</v>
      </c>
      <c r="M15" s="447"/>
    </row>
    <row r="16" spans="1:13" ht="15.75" customHeight="1">
      <c r="A16" s="443" t="s">
        <v>1464</v>
      </c>
      <c r="B16" s="443"/>
      <c r="C16" s="443"/>
      <c r="D16" s="1650">
        <v>320.02499999999998</v>
      </c>
      <c r="E16" s="1645"/>
      <c r="F16" s="1650">
        <v>0.104</v>
      </c>
      <c r="G16" s="1645"/>
      <c r="H16" s="1650">
        <v>0</v>
      </c>
      <c r="I16" s="1645"/>
      <c r="J16" s="1650">
        <v>0</v>
      </c>
      <c r="K16" s="2937"/>
      <c r="L16" s="1651">
        <f>ROUND(SUM(D16)+SUM(F16)-SUM(H16)+SUM(J16),3)</f>
        <v>320.12900000000002</v>
      </c>
      <c r="M16" s="447"/>
    </row>
    <row r="17" spans="1:13" ht="6.75" customHeight="1">
      <c r="A17" s="439"/>
      <c r="B17" s="443"/>
      <c r="C17" s="443"/>
      <c r="D17" s="3326" t="s">
        <v>14</v>
      </c>
      <c r="E17" s="674"/>
      <c r="F17" s="675" t="s">
        <v>14</v>
      </c>
      <c r="G17" s="674"/>
      <c r="H17" s="675" t="s">
        <v>14</v>
      </c>
      <c r="I17" s="674"/>
      <c r="J17" s="676" t="s">
        <v>14</v>
      </c>
      <c r="K17" s="674"/>
      <c r="L17" s="677" t="s">
        <v>14</v>
      </c>
      <c r="M17" s="449"/>
    </row>
    <row r="18" spans="1:13" ht="17.25" customHeight="1">
      <c r="A18" s="439" t="s">
        <v>1467</v>
      </c>
      <c r="B18" s="443"/>
      <c r="C18" s="443"/>
      <c r="D18" s="678">
        <f>ROUND(SUM(D15:D16),3)</f>
        <v>320.10399999999998</v>
      </c>
      <c r="E18" s="679"/>
      <c r="F18" s="678">
        <f>ROUND(SUM(F15:F16),3)</f>
        <v>10.907999999999999</v>
      </c>
      <c r="G18" s="679"/>
      <c r="H18" s="678">
        <f>ROUND(SUM(H15:H16),3)</f>
        <v>11.413</v>
      </c>
      <c r="I18" s="679"/>
      <c r="J18" s="875">
        <f>ROUND(SUM(J15:J16),3)</f>
        <v>0</v>
      </c>
      <c r="K18" s="679"/>
      <c r="L18" s="678">
        <f>ROUND(SUM(L15:L16),3)</f>
        <v>319.59899999999999</v>
      </c>
      <c r="M18" s="450"/>
    </row>
    <row r="19" spans="1:13" ht="12" customHeight="1">
      <c r="A19" s="439"/>
      <c r="B19" s="443"/>
      <c r="C19" s="443"/>
      <c r="D19" s="680"/>
      <c r="E19" s="436"/>
      <c r="F19" s="680"/>
      <c r="G19" s="436"/>
      <c r="H19" s="680"/>
      <c r="I19" s="436"/>
      <c r="J19" s="437"/>
      <c r="K19" s="436"/>
      <c r="L19" s="680"/>
      <c r="M19" s="449"/>
    </row>
    <row r="20" spans="1:13" ht="18" customHeight="1">
      <c r="A20" s="451" t="s">
        <v>223</v>
      </c>
      <c r="B20" s="439"/>
      <c r="C20" s="439"/>
      <c r="D20" s="681"/>
      <c r="E20" s="681"/>
      <c r="F20" s="681"/>
      <c r="G20" s="681"/>
      <c r="H20" s="681"/>
      <c r="I20" s="681"/>
      <c r="J20" s="681"/>
      <c r="K20" s="681"/>
      <c r="L20" s="681"/>
      <c r="M20" s="441"/>
    </row>
    <row r="21" spans="1:13" ht="7.5" customHeight="1">
      <c r="A21" s="439"/>
      <c r="B21" s="439"/>
      <c r="C21" s="439"/>
      <c r="D21" s="681"/>
      <c r="E21" s="681"/>
      <c r="F21" s="681"/>
      <c r="G21" s="681"/>
      <c r="H21" s="681"/>
      <c r="I21" s="681"/>
      <c r="J21" s="681"/>
      <c r="K21" s="681"/>
      <c r="L21" s="436"/>
      <c r="M21" s="441"/>
    </row>
    <row r="22" spans="1:13" ht="17.850000000000001" customHeight="1">
      <c r="A22" s="682" t="s">
        <v>1436</v>
      </c>
      <c r="B22" s="439"/>
      <c r="C22" s="439"/>
      <c r="D22" s="1648">
        <v>32.158000000000001</v>
      </c>
      <c r="E22" s="1645"/>
      <c r="F22" s="1648">
        <v>0.46</v>
      </c>
      <c r="G22" s="1645"/>
      <c r="H22" s="1648">
        <v>1.4999999999999999E-2</v>
      </c>
      <c r="I22" s="1645"/>
      <c r="J22" s="1648">
        <v>0</v>
      </c>
      <c r="K22" s="2937"/>
      <c r="L22" s="1649">
        <f>ROUND(SUM(D22)+SUM(F22)-SUM(H22)+SUM(J22),3)</f>
        <v>32.603000000000002</v>
      </c>
      <c r="M22" s="441"/>
    </row>
    <row r="23" spans="1:13" ht="16.5" customHeight="1">
      <c r="A23" s="682" t="s">
        <v>365</v>
      </c>
      <c r="B23" s="439"/>
      <c r="C23" s="459"/>
      <c r="D23" s="1648">
        <v>3.3250000000000002</v>
      </c>
      <c r="E23" s="1645"/>
      <c r="F23" s="1648">
        <v>2E-3</v>
      </c>
      <c r="G23" s="1645"/>
      <c r="H23" s="1648">
        <v>4.0000000000000001E-3</v>
      </c>
      <c r="I23" s="1645"/>
      <c r="J23" s="1648">
        <v>0</v>
      </c>
      <c r="K23" s="2937"/>
      <c r="L23" s="1649">
        <f>ROUND(SUM(D23)+SUM(F23)-SUM(H23)+SUM(J23),3)</f>
        <v>3.323</v>
      </c>
      <c r="M23" s="441"/>
    </row>
    <row r="24" spans="1:13" ht="15.75" customHeight="1">
      <c r="A24" s="682" t="s">
        <v>366</v>
      </c>
      <c r="B24" s="439"/>
      <c r="C24" s="439"/>
      <c r="D24" s="1650">
        <v>11.926</v>
      </c>
      <c r="E24" s="1645"/>
      <c r="F24" s="1650">
        <v>6.5000000000000002E-2</v>
      </c>
      <c r="G24" s="1645"/>
      <c r="H24" s="1650">
        <v>1.4E-2</v>
      </c>
      <c r="I24" s="1645"/>
      <c r="J24" s="1650">
        <v>0</v>
      </c>
      <c r="K24" s="2937"/>
      <c r="L24" s="1651">
        <f>ROUND(SUM(D24)+SUM(F24)-SUM(H24)+SUM(J24),3)</f>
        <v>11.977</v>
      </c>
      <c r="M24" s="441"/>
    </row>
    <row r="25" spans="1:13" ht="6.75" customHeight="1">
      <c r="A25" s="682"/>
      <c r="B25" s="439"/>
      <c r="C25" s="439"/>
      <c r="D25" s="437"/>
      <c r="E25" s="436"/>
      <c r="F25" s="437" t="s">
        <v>14</v>
      </c>
      <c r="G25" s="436"/>
      <c r="H25" s="683"/>
      <c r="I25" s="436"/>
      <c r="J25" s="684"/>
      <c r="K25" s="436"/>
      <c r="L25" s="437"/>
      <c r="M25" s="441"/>
    </row>
    <row r="26" spans="1:13" ht="17.25" customHeight="1">
      <c r="A26" s="445" t="s">
        <v>1098</v>
      </c>
      <c r="B26" s="439"/>
      <c r="C26" s="459"/>
      <c r="D26" s="685">
        <f>ROUND(SUM(D22:D24),3)</f>
        <v>47.408999999999999</v>
      </c>
      <c r="E26" s="681"/>
      <c r="F26" s="685">
        <f>ROUND(SUM(F22:F24),3)</f>
        <v>0.52700000000000002</v>
      </c>
      <c r="G26" s="681"/>
      <c r="H26" s="685">
        <f>ROUND(SUM(H22:H24),3)</f>
        <v>3.3000000000000002E-2</v>
      </c>
      <c r="I26" s="681"/>
      <c r="J26" s="685">
        <f>ROUND(SUM(J22:J24),3)</f>
        <v>0</v>
      </c>
      <c r="K26" s="681"/>
      <c r="L26" s="685">
        <f>ROUND(SUM(L22:L24),3)</f>
        <v>47.902999999999999</v>
      </c>
      <c r="M26" s="452"/>
    </row>
    <row r="27" spans="1:13" ht="12" customHeight="1">
      <c r="A27" s="439"/>
      <c r="B27" s="439"/>
      <c r="C27" s="439"/>
      <c r="D27" s="681"/>
      <c r="E27" s="679"/>
      <c r="F27" s="681"/>
      <c r="G27" s="679"/>
      <c r="H27" s="681"/>
      <c r="I27" s="679"/>
      <c r="J27" s="681"/>
      <c r="K27" s="679"/>
      <c r="L27" s="681"/>
      <c r="M27" s="441"/>
    </row>
    <row r="28" spans="1:13" ht="18">
      <c r="A28" s="446" t="s">
        <v>367</v>
      </c>
      <c r="B28" s="439"/>
      <c r="C28" s="439"/>
      <c r="D28" s="679"/>
      <c r="E28" s="679"/>
      <c r="F28" s="679"/>
      <c r="G28" s="679"/>
      <c r="H28" s="679"/>
      <c r="I28" s="679"/>
      <c r="J28" s="679"/>
      <c r="K28" s="679"/>
      <c r="L28" s="679"/>
      <c r="M28" s="441"/>
    </row>
    <row r="29" spans="1:13" ht="7.5" customHeight="1">
      <c r="A29" s="443" t="s">
        <v>14</v>
      </c>
      <c r="B29" s="443"/>
      <c r="C29" s="443"/>
      <c r="D29" s="436"/>
      <c r="E29" s="436"/>
      <c r="F29" s="436"/>
      <c r="G29" s="436"/>
      <c r="H29" s="436"/>
      <c r="I29" s="436"/>
      <c r="J29" s="436"/>
      <c r="K29" s="436"/>
      <c r="L29" s="436"/>
      <c r="M29" s="441"/>
    </row>
    <row r="30" spans="1:13" ht="16.5" customHeight="1">
      <c r="A30" s="443" t="s">
        <v>898</v>
      </c>
      <c r="B30" s="443"/>
      <c r="C30" s="443" t="s">
        <v>14</v>
      </c>
      <c r="D30" s="1648">
        <v>6.4349999999999996</v>
      </c>
      <c r="E30" s="1645"/>
      <c r="F30" s="1648">
        <v>6.7000000000000004E-2</v>
      </c>
      <c r="G30" s="1645"/>
      <c r="H30" s="1648">
        <v>2.1150000000000002</v>
      </c>
      <c r="I30" s="1645"/>
      <c r="J30" s="1648">
        <v>0</v>
      </c>
      <c r="K30" s="1646"/>
      <c r="L30" s="1649">
        <f t="shared" ref="L30:L45" si="0">ROUND(SUM(D30)+SUM(F30)-SUM(H30)+SUM(J30),3)</f>
        <v>4.3869999999999996</v>
      </c>
      <c r="M30" s="449"/>
    </row>
    <row r="31" spans="1:13" ht="15.75" customHeight="1">
      <c r="A31" s="682" t="s">
        <v>368</v>
      </c>
      <c r="B31" s="443"/>
      <c r="C31" s="443"/>
      <c r="D31" s="1648">
        <v>0.60799999999999998</v>
      </c>
      <c r="E31" s="1645"/>
      <c r="F31" s="1648">
        <v>3.1E-2</v>
      </c>
      <c r="G31" s="1645"/>
      <c r="H31" s="1648">
        <v>0</v>
      </c>
      <c r="I31" s="1645"/>
      <c r="J31" s="1648">
        <v>0</v>
      </c>
      <c r="K31" s="1646"/>
      <c r="L31" s="1649">
        <f t="shared" si="0"/>
        <v>0.63900000000000001</v>
      </c>
      <c r="M31" s="449"/>
    </row>
    <row r="32" spans="1:13" ht="16.5" customHeight="1">
      <c r="A32" s="443" t="s">
        <v>369</v>
      </c>
      <c r="B32" s="443"/>
      <c r="C32" s="443"/>
      <c r="D32" s="1648">
        <v>1424.566</v>
      </c>
      <c r="E32" s="1645"/>
      <c r="F32" s="1648">
        <v>921.05100000000004</v>
      </c>
      <c r="G32" s="1645"/>
      <c r="H32" s="1648">
        <v>1167.5509999999999</v>
      </c>
      <c r="I32" s="1645"/>
      <c r="J32" s="1648">
        <v>0</v>
      </c>
      <c r="K32" s="1646"/>
      <c r="L32" s="1649">
        <f t="shared" si="0"/>
        <v>1178.066</v>
      </c>
      <c r="M32" s="449"/>
    </row>
    <row r="33" spans="1:13" ht="16.5" customHeight="1">
      <c r="A33" s="443" t="s">
        <v>370</v>
      </c>
      <c r="B33" s="443"/>
      <c r="C33" s="443" t="s">
        <v>14</v>
      </c>
      <c r="D33" s="1648">
        <v>15.137</v>
      </c>
      <c r="E33" s="1645"/>
      <c r="F33" s="1648">
        <v>101.82899999999999</v>
      </c>
      <c r="G33" s="1645"/>
      <c r="H33" s="1648">
        <v>101.84699999999999</v>
      </c>
      <c r="I33" s="1645"/>
      <c r="J33" s="1648">
        <v>0</v>
      </c>
      <c r="K33" s="1646"/>
      <c r="L33" s="1649">
        <f>ROUND(SUM(D33)+SUM(F33)-SUM(H33)+SUM(J33),3)</f>
        <v>15.119</v>
      </c>
      <c r="M33" s="449"/>
    </row>
    <row r="34" spans="1:13" ht="16.5" customHeight="1">
      <c r="A34" s="443" t="s">
        <v>910</v>
      </c>
      <c r="B34" s="443"/>
      <c r="C34" s="443"/>
      <c r="D34" s="1648">
        <v>45.93</v>
      </c>
      <c r="E34" s="1645"/>
      <c r="F34" s="1648">
        <v>375.02800000000002</v>
      </c>
      <c r="G34" s="1645"/>
      <c r="H34" s="1648">
        <v>400.82299999999998</v>
      </c>
      <c r="I34" s="1645"/>
      <c r="J34" s="1648">
        <v>0</v>
      </c>
      <c r="K34" s="1646"/>
      <c r="L34" s="1649">
        <f t="shared" si="0"/>
        <v>20.135000000000002</v>
      </c>
      <c r="M34" s="449"/>
    </row>
    <row r="35" spans="1:13" ht="16.5" customHeight="1">
      <c r="A35" s="443" t="s">
        <v>371</v>
      </c>
      <c r="B35" s="443"/>
      <c r="C35" s="443" t="s">
        <v>14</v>
      </c>
      <c r="D35" s="1648">
        <v>37.012</v>
      </c>
      <c r="E35" s="1645"/>
      <c r="F35" s="1648">
        <v>4.0259999999999998</v>
      </c>
      <c r="G35" s="1645"/>
      <c r="H35" s="1648">
        <v>5.5600000000000005</v>
      </c>
      <c r="I35" s="1645"/>
      <c r="J35" s="1648">
        <v>0</v>
      </c>
      <c r="K35" s="1646"/>
      <c r="L35" s="1649">
        <f t="shared" si="0"/>
        <v>35.478000000000002</v>
      </c>
      <c r="M35" s="449"/>
    </row>
    <row r="36" spans="1:13" ht="15.75" customHeight="1">
      <c r="A36" s="443" t="s">
        <v>372</v>
      </c>
      <c r="B36" s="443"/>
      <c r="C36" s="443"/>
      <c r="D36" s="1648">
        <v>0.80100000000000005</v>
      </c>
      <c r="E36" s="1645"/>
      <c r="F36" s="1648">
        <v>0.70799999999999996</v>
      </c>
      <c r="G36" s="1645"/>
      <c r="H36" s="1648">
        <v>0.78100000000000003</v>
      </c>
      <c r="I36" s="1645"/>
      <c r="J36" s="1648">
        <v>0</v>
      </c>
      <c r="K36" s="1646"/>
      <c r="L36" s="1649">
        <f t="shared" si="0"/>
        <v>0.72799999999999998</v>
      </c>
      <c r="M36" s="449"/>
    </row>
    <row r="37" spans="1:13" ht="15.75" customHeight="1">
      <c r="A37" s="443" t="s">
        <v>373</v>
      </c>
      <c r="B37" s="443"/>
      <c r="C37" s="443"/>
      <c r="D37" s="1648">
        <v>665.18499999999995</v>
      </c>
      <c r="E37" s="1645"/>
      <c r="F37" s="1648">
        <v>90.965000000000003</v>
      </c>
      <c r="G37" s="1645"/>
      <c r="H37" s="1648">
        <v>102.307</v>
      </c>
      <c r="I37" s="1645"/>
      <c r="J37" s="1648">
        <v>0</v>
      </c>
      <c r="K37" s="1646"/>
      <c r="L37" s="1649">
        <f t="shared" si="0"/>
        <v>653.84299999999996</v>
      </c>
      <c r="M37" s="454"/>
    </row>
    <row r="38" spans="1:13" ht="16.5" customHeight="1">
      <c r="A38" s="443" t="s">
        <v>374</v>
      </c>
      <c r="B38" s="443"/>
      <c r="C38" s="443"/>
      <c r="D38" s="1648">
        <v>0</v>
      </c>
      <c r="E38" s="1645"/>
      <c r="F38" s="1648">
        <v>0</v>
      </c>
      <c r="G38" s="1645"/>
      <c r="H38" s="1648">
        <v>0</v>
      </c>
      <c r="I38" s="1645"/>
      <c r="J38" s="1648">
        <v>0</v>
      </c>
      <c r="K38" s="1646"/>
      <c r="L38" s="1649">
        <f t="shared" si="0"/>
        <v>0</v>
      </c>
      <c r="M38" s="449"/>
    </row>
    <row r="39" spans="1:13" ht="16.5" customHeight="1">
      <c r="A39" s="443" t="s">
        <v>375</v>
      </c>
      <c r="B39" s="443"/>
      <c r="C39" s="443"/>
      <c r="D39" s="1648">
        <v>866.279</v>
      </c>
      <c r="E39" s="1645"/>
      <c r="F39" s="1648">
        <v>507.67599999999999</v>
      </c>
      <c r="G39" s="1645"/>
      <c r="H39" s="1648">
        <v>502.43099999999998</v>
      </c>
      <c r="I39" s="1645"/>
      <c r="J39" s="1648">
        <v>0</v>
      </c>
      <c r="K39" s="1646"/>
      <c r="L39" s="1649">
        <f t="shared" si="0"/>
        <v>871.524</v>
      </c>
      <c r="M39" s="449"/>
    </row>
    <row r="40" spans="1:13" ht="16.5" customHeight="1">
      <c r="A40" s="443" t="s">
        <v>914</v>
      </c>
      <c r="B40" s="443"/>
      <c r="C40" s="443"/>
      <c r="D40" s="1648">
        <v>28.347999999999999</v>
      </c>
      <c r="E40" s="1645"/>
      <c r="F40" s="1648">
        <v>5.5970000000000004</v>
      </c>
      <c r="G40" s="1645"/>
      <c r="H40" s="1648">
        <v>5.6050000000000004</v>
      </c>
      <c r="I40" s="1645"/>
      <c r="J40" s="1648">
        <v>0</v>
      </c>
      <c r="K40" s="1646"/>
      <c r="L40" s="1649">
        <f t="shared" si="0"/>
        <v>28.34</v>
      </c>
      <c r="M40" s="449"/>
    </row>
    <row r="41" spans="1:13" ht="16.5" customHeight="1">
      <c r="A41" s="443" t="s">
        <v>915</v>
      </c>
      <c r="B41" s="443"/>
      <c r="C41" s="443"/>
      <c r="D41" s="1648">
        <v>223.791</v>
      </c>
      <c r="E41" s="1645"/>
      <c r="F41" s="1648">
        <v>6965.22</v>
      </c>
      <c r="G41" s="1645"/>
      <c r="H41" s="1648">
        <v>6747.8540000000003</v>
      </c>
      <c r="I41" s="1645"/>
      <c r="J41" s="1648">
        <v>0</v>
      </c>
      <c r="K41" s="2937"/>
      <c r="L41" s="1649">
        <f t="shared" si="0"/>
        <v>441.15699999999998</v>
      </c>
      <c r="M41" s="449"/>
    </row>
    <row r="42" spans="1:13" ht="15.75" customHeight="1">
      <c r="A42" s="443" t="s">
        <v>377</v>
      </c>
      <c r="B42" s="443"/>
      <c r="C42" s="443"/>
      <c r="D42" s="1648">
        <v>0</v>
      </c>
      <c r="E42" s="1645"/>
      <c r="F42" s="1648">
        <v>0</v>
      </c>
      <c r="G42" s="1645"/>
      <c r="H42" s="1648">
        <v>0</v>
      </c>
      <c r="I42" s="1645"/>
      <c r="J42" s="1648">
        <v>0</v>
      </c>
      <c r="K42" s="1646"/>
      <c r="L42" s="1649">
        <f t="shared" si="0"/>
        <v>0</v>
      </c>
      <c r="M42" s="449"/>
    </row>
    <row r="43" spans="1:13" ht="15.75" customHeight="1">
      <c r="A43" s="443" t="s">
        <v>908</v>
      </c>
      <c r="B43" s="443"/>
      <c r="C43" s="443"/>
      <c r="D43" s="1648">
        <v>92.873999999999995</v>
      </c>
      <c r="E43" s="1645"/>
      <c r="F43" s="1648">
        <v>49.473999999999997</v>
      </c>
      <c r="G43" s="1645"/>
      <c r="H43" s="1648">
        <v>0</v>
      </c>
      <c r="I43" s="1645"/>
      <c r="J43" s="1648">
        <v>0</v>
      </c>
      <c r="K43" s="1646"/>
      <c r="L43" s="1649">
        <f t="shared" si="0"/>
        <v>142.34800000000001</v>
      </c>
      <c r="M43" s="449"/>
    </row>
    <row r="44" spans="1:13" ht="15.75" customHeight="1">
      <c r="A44" s="443" t="s">
        <v>909</v>
      </c>
      <c r="B44" s="443"/>
      <c r="C44" s="443"/>
      <c r="D44" s="1648">
        <v>-8.1180000000000003</v>
      </c>
      <c r="E44" s="1645"/>
      <c r="F44" s="1648">
        <v>12.504</v>
      </c>
      <c r="G44" s="1645"/>
      <c r="H44" s="1648">
        <v>14.375</v>
      </c>
      <c r="I44" s="1645"/>
      <c r="J44" s="1648">
        <v>0</v>
      </c>
      <c r="K44" s="1646"/>
      <c r="L44" s="1649">
        <f t="shared" si="0"/>
        <v>-9.9890000000000008</v>
      </c>
      <c r="M44" s="449"/>
    </row>
    <row r="45" spans="1:13" ht="18" customHeight="1">
      <c r="A45" s="443" t="s">
        <v>1100</v>
      </c>
      <c r="B45" s="443"/>
      <c r="C45" s="443"/>
      <c r="D45" s="1648">
        <v>0</v>
      </c>
      <c r="E45" s="1645"/>
      <c r="F45" s="1648">
        <v>0</v>
      </c>
      <c r="G45" s="1645"/>
      <c r="H45" s="1648">
        <v>0</v>
      </c>
      <c r="I45" s="1645"/>
      <c r="J45" s="1648">
        <v>0</v>
      </c>
      <c r="K45" s="1646"/>
      <c r="L45" s="1649">
        <f t="shared" si="0"/>
        <v>0</v>
      </c>
      <c r="M45" s="449"/>
    </row>
    <row r="46" spans="1:13" ht="6.75" customHeight="1">
      <c r="A46" s="682"/>
      <c r="B46" s="439"/>
      <c r="C46" s="439"/>
      <c r="D46" s="437"/>
      <c r="E46" s="436"/>
      <c r="F46" s="437" t="s">
        <v>14</v>
      </c>
      <c r="G46" s="436"/>
      <c r="H46" s="683"/>
      <c r="I46" s="436"/>
      <c r="J46" s="684"/>
      <c r="K46" s="436"/>
      <c r="L46" s="437"/>
      <c r="M46" s="441"/>
    </row>
    <row r="47" spans="1:13" ht="17.25" customHeight="1">
      <c r="A47" s="439" t="s">
        <v>1095</v>
      </c>
      <c r="B47" s="443"/>
      <c r="C47" s="443"/>
      <c r="D47" s="686">
        <f>ROUND(SUM(D30:D45),3)</f>
        <v>3398.848</v>
      </c>
      <c r="E47" s="678"/>
      <c r="F47" s="686">
        <f>ROUND(SUM(F30:F45),3)</f>
        <v>9034.1759999999995</v>
      </c>
      <c r="G47" s="678"/>
      <c r="H47" s="686">
        <f>ROUND(SUM(H30:H45),3)</f>
        <v>9051.2489999999998</v>
      </c>
      <c r="I47" s="678"/>
      <c r="J47" s="686">
        <f>ROUND(SUM(J30:J45),3)</f>
        <v>0</v>
      </c>
      <c r="K47" s="678"/>
      <c r="L47" s="686">
        <f>ROUND(SUM(L30:L45),3)</f>
        <v>3381.7750000000001</v>
      </c>
      <c r="M47" s="450"/>
    </row>
    <row r="48" spans="1:13" ht="12" customHeight="1">
      <c r="A48" s="439"/>
      <c r="B48" s="443"/>
      <c r="C48" s="443"/>
      <c r="D48" s="680" t="s">
        <v>14</v>
      </c>
      <c r="E48" s="436"/>
      <c r="F48" s="680" t="s">
        <v>14</v>
      </c>
      <c r="G48" s="436"/>
      <c r="H48" s="680" t="s">
        <v>14</v>
      </c>
      <c r="I48" s="436"/>
      <c r="J48" s="437" t="s">
        <v>14</v>
      </c>
      <c r="K48" s="436"/>
      <c r="L48" s="680" t="s">
        <v>14</v>
      </c>
      <c r="M48" s="449"/>
    </row>
    <row r="49" spans="1:13" ht="3" customHeight="1">
      <c r="A49" s="439"/>
      <c r="B49" s="443"/>
      <c r="C49" s="443"/>
      <c r="D49" s="687"/>
      <c r="E49" s="687"/>
      <c r="F49" s="687"/>
      <c r="G49" s="687"/>
      <c r="H49" s="687"/>
      <c r="I49" s="687"/>
      <c r="J49" s="687"/>
      <c r="K49" s="687"/>
      <c r="L49" s="687"/>
      <c r="M49" s="449"/>
    </row>
    <row r="50" spans="1:13" ht="18.75" thickBot="1">
      <c r="A50" s="439" t="s">
        <v>1096</v>
      </c>
      <c r="B50" s="443"/>
      <c r="C50" s="459"/>
      <c r="D50" s="688">
        <f>ROUND(D18+D26+D47,3)</f>
        <v>3766.3609999999999</v>
      </c>
      <c r="E50" s="689"/>
      <c r="F50" s="688">
        <f>ROUND(F18+F26+F47,3)</f>
        <v>9045.6110000000008</v>
      </c>
      <c r="G50" s="689"/>
      <c r="H50" s="688">
        <f>ROUND(H18+H26+H47,3)</f>
        <v>9062.6949999999997</v>
      </c>
      <c r="I50" s="690"/>
      <c r="J50" s="688">
        <f>ROUND(J18+J26+J47,3)</f>
        <v>0</v>
      </c>
      <c r="K50" s="689"/>
      <c r="L50" s="688">
        <f>ROUND(L18+L26+L47,3)</f>
        <v>3749.277</v>
      </c>
      <c r="M50" s="450"/>
    </row>
    <row r="51" spans="1:13" ht="12" customHeight="1" thickTop="1">
      <c r="A51" s="443"/>
      <c r="B51" s="443"/>
      <c r="C51" s="443"/>
      <c r="D51" s="691" t="s">
        <v>14</v>
      </c>
      <c r="E51" s="674"/>
      <c r="F51" s="691" t="s">
        <v>14</v>
      </c>
      <c r="G51" s="674"/>
      <c r="H51" s="691" t="s">
        <v>14</v>
      </c>
      <c r="I51" s="674"/>
      <c r="J51" s="673" t="s">
        <v>14</v>
      </c>
      <c r="K51" s="674"/>
      <c r="L51" s="691" t="s">
        <v>14</v>
      </c>
      <c r="M51" s="449"/>
    </row>
    <row r="52" spans="1:13" ht="15.75" customHeight="1">
      <c r="A52" s="692"/>
      <c r="B52" s="443"/>
      <c r="C52" s="443"/>
      <c r="D52" s="443"/>
      <c r="E52" s="443"/>
      <c r="F52" s="443"/>
      <c r="G52" s="443"/>
      <c r="H52" s="443"/>
      <c r="I52" s="443"/>
      <c r="J52" s="443" t="s">
        <v>14</v>
      </c>
      <c r="K52" s="443"/>
      <c r="L52" s="443"/>
      <c r="M52" s="443"/>
    </row>
    <row r="53" spans="1:13" ht="18">
      <c r="A53" s="443"/>
      <c r="B53" s="443"/>
      <c r="C53" s="443"/>
      <c r="D53" s="453"/>
      <c r="E53" s="443"/>
      <c r="F53" s="1648" t="s">
        <v>14</v>
      </c>
      <c r="G53" s="443"/>
      <c r="H53" s="443"/>
      <c r="I53" s="443"/>
      <c r="J53" s="443" t="s">
        <v>14</v>
      </c>
      <c r="K53" s="443"/>
      <c r="L53" s="455"/>
      <c r="M53" s="443"/>
    </row>
    <row r="54" spans="1:13" ht="18">
      <c r="A54" s="453"/>
      <c r="B54" s="443"/>
      <c r="C54" s="443"/>
      <c r="D54" s="443"/>
      <c r="E54" s="443"/>
      <c r="F54" s="443"/>
      <c r="G54" s="443"/>
      <c r="H54" s="443"/>
      <c r="I54" s="443"/>
      <c r="J54" s="443" t="s">
        <v>14</v>
      </c>
      <c r="K54" s="443"/>
      <c r="L54" s="443"/>
      <c r="M54" s="443"/>
    </row>
    <row r="55" spans="1:13" ht="18">
      <c r="A55" s="453"/>
      <c r="B55" s="443"/>
      <c r="C55" s="443"/>
      <c r="D55" s="443"/>
      <c r="E55" s="443"/>
      <c r="F55" s="443"/>
      <c r="G55" s="443"/>
      <c r="H55" s="443"/>
      <c r="I55" s="443"/>
      <c r="J55" s="443"/>
      <c r="K55" s="443"/>
      <c r="L55" s="443"/>
      <c r="M55" s="443"/>
    </row>
    <row r="56" spans="1:13" ht="18">
      <c r="A56" s="453"/>
      <c r="B56" s="443"/>
      <c r="C56" s="443"/>
      <c r="D56" s="443"/>
      <c r="E56" s="443"/>
      <c r="F56" s="443"/>
      <c r="G56" s="443"/>
      <c r="H56" s="443"/>
      <c r="I56" s="443"/>
      <c r="J56" s="443"/>
      <c r="K56" s="443"/>
      <c r="L56" s="443"/>
      <c r="M56" s="443"/>
    </row>
    <row r="57" spans="1:13" ht="18">
      <c r="A57" s="453"/>
      <c r="B57" s="443"/>
      <c r="C57" s="443"/>
      <c r="D57" s="443"/>
      <c r="E57" s="443"/>
      <c r="F57" s="443"/>
      <c r="G57" s="443"/>
      <c r="H57" s="443"/>
      <c r="I57" s="443"/>
      <c r="J57" s="443"/>
      <c r="K57" s="443"/>
      <c r="L57" s="443"/>
      <c r="M57" s="443"/>
    </row>
    <row r="58" spans="1:13" ht="18">
      <c r="A58" s="453"/>
      <c r="B58" s="443"/>
      <c r="C58" s="443"/>
      <c r="D58" s="443"/>
      <c r="E58" s="443"/>
      <c r="F58" s="443"/>
      <c r="G58" s="443"/>
      <c r="H58" s="443"/>
      <c r="I58" s="443"/>
      <c r="J58" s="443"/>
      <c r="K58" s="443"/>
      <c r="L58" s="443"/>
      <c r="M58" s="443"/>
    </row>
    <row r="59" spans="1:13" ht="18">
      <c r="A59" s="443"/>
      <c r="B59" s="443"/>
      <c r="C59" s="443"/>
      <c r="D59" s="443"/>
      <c r="E59" s="443"/>
      <c r="F59" s="443"/>
      <c r="G59" s="443"/>
      <c r="H59" s="443"/>
      <c r="I59" s="443"/>
      <c r="J59" s="443"/>
      <c r="K59" s="443"/>
      <c r="L59" s="443"/>
      <c r="M59" s="443"/>
    </row>
    <row r="60" spans="1:13" ht="18">
      <c r="A60" s="443"/>
      <c r="B60" s="443"/>
      <c r="C60" s="443"/>
      <c r="D60" s="443"/>
      <c r="E60" s="443"/>
      <c r="F60" s="443"/>
      <c r="G60" s="443"/>
      <c r="H60" s="443"/>
      <c r="I60" s="443"/>
      <c r="J60" s="443"/>
      <c r="K60" s="443"/>
      <c r="L60" s="443"/>
      <c r="M60" s="443"/>
    </row>
    <row r="61" spans="1:13" ht="18">
      <c r="A61" s="443"/>
      <c r="B61" s="443"/>
      <c r="C61" s="443"/>
      <c r="D61" s="443"/>
      <c r="E61" s="443"/>
      <c r="F61" s="443"/>
      <c r="G61" s="443"/>
      <c r="H61" s="443"/>
      <c r="I61" s="443"/>
      <c r="J61" s="443"/>
      <c r="K61" s="443"/>
      <c r="L61" s="443"/>
      <c r="M61" s="443"/>
    </row>
    <row r="62" spans="1:13" ht="18">
      <c r="A62" s="443"/>
      <c r="B62" s="443"/>
      <c r="C62" s="443"/>
      <c r="D62" s="443"/>
      <c r="E62" s="443"/>
      <c r="F62" s="443"/>
      <c r="G62" s="443"/>
      <c r="H62" s="443"/>
      <c r="I62" s="443"/>
      <c r="J62" s="443"/>
      <c r="K62" s="443"/>
      <c r="L62" s="443"/>
      <c r="M62" s="443"/>
    </row>
    <row r="63" spans="1:13" ht="18">
      <c r="A63" s="443"/>
      <c r="B63" s="443"/>
      <c r="C63" s="443"/>
      <c r="D63" s="456"/>
      <c r="E63" s="443"/>
      <c r="F63" s="443"/>
      <c r="G63" s="443"/>
      <c r="H63" s="443"/>
      <c r="I63" s="443"/>
      <c r="J63" s="456"/>
      <c r="K63" s="443"/>
      <c r="L63" s="456"/>
      <c r="M63" s="443"/>
    </row>
    <row r="64" spans="1:13" ht="18">
      <c r="A64" s="443"/>
      <c r="B64" s="443"/>
      <c r="C64" s="443"/>
      <c r="D64" s="456"/>
      <c r="E64" s="443"/>
      <c r="F64" s="443"/>
      <c r="G64" s="443"/>
      <c r="H64" s="443"/>
      <c r="I64" s="443"/>
      <c r="J64" s="456"/>
      <c r="K64" s="443"/>
      <c r="L64" s="456"/>
      <c r="M64" s="443"/>
    </row>
    <row r="65" spans="1:13" ht="18">
      <c r="A65" s="457"/>
      <c r="B65" s="443"/>
      <c r="C65" s="443"/>
      <c r="D65" s="458"/>
      <c r="E65" s="448"/>
      <c r="F65" s="458"/>
      <c r="G65" s="448"/>
      <c r="H65" s="458"/>
      <c r="I65" s="448"/>
      <c r="J65" s="458"/>
      <c r="K65" s="448"/>
      <c r="L65" s="458"/>
      <c r="M65" s="443"/>
    </row>
    <row r="66" spans="1:13" ht="18">
      <c r="A66" s="443"/>
      <c r="B66" s="443"/>
      <c r="C66" s="443"/>
      <c r="D66" s="448"/>
      <c r="E66" s="443"/>
      <c r="F66" s="448"/>
      <c r="G66" s="443"/>
      <c r="H66" s="448"/>
      <c r="I66" s="443"/>
      <c r="J66" s="448"/>
      <c r="K66" s="443"/>
      <c r="L66" s="448"/>
      <c r="M66" s="443"/>
    </row>
    <row r="67" spans="1:13" ht="18">
      <c r="A67" s="446"/>
      <c r="B67" s="443"/>
      <c r="C67" s="443"/>
      <c r="D67" s="443"/>
      <c r="E67" s="443"/>
      <c r="F67" s="443"/>
      <c r="G67" s="443"/>
      <c r="H67" s="443"/>
      <c r="I67" s="443"/>
      <c r="J67" s="443"/>
      <c r="K67" s="443"/>
      <c r="L67" s="443"/>
      <c r="M67" s="443"/>
    </row>
    <row r="68" spans="1:13" ht="18">
      <c r="A68" s="443"/>
      <c r="B68" s="443"/>
      <c r="C68" s="443"/>
      <c r="D68" s="443"/>
      <c r="E68" s="443"/>
      <c r="F68" s="443"/>
      <c r="G68" s="443"/>
      <c r="H68" s="443"/>
      <c r="I68" s="443"/>
      <c r="J68" s="443"/>
      <c r="K68" s="443"/>
      <c r="L68" s="443"/>
      <c r="M68" s="443"/>
    </row>
    <row r="69" spans="1:13" ht="20.100000000000001" customHeight="1">
      <c r="A69" s="443"/>
      <c r="B69" s="443"/>
      <c r="C69" s="459"/>
      <c r="D69" s="460"/>
      <c r="E69" s="459"/>
      <c r="F69" s="461"/>
      <c r="G69" s="459"/>
      <c r="H69" s="462"/>
      <c r="I69" s="459"/>
      <c r="J69" s="463"/>
      <c r="K69" s="459"/>
      <c r="L69" s="460"/>
      <c r="M69" s="443"/>
    </row>
    <row r="70" spans="1:13" ht="20.100000000000001" customHeight="1">
      <c r="A70" s="443"/>
      <c r="B70" s="443"/>
      <c r="C70" s="443"/>
      <c r="D70" s="460"/>
      <c r="E70" s="443"/>
      <c r="F70" s="443"/>
      <c r="G70" s="443"/>
      <c r="H70" s="462"/>
      <c r="I70" s="443"/>
      <c r="J70" s="463"/>
      <c r="K70" s="443"/>
      <c r="L70" s="460"/>
      <c r="M70" s="443"/>
    </row>
    <row r="71" spans="1:13" ht="20.100000000000001" customHeight="1">
      <c r="A71" s="443"/>
      <c r="B71" s="443"/>
      <c r="C71" s="443"/>
      <c r="D71" s="460"/>
      <c r="E71" s="443"/>
      <c r="F71" s="443"/>
      <c r="G71" s="443"/>
      <c r="H71" s="464"/>
      <c r="I71" s="443"/>
      <c r="J71" s="463"/>
      <c r="K71" s="443"/>
      <c r="L71" s="460"/>
      <c r="M71" s="443"/>
    </row>
    <row r="72" spans="1:13" ht="20.100000000000001" customHeight="1">
      <c r="A72" s="443"/>
      <c r="B72" s="443"/>
      <c r="C72" s="443"/>
      <c r="D72" s="460"/>
      <c r="E72" s="443"/>
      <c r="F72" s="443"/>
      <c r="G72" s="443"/>
      <c r="H72" s="462"/>
      <c r="I72" s="443"/>
      <c r="J72" s="463"/>
      <c r="K72" s="443"/>
      <c r="L72" s="460"/>
      <c r="M72" s="443"/>
    </row>
    <row r="73" spans="1:13" ht="20.100000000000001" customHeight="1">
      <c r="A73" s="443"/>
      <c r="B73" s="443"/>
      <c r="C73" s="443"/>
      <c r="D73" s="460"/>
      <c r="E73" s="443"/>
      <c r="F73" s="443"/>
      <c r="G73" s="443"/>
      <c r="H73" s="462"/>
      <c r="I73" s="443"/>
      <c r="J73" s="463"/>
      <c r="K73" s="443"/>
      <c r="L73" s="460"/>
      <c r="M73" s="443"/>
    </row>
    <row r="74" spans="1:13" ht="20.100000000000001" customHeight="1">
      <c r="A74" s="443"/>
      <c r="B74" s="443"/>
      <c r="C74" s="443"/>
      <c r="D74" s="460"/>
      <c r="E74" s="443"/>
      <c r="F74" s="443"/>
      <c r="G74" s="443"/>
      <c r="H74" s="465"/>
      <c r="I74" s="443"/>
      <c r="J74" s="463"/>
      <c r="K74" s="443"/>
      <c r="L74" s="460"/>
      <c r="M74" s="443"/>
    </row>
    <row r="75" spans="1:13" ht="18">
      <c r="A75" s="693"/>
      <c r="B75" s="443"/>
      <c r="C75" s="443"/>
      <c r="D75" s="443"/>
      <c r="E75" s="443"/>
      <c r="F75" s="443"/>
      <c r="G75" s="443"/>
      <c r="H75" s="443"/>
      <c r="I75" s="443"/>
      <c r="J75" s="443"/>
      <c r="K75" s="443"/>
      <c r="L75" s="443"/>
      <c r="M75" s="443"/>
    </row>
    <row r="76" spans="1:13" ht="18">
      <c r="A76" s="466"/>
      <c r="B76" s="443"/>
      <c r="C76" s="443"/>
      <c r="D76" s="443"/>
      <c r="E76" s="443"/>
      <c r="F76" s="443"/>
      <c r="G76" s="443"/>
      <c r="H76" s="443"/>
      <c r="I76" s="443"/>
      <c r="J76" s="443"/>
      <c r="K76" s="443"/>
      <c r="L76" s="443"/>
      <c r="M76" s="443"/>
    </row>
    <row r="77" spans="1:13" ht="18">
      <c r="A77" s="443"/>
      <c r="B77" s="443"/>
      <c r="C77" s="443"/>
      <c r="D77" s="443"/>
      <c r="E77" s="443"/>
      <c r="F77" s="443"/>
      <c r="G77" s="443"/>
      <c r="H77" s="443"/>
      <c r="I77" s="443"/>
      <c r="J77" s="443"/>
      <c r="K77" s="443"/>
      <c r="L77" s="443"/>
      <c r="M77" s="443"/>
    </row>
    <row r="78" spans="1:13" ht="18">
      <c r="A78" s="443"/>
      <c r="B78" s="443"/>
      <c r="C78" s="443"/>
      <c r="D78" s="443"/>
      <c r="E78" s="443"/>
      <c r="F78" s="443"/>
      <c r="G78" s="443"/>
      <c r="H78" s="443"/>
      <c r="I78" s="443"/>
      <c r="J78" s="443"/>
      <c r="K78" s="443"/>
      <c r="L78" s="443"/>
      <c r="M78" s="443"/>
    </row>
    <row r="79" spans="1:13" ht="18">
      <c r="A79" s="443"/>
      <c r="B79" s="443"/>
      <c r="C79" s="443"/>
      <c r="D79" s="443"/>
      <c r="E79" s="443"/>
      <c r="F79" s="443"/>
      <c r="G79" s="443"/>
      <c r="H79" s="443"/>
      <c r="I79" s="443"/>
      <c r="J79" s="443"/>
      <c r="K79" s="443"/>
      <c r="L79" s="443"/>
      <c r="M79" s="443"/>
    </row>
    <row r="80" spans="1:13" ht="18">
      <c r="A80" s="443"/>
      <c r="B80" s="443"/>
      <c r="C80" s="443"/>
      <c r="D80" s="443"/>
      <c r="E80" s="443"/>
      <c r="F80" s="443"/>
      <c r="G80" s="443"/>
      <c r="H80" s="443"/>
      <c r="I80" s="443"/>
      <c r="J80" s="443"/>
      <c r="K80" s="443"/>
      <c r="L80" s="443"/>
      <c r="M80" s="443"/>
    </row>
    <row r="81" spans="1:13" ht="18">
      <c r="A81" s="443"/>
      <c r="B81" s="443"/>
      <c r="C81" s="443"/>
      <c r="D81" s="443"/>
      <c r="E81" s="443"/>
      <c r="F81" s="443"/>
      <c r="G81" s="443"/>
      <c r="H81" s="443"/>
      <c r="I81" s="443"/>
      <c r="J81" s="443"/>
      <c r="K81" s="443"/>
      <c r="L81" s="443"/>
      <c r="M81" s="443"/>
    </row>
    <row r="82" spans="1:13" ht="18">
      <c r="A82" s="693"/>
      <c r="B82" s="443"/>
      <c r="C82" s="443"/>
      <c r="D82" s="443"/>
      <c r="E82" s="443"/>
      <c r="F82" s="443"/>
      <c r="G82" s="443"/>
      <c r="H82" s="443"/>
      <c r="I82" s="443"/>
      <c r="J82" s="443"/>
      <c r="K82" s="443"/>
      <c r="L82" s="443"/>
      <c r="M82" s="443"/>
    </row>
    <row r="83" spans="1:13" s="443" customFormat="1" ht="18"/>
    <row r="84" spans="1:13" ht="18">
      <c r="A84" s="443"/>
      <c r="B84" s="443"/>
      <c r="C84" s="443"/>
      <c r="D84" s="443"/>
      <c r="E84" s="443"/>
      <c r="F84" s="443"/>
      <c r="G84" s="443"/>
      <c r="H84" s="443"/>
      <c r="I84" s="443"/>
      <c r="J84" s="443"/>
      <c r="K84" s="443"/>
      <c r="L84" s="443"/>
      <c r="M84" s="443"/>
    </row>
    <row r="85" spans="1:13" s="443" customFormat="1" ht="18"/>
    <row r="86" spans="1:13" s="443" customFormat="1" ht="18"/>
    <row r="87" spans="1:13" s="443" customFormat="1" ht="18"/>
    <row r="88" spans="1:13" ht="18">
      <c r="A88" s="443"/>
      <c r="B88" s="443"/>
      <c r="C88" s="443"/>
      <c r="D88" s="443"/>
      <c r="E88" s="443"/>
      <c r="F88" s="443"/>
      <c r="G88" s="443"/>
      <c r="H88" s="443"/>
      <c r="I88" s="443"/>
      <c r="J88" s="443"/>
      <c r="K88" s="443"/>
      <c r="L88" s="443"/>
      <c r="M88" s="443"/>
    </row>
    <row r="89" spans="1:13" s="443" customFormat="1" ht="18"/>
    <row r="90" spans="1:13" s="443" customFormat="1" ht="18"/>
    <row r="91" spans="1:13" s="443" customFormat="1" ht="18"/>
    <row r="92" spans="1:13" s="443" customFormat="1" ht="18"/>
    <row r="93" spans="1:13" s="443" customFormat="1" ht="18"/>
    <row r="94" spans="1:13" s="443" customFormat="1" ht="18"/>
    <row r="95" spans="1:13" s="443" customFormat="1" ht="18"/>
    <row r="96" spans="1:13" s="443" customFormat="1" ht="18"/>
    <row r="97" s="443" customFormat="1" ht="18"/>
    <row r="98" s="443" customFormat="1" ht="18"/>
    <row r="99" s="443" customFormat="1" ht="18"/>
    <row r="100" s="443" customFormat="1" ht="18"/>
    <row r="101" s="443" customFormat="1" ht="18"/>
    <row r="102" s="443" customFormat="1" ht="18"/>
    <row r="103" s="443" customFormat="1" ht="18"/>
    <row r="104" s="443" customFormat="1" ht="18"/>
    <row r="105" s="443" customFormat="1" ht="18"/>
    <row r="106" s="443" customFormat="1" ht="18"/>
    <row r="107" s="443" customFormat="1" ht="18"/>
    <row r="108" s="443" customFormat="1" ht="18"/>
    <row r="109" s="443" customFormat="1" ht="18"/>
    <row r="110" s="443" customFormat="1" ht="18"/>
    <row r="111" s="443" customFormat="1" ht="18"/>
    <row r="112" s="443" customFormat="1" ht="18"/>
    <row r="113" s="443" customFormat="1" ht="18"/>
    <row r="114" s="443" customFormat="1" ht="18"/>
    <row r="115" s="443" customFormat="1" ht="18"/>
    <row r="116" s="443" customFormat="1" ht="18"/>
    <row r="117" s="443" customFormat="1" ht="18"/>
    <row r="118" s="443" customFormat="1" ht="18"/>
    <row r="119" s="443" customFormat="1" ht="18"/>
    <row r="120" s="443" customFormat="1" ht="18"/>
    <row r="121" s="443" customFormat="1" ht="18"/>
    <row r="122" s="443" customFormat="1" ht="18"/>
    <row r="123" s="443" customFormat="1" ht="18"/>
    <row r="124" s="443" customFormat="1" ht="18"/>
    <row r="125" s="443" customFormat="1" ht="18"/>
    <row r="126" s="443" customFormat="1" ht="18"/>
    <row r="127" s="443" customFormat="1" ht="18"/>
    <row r="128" s="443" customFormat="1" ht="18"/>
    <row r="129" s="443" customFormat="1" ht="18"/>
    <row r="130" s="443" customFormat="1" ht="18"/>
    <row r="131" s="443" customFormat="1" ht="18"/>
    <row r="132" s="443" customFormat="1" ht="18"/>
    <row r="133" s="443" customFormat="1" ht="18"/>
    <row r="134" s="443" customFormat="1" ht="18"/>
    <row r="135" s="443" customFormat="1" ht="18"/>
    <row r="136" s="443" customFormat="1" ht="18"/>
    <row r="137" s="443" customFormat="1" ht="18"/>
    <row r="138" s="443" customFormat="1" ht="18"/>
  </sheetData>
  <pageMargins left="0.5" right="0.5" top="0.5" bottom="0.5" header="0" footer="0.25"/>
  <pageSetup scale="57"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zoomScaleNormal="85" workbookViewId="0"/>
  </sheetViews>
  <sheetFormatPr defaultColWidth="8.6640625" defaultRowHeight="12.75"/>
  <cols>
    <col min="1" max="1" width="53.5546875" style="1849" customWidth="1"/>
    <col min="2" max="2" width="1.6640625" style="1849" customWidth="1"/>
    <col min="3" max="3" width="2.6640625" style="1849" customWidth="1"/>
    <col min="4" max="4" width="20.109375" style="1849" customWidth="1"/>
    <col min="5" max="5" width="7.6640625" style="1849" customWidth="1"/>
    <col min="6" max="6" width="18.6640625" style="1849" customWidth="1"/>
    <col min="7" max="7" width="7.6640625" style="1849" customWidth="1"/>
    <col min="8" max="8" width="18.6640625" style="1849" customWidth="1"/>
    <col min="9" max="9" width="7.6640625" style="1849" customWidth="1"/>
    <col min="10" max="10" width="21.6640625" style="1849" customWidth="1"/>
    <col min="11" max="11" width="10.6640625" style="1849" customWidth="1"/>
    <col min="12" max="16384" width="8.6640625" style="1849"/>
  </cols>
  <sheetData>
    <row r="1" spans="1:10" ht="15">
      <c r="A1" s="625" t="s">
        <v>870</v>
      </c>
    </row>
    <row r="2" spans="1:10" ht="15">
      <c r="A2" s="1850"/>
    </row>
    <row r="3" spans="1:10" ht="18">
      <c r="A3" s="1851" t="s">
        <v>0</v>
      </c>
      <c r="B3" s="1852"/>
      <c r="C3" s="1852"/>
      <c r="D3" s="1852"/>
      <c r="E3" s="1852"/>
      <c r="F3" s="1852"/>
      <c r="G3" s="1851"/>
      <c r="H3" s="1851"/>
      <c r="I3" s="1851"/>
      <c r="J3" s="1854" t="s">
        <v>378</v>
      </c>
    </row>
    <row r="4" spans="1:10" ht="18">
      <c r="A4" s="1851" t="s">
        <v>379</v>
      </c>
      <c r="B4" s="1852"/>
      <c r="C4" s="1851"/>
      <c r="D4" s="1852"/>
      <c r="E4" s="1852"/>
      <c r="F4" s="1852"/>
      <c r="G4" s="1851"/>
      <c r="H4" s="1851"/>
      <c r="I4" s="1851"/>
      <c r="J4" s="1851"/>
    </row>
    <row r="5" spans="1:10" ht="18">
      <c r="A5" s="1851" t="s">
        <v>380</v>
      </c>
      <c r="B5" s="1852"/>
      <c r="C5" s="1851"/>
      <c r="D5" s="1852"/>
      <c r="E5" s="1852"/>
      <c r="F5" s="1852"/>
      <c r="G5" s="1851"/>
      <c r="H5" s="1851"/>
      <c r="I5" s="1851"/>
      <c r="J5" s="1851"/>
    </row>
    <row r="6" spans="1:10" ht="18">
      <c r="A6" s="1851" t="str">
        <f>'Sch 3 '!A6</f>
        <v>FISCAL YEAR 2022-2023</v>
      </c>
      <c r="B6" s="1852"/>
      <c r="C6" s="1851"/>
      <c r="D6" s="1852"/>
      <c r="E6" s="1852"/>
      <c r="F6" s="1852"/>
      <c r="G6" s="1851"/>
      <c r="H6" s="1851"/>
      <c r="I6" s="1851"/>
      <c r="J6" s="1851"/>
    </row>
    <row r="7" spans="1:10" ht="18">
      <c r="A7" s="1853" t="str">
        <f>'Sch 3 '!A7</f>
        <v>FOR THE MONTH OF MAY 2022</v>
      </c>
      <c r="B7" s="1852"/>
      <c r="C7" s="1851"/>
      <c r="D7" s="2977"/>
      <c r="E7" s="1852"/>
      <c r="F7" s="1852"/>
      <c r="G7" s="1851"/>
      <c r="H7" s="1851"/>
      <c r="I7" s="1851"/>
      <c r="J7" s="1851"/>
    </row>
    <row r="8" spans="1:10" ht="18">
      <c r="A8" s="1851" t="s">
        <v>1250</v>
      </c>
      <c r="B8" s="1852"/>
      <c r="C8" s="1851"/>
      <c r="D8" s="2977"/>
      <c r="E8" s="1852"/>
      <c r="F8" s="1852"/>
      <c r="G8" s="1851"/>
      <c r="H8" s="1851"/>
      <c r="I8" s="1851"/>
      <c r="J8" s="1851"/>
    </row>
    <row r="9" spans="1:10" ht="18">
      <c r="A9" s="1851"/>
      <c r="B9" s="1852"/>
      <c r="C9" s="1851"/>
      <c r="D9" s="2977"/>
      <c r="E9" s="1852"/>
      <c r="F9" s="1852"/>
      <c r="G9" s="1851"/>
      <c r="H9" s="1851"/>
      <c r="I9" s="1851"/>
      <c r="J9" s="1851"/>
    </row>
    <row r="10" spans="1:10" ht="18">
      <c r="A10" s="1851"/>
      <c r="B10" s="1851"/>
      <c r="C10" s="1851"/>
      <c r="D10" s="2978"/>
      <c r="E10" s="1851"/>
      <c r="F10" s="1851"/>
      <c r="G10" s="1851"/>
      <c r="H10" s="1851"/>
      <c r="I10" s="1851"/>
      <c r="J10" s="1851"/>
    </row>
    <row r="11" spans="1:10" ht="18">
      <c r="A11" s="1851"/>
      <c r="B11" s="1851"/>
      <c r="C11" s="1851"/>
      <c r="D11" s="2979"/>
      <c r="E11" s="1851"/>
      <c r="F11" s="1851"/>
      <c r="G11" s="1851"/>
      <c r="H11" s="1851"/>
      <c r="I11" s="1851"/>
      <c r="J11" s="1854"/>
    </row>
    <row r="12" spans="1:10" ht="18">
      <c r="A12" s="1851"/>
      <c r="B12" s="1851"/>
      <c r="C12" s="1851"/>
      <c r="D12" s="2979" t="s">
        <v>229</v>
      </c>
      <c r="E12" s="1851"/>
      <c r="F12" s="1851"/>
      <c r="G12" s="1851"/>
      <c r="H12" s="1851"/>
      <c r="I12" s="1851"/>
      <c r="J12" s="1854" t="s">
        <v>229</v>
      </c>
    </row>
    <row r="13" spans="1:10" ht="18">
      <c r="A13" s="1855" t="s">
        <v>350</v>
      </c>
      <c r="B13" s="1851"/>
      <c r="C13" s="1851"/>
      <c r="D13" s="3273" t="str">
        <f>'Sch 3 '!D11</f>
        <v>MAY 1, 2022</v>
      </c>
      <c r="E13" s="1851"/>
      <c r="F13" s="1854" t="s">
        <v>231</v>
      </c>
      <c r="G13" s="1851"/>
      <c r="H13" s="1854" t="s">
        <v>232</v>
      </c>
      <c r="I13" s="1851"/>
      <c r="J13" s="1856" t="str">
        <f>'Sch 3 '!L11</f>
        <v>MAY 31, 2022</v>
      </c>
    </row>
    <row r="14" spans="1:10" ht="18">
      <c r="A14" s="1855"/>
      <c r="B14" s="1851"/>
      <c r="C14" s="1851"/>
      <c r="D14" s="3325"/>
      <c r="E14" s="1851"/>
      <c r="F14" s="1857"/>
      <c r="G14" s="1851"/>
      <c r="H14" s="1858" t="s">
        <v>228</v>
      </c>
      <c r="I14" s="1851"/>
      <c r="J14" s="1857"/>
    </row>
    <row r="15" spans="1:10" ht="18">
      <c r="A15" s="1859" t="s">
        <v>381</v>
      </c>
      <c r="B15" s="1851"/>
      <c r="C15" s="1851"/>
      <c r="D15" s="2978"/>
      <c r="E15" s="2978"/>
      <c r="F15" s="2990"/>
      <c r="G15" s="2978"/>
      <c r="H15" s="2978"/>
      <c r="I15" s="2978"/>
      <c r="J15" s="2978"/>
    </row>
    <row r="16" spans="1:10" ht="25.35" customHeight="1">
      <c r="A16" s="1852" t="s">
        <v>382</v>
      </c>
      <c r="B16" s="1851"/>
      <c r="C16" s="1852"/>
      <c r="D16" s="1644">
        <v>2.8919999999999999</v>
      </c>
      <c r="E16" s="1860"/>
      <c r="F16" s="1644">
        <v>1E-3</v>
      </c>
      <c r="G16" s="1860"/>
      <c r="H16" s="1644">
        <v>0</v>
      </c>
      <c r="I16" s="1860"/>
      <c r="J16" s="1860">
        <f>ROUND(D16+F16-H16,3)</f>
        <v>2.8929999999999998</v>
      </c>
    </row>
    <row r="17" spans="1:14" s="3428" customFormat="1" ht="25.35" customHeight="1">
      <c r="A17" s="2977" t="s">
        <v>1335</v>
      </c>
      <c r="B17" s="2977"/>
      <c r="C17" s="2977"/>
      <c r="D17" s="1648">
        <v>278.45</v>
      </c>
      <c r="E17" s="1862"/>
      <c r="F17" s="1648">
        <v>217.00800000000001</v>
      </c>
      <c r="G17" s="1860"/>
      <c r="H17" s="1648">
        <v>245.64099999999999</v>
      </c>
      <c r="I17" s="1862"/>
      <c r="J17" s="1863">
        <f>ROUND(D17+F17-H17,3)</f>
        <v>249.81700000000001</v>
      </c>
    </row>
    <row r="18" spans="1:14" ht="25.35" customHeight="1">
      <c r="A18" s="1861" t="s">
        <v>1336</v>
      </c>
      <c r="B18" s="1852"/>
      <c r="C18" s="1852"/>
      <c r="D18" s="1648">
        <v>2889.6099999999997</v>
      </c>
      <c r="E18" s="1862"/>
      <c r="F18" s="1648">
        <v>3519.4880000000003</v>
      </c>
      <c r="G18" s="1860"/>
      <c r="H18" s="1648">
        <v>3427.4960000000001</v>
      </c>
      <c r="I18" s="1862"/>
      <c r="J18" s="1863">
        <f>ROUND(D18+F18-H18,3)</f>
        <v>2981.6019999999999</v>
      </c>
    </row>
    <row r="19" spans="1:14" ht="25.35" customHeight="1">
      <c r="A19" s="1852" t="s">
        <v>1195</v>
      </c>
      <c r="B19" s="1852"/>
      <c r="C19" s="1852"/>
      <c r="D19" s="1648">
        <v>0</v>
      </c>
      <c r="E19" s="1862"/>
      <c r="F19" s="1648">
        <v>315.85399999999998</v>
      </c>
      <c r="G19" s="1860"/>
      <c r="H19" s="1648">
        <v>315.85399999999998</v>
      </c>
      <c r="I19" s="1862"/>
      <c r="J19" s="1863">
        <f>ROUND(D19+F19-H19,3)</f>
        <v>0</v>
      </c>
    </row>
    <row r="20" spans="1:14" ht="25.35" customHeight="1" thickBot="1">
      <c r="A20" s="1864" t="s">
        <v>383</v>
      </c>
      <c r="B20" s="1852"/>
      <c r="C20" s="1852"/>
      <c r="D20" s="1865">
        <f>ROUND(SUM(D16:D19),3)</f>
        <v>3170.9520000000002</v>
      </c>
      <c r="E20" s="2991"/>
      <c r="F20" s="1865">
        <f>ROUND(SUM(F16:F19),3)</f>
        <v>4052.3510000000001</v>
      </c>
      <c r="G20" s="2991"/>
      <c r="H20" s="1865">
        <f>ROUND(SUM(H16:H19),3)</f>
        <v>3988.991</v>
      </c>
      <c r="I20" s="2991"/>
      <c r="J20" s="1865">
        <f>ROUND(SUM(J16:J19),3)</f>
        <v>3234.3119999999999</v>
      </c>
      <c r="K20" s="1866"/>
      <c r="L20" s="1866"/>
      <c r="M20" s="1866"/>
      <c r="N20" s="1866"/>
    </row>
    <row r="21" spans="1:14" ht="18.75" thickTop="1">
      <c r="A21" s="1852"/>
      <c r="B21" s="1852"/>
      <c r="C21" s="1852"/>
      <c r="D21" s="2980"/>
      <c r="E21" s="1852"/>
      <c r="F21" s="1867"/>
      <c r="G21" s="1852"/>
      <c r="H21" s="1867"/>
      <c r="I21" s="1852"/>
      <c r="J21" s="1867"/>
    </row>
    <row r="22" spans="1:14" ht="18">
      <c r="A22" s="1852"/>
      <c r="B22" s="1852"/>
      <c r="C22" s="1852"/>
      <c r="D22" s="2980"/>
      <c r="E22" s="1852"/>
      <c r="F22" s="1867"/>
      <c r="G22" s="1852"/>
      <c r="H22" s="1867"/>
      <c r="I22" s="1852"/>
      <c r="J22" s="1867"/>
    </row>
    <row r="23" spans="1:14" ht="6.75" customHeight="1">
      <c r="A23" s="1852"/>
      <c r="B23" s="1852"/>
      <c r="C23" s="1852"/>
      <c r="D23" s="1867"/>
      <c r="E23" s="1852"/>
      <c r="F23" s="1867"/>
      <c r="G23" s="1852"/>
      <c r="H23" s="1867"/>
      <c r="I23" s="1852"/>
      <c r="J23" s="1867"/>
    </row>
    <row r="24" spans="1:14" ht="18">
      <c r="A24" s="2103" t="s">
        <v>1337</v>
      </c>
      <c r="B24" s="1852"/>
      <c r="C24" s="1852"/>
      <c r="D24" s="1852"/>
      <c r="E24" s="1852"/>
      <c r="F24" s="1852" t="s">
        <v>14</v>
      </c>
      <c r="G24" s="1852"/>
      <c r="H24" s="1852"/>
      <c r="I24" s="1852"/>
      <c r="J24" s="1852"/>
    </row>
    <row r="25" spans="1:14" ht="6" customHeight="1"/>
    <row r="26" spans="1:14" ht="59.25" customHeight="1">
      <c r="A26" s="3972" t="s">
        <v>1182</v>
      </c>
      <c r="B26" s="3972"/>
      <c r="C26" s="3972"/>
      <c r="D26" s="3972"/>
      <c r="E26" s="3972"/>
      <c r="F26" s="3972"/>
      <c r="G26" s="3972"/>
      <c r="H26" s="3972"/>
      <c r="I26" s="3972"/>
      <c r="J26" s="3972"/>
    </row>
    <row r="27" spans="1:14" ht="43.35" customHeight="1">
      <c r="A27" s="3973" t="s">
        <v>1522</v>
      </c>
      <c r="B27" s="3973"/>
      <c r="C27" s="3973"/>
      <c r="D27" s="3973"/>
      <c r="E27" s="3973"/>
      <c r="F27" s="3973"/>
      <c r="G27" s="3973"/>
      <c r="H27" s="3973"/>
      <c r="I27" s="3973"/>
      <c r="J27" s="3973"/>
    </row>
    <row r="28" spans="1:14" ht="18.75" customHeight="1">
      <c r="A28" s="3974"/>
      <c r="B28" s="3974"/>
      <c r="C28" s="3974"/>
      <c r="D28" s="3974"/>
      <c r="E28" s="3974"/>
      <c r="F28" s="3974"/>
      <c r="G28" s="3974"/>
      <c r="H28" s="3974"/>
      <c r="I28" s="3974"/>
      <c r="J28" s="3974"/>
    </row>
    <row r="29" spans="1:14" ht="18" customHeight="1">
      <c r="A29" s="1868"/>
      <c r="B29" s="1893"/>
      <c r="C29" s="1893"/>
      <c r="D29" s="1893"/>
      <c r="E29" s="1893"/>
      <c r="F29" s="1648"/>
      <c r="G29" s="1893"/>
      <c r="H29" s="1893"/>
      <c r="I29" s="1893"/>
      <c r="J29" s="1893"/>
    </row>
    <row r="30" spans="1:14" ht="20.25" customHeight="1">
      <c r="A30" s="3975"/>
      <c r="B30" s="3975"/>
      <c r="C30" s="3975"/>
      <c r="D30" s="3975"/>
      <c r="E30" s="3975"/>
      <c r="F30" s="3975"/>
      <c r="G30" s="3975"/>
      <c r="H30" s="3975"/>
      <c r="I30" s="3975"/>
      <c r="J30" s="3975"/>
    </row>
    <row r="31" spans="1:14" ht="20.25" customHeight="1">
      <c r="A31" s="1894"/>
      <c r="B31" s="1893"/>
      <c r="C31" s="1893"/>
      <c r="D31" s="1893"/>
      <c r="E31" s="1893"/>
      <c r="F31" s="3641" t="s">
        <v>14</v>
      </c>
      <c r="G31" s="1893"/>
      <c r="H31" s="1893"/>
      <c r="I31" s="1893"/>
      <c r="J31" s="1893"/>
    </row>
    <row r="32" spans="1:14" ht="20.25" customHeight="1">
      <c r="A32" s="1894"/>
      <c r="B32" s="1893"/>
      <c r="C32" s="1893"/>
      <c r="D32" s="1893"/>
      <c r="E32" s="1893"/>
      <c r="F32" s="1893"/>
      <c r="G32" s="1893"/>
      <c r="H32" s="1893"/>
      <c r="I32" s="1893"/>
      <c r="J32" s="1893"/>
    </row>
    <row r="33" spans="1:10" ht="20.25" customHeight="1">
      <c r="A33" s="1894"/>
      <c r="B33" s="1893"/>
      <c r="C33" s="1893"/>
      <c r="D33" s="1893"/>
      <c r="E33" s="1893"/>
      <c r="F33" s="1893"/>
      <c r="G33" s="1893"/>
      <c r="H33" s="1893"/>
      <c r="I33" s="1893"/>
      <c r="J33" s="1893"/>
    </row>
    <row r="34" spans="1:10" ht="20.25" customHeight="1">
      <c r="A34" s="1894"/>
      <c r="B34" s="1893"/>
      <c r="C34" s="1893"/>
      <c r="D34" s="1893"/>
      <c r="E34" s="1893"/>
      <c r="F34" s="1893"/>
      <c r="G34" s="1893"/>
      <c r="H34" s="1893"/>
      <c r="I34" s="1893"/>
      <c r="J34" s="1893"/>
    </row>
    <row r="35" spans="1:10" ht="20.25" customHeight="1">
      <c r="A35" s="1894"/>
      <c r="B35" s="1893"/>
      <c r="C35" s="1893"/>
      <c r="D35" s="1893"/>
      <c r="E35" s="1893"/>
      <c r="F35" s="1893"/>
      <c r="G35" s="1893"/>
      <c r="H35" s="1893"/>
      <c r="I35" s="1893"/>
      <c r="J35" s="1893"/>
    </row>
    <row r="36" spans="1:10" ht="20.25" customHeight="1">
      <c r="A36" s="1894"/>
      <c r="B36" s="1893"/>
      <c r="C36" s="1893"/>
      <c r="D36" s="1893"/>
      <c r="E36" s="1893"/>
      <c r="F36" s="1893"/>
      <c r="G36" s="1893"/>
      <c r="H36" s="1893"/>
      <c r="I36" s="1893"/>
      <c r="J36" s="1893"/>
    </row>
    <row r="37" spans="1:10" ht="20.25" customHeight="1">
      <c r="A37" s="1894"/>
      <c r="B37" s="1893"/>
      <c r="C37" s="1893"/>
      <c r="D37" s="1893"/>
      <c r="E37" s="1893"/>
      <c r="F37" s="1893"/>
      <c r="G37" s="1893"/>
      <c r="H37" s="1893"/>
      <c r="I37" s="1893"/>
      <c r="J37" s="1893"/>
    </row>
    <row r="38" spans="1:10" ht="20.25" customHeight="1">
      <c r="A38" s="1894"/>
      <c r="B38" s="1893"/>
      <c r="C38" s="1893"/>
      <c r="D38" s="1893"/>
      <c r="E38" s="1893"/>
      <c r="F38" s="1893"/>
      <c r="G38" s="1893"/>
      <c r="H38" s="1893"/>
      <c r="I38" s="1893"/>
      <c r="J38" s="1893"/>
    </row>
    <row r="39" spans="1:10" ht="20.25" customHeight="1">
      <c r="A39" s="1894"/>
      <c r="B39" s="1893"/>
      <c r="C39" s="1893"/>
      <c r="D39" s="1893"/>
      <c r="E39" s="1893"/>
      <c r="F39" s="1893"/>
      <c r="G39" s="1893"/>
      <c r="H39" s="1893"/>
      <c r="I39" s="1893"/>
      <c r="J39" s="1893"/>
    </row>
    <row r="40" spans="1:10" ht="20.25" customHeight="1">
      <c r="A40" s="1894"/>
      <c r="B40" s="1893"/>
      <c r="C40" s="1893"/>
      <c r="D40" s="1893"/>
      <c r="E40" s="1893"/>
      <c r="F40" s="1893"/>
      <c r="G40" s="1893"/>
      <c r="H40" s="1893"/>
      <c r="I40" s="1893"/>
      <c r="J40" s="1893"/>
    </row>
    <row r="41" spans="1:10" ht="20.25" customHeight="1">
      <c r="A41" s="1894"/>
      <c r="B41" s="1893"/>
      <c r="C41" s="1893"/>
      <c r="D41" s="1893"/>
      <c r="E41" s="1893"/>
      <c r="F41" s="1893"/>
      <c r="G41" s="1893"/>
      <c r="H41" s="1893"/>
      <c r="I41" s="1893"/>
      <c r="J41" s="1893"/>
    </row>
    <row r="42" spans="1:10" ht="20.25" customHeight="1">
      <c r="A42" s="1894"/>
      <c r="B42" s="1893"/>
      <c r="C42" s="1893"/>
      <c r="D42" s="1893"/>
      <c r="E42" s="1893"/>
      <c r="F42" s="1893"/>
      <c r="G42" s="1893"/>
      <c r="H42" s="1893"/>
      <c r="I42" s="1893"/>
      <c r="J42" s="1893"/>
    </row>
    <row r="43" spans="1:10" ht="21" customHeight="1"/>
    <row r="44" spans="1:10" ht="21" customHeight="1">
      <c r="A44" s="1894"/>
      <c r="B44" s="1893"/>
      <c r="C44" s="1893"/>
      <c r="D44" s="1893"/>
      <c r="E44" s="1893"/>
      <c r="F44" s="1893"/>
      <c r="G44" s="1893"/>
      <c r="H44" s="1893"/>
      <c r="I44" s="1893"/>
      <c r="J44" s="1893"/>
    </row>
    <row r="45" spans="1:10" ht="18" customHeight="1">
      <c r="A45" s="1869"/>
      <c r="B45" s="1870"/>
      <c r="C45" s="1871"/>
      <c r="D45" s="1872"/>
      <c r="E45" s="1871"/>
      <c r="F45" s="1872"/>
      <c r="G45" s="1871"/>
      <c r="H45" s="1872"/>
      <c r="I45" s="1873"/>
    </row>
    <row r="46" spans="1:10" ht="18" customHeight="1">
      <c r="A46" s="1874"/>
      <c r="B46" s="1870"/>
      <c r="C46" s="1870"/>
      <c r="D46" s="1872"/>
      <c r="E46" s="1870"/>
      <c r="F46" s="1875"/>
      <c r="G46" s="1872"/>
      <c r="H46" s="1872"/>
      <c r="I46" s="1873"/>
    </row>
    <row r="47" spans="1:10" ht="18" customHeight="1">
      <c r="A47" s="1874"/>
      <c r="B47" s="1870"/>
      <c r="C47" s="1870"/>
      <c r="D47" s="1872"/>
      <c r="E47" s="1870"/>
      <c r="F47" s="1875"/>
      <c r="G47" s="1872"/>
      <c r="H47" s="1872"/>
      <c r="I47" s="1873"/>
    </row>
    <row r="48" spans="1:10" ht="18" customHeight="1">
      <c r="A48" s="1874"/>
      <c r="B48" s="1870"/>
      <c r="C48" s="1870"/>
      <c r="D48" s="1872"/>
      <c r="E48" s="1870"/>
      <c r="F48" s="1875"/>
      <c r="G48" s="1872"/>
      <c r="H48" s="1872"/>
      <c r="I48" s="1873"/>
    </row>
    <row r="49" spans="1:9" ht="18" customHeight="1">
      <c r="A49" s="1874"/>
      <c r="B49" s="1870"/>
      <c r="C49" s="1870"/>
      <c r="D49" s="1872"/>
      <c r="E49" s="1870"/>
      <c r="F49" s="1872"/>
      <c r="G49" s="1872"/>
      <c r="H49" s="1876"/>
      <c r="I49" s="1873"/>
    </row>
    <row r="50" spans="1:9" ht="18" customHeight="1">
      <c r="A50" s="1877"/>
      <c r="B50" s="1870"/>
      <c r="C50" s="1870"/>
      <c r="D50" s="1872"/>
      <c r="E50" s="1870"/>
      <c r="F50" s="1872"/>
      <c r="G50" s="1872"/>
      <c r="H50" s="1872"/>
      <c r="I50" s="1873"/>
    </row>
    <row r="51" spans="1:9" ht="18" customHeight="1">
      <c r="A51" s="1878"/>
      <c r="B51" s="1870"/>
      <c r="C51" s="1870"/>
      <c r="D51" s="1872"/>
      <c r="E51" s="1870"/>
      <c r="F51" s="1876"/>
      <c r="G51" s="1872"/>
      <c r="H51" s="1872"/>
      <c r="I51" s="1873"/>
    </row>
    <row r="52" spans="1:9" ht="18" customHeight="1">
      <c r="A52" s="1874"/>
      <c r="B52" s="1870"/>
      <c r="C52" s="1870"/>
      <c r="D52" s="1872"/>
      <c r="E52" s="1870"/>
      <c r="F52" s="1875"/>
      <c r="G52" s="1872"/>
      <c r="H52" s="1872"/>
      <c r="I52" s="1873"/>
    </row>
    <row r="53" spans="1:9" ht="18" customHeight="1">
      <c r="A53" s="1874"/>
      <c r="B53" s="1870"/>
      <c r="C53" s="1870"/>
      <c r="D53" s="1872"/>
      <c r="E53" s="1870"/>
      <c r="F53" s="1879"/>
      <c r="G53" s="1872"/>
      <c r="H53" s="1876"/>
      <c r="I53" s="1873"/>
    </row>
    <row r="54" spans="1:9" ht="18" customHeight="1">
      <c r="A54" s="1877"/>
      <c r="B54" s="1870"/>
      <c r="C54" s="1871"/>
      <c r="D54" s="1880"/>
      <c r="E54" s="1871"/>
      <c r="G54" s="1871"/>
      <c r="H54" s="1880"/>
      <c r="I54" s="1873"/>
    </row>
  </sheetData>
  <mergeCells count="4">
    <mergeCell ref="A26:J26"/>
    <mergeCell ref="A27:J27"/>
    <mergeCell ref="A28:J28"/>
    <mergeCell ref="A30:J30"/>
  </mergeCells>
  <pageMargins left="0.5" right="0.5" top="0.5" bottom="0.5" header="0" footer="0.25"/>
  <pageSetup scale="67"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80" zoomScaleNormal="70" workbookViewId="0"/>
  </sheetViews>
  <sheetFormatPr defaultColWidth="8.6640625" defaultRowHeight="12.75"/>
  <cols>
    <col min="1" max="1" width="40.109375" style="606" customWidth="1"/>
    <col min="2" max="2" width="2.109375" style="606" customWidth="1"/>
    <col min="3" max="3" width="17.109375" style="783" customWidth="1"/>
    <col min="4" max="4" width="2.109375" style="606" customWidth="1"/>
    <col min="5" max="5" width="15.44140625" style="606" customWidth="1"/>
    <col min="6" max="6" width="2.109375" style="606" customWidth="1"/>
    <col min="7" max="7" width="16.109375" style="606" customWidth="1"/>
    <col min="8" max="8" width="2.109375" style="606" customWidth="1"/>
    <col min="9" max="9" width="15.5546875" style="607" customWidth="1"/>
    <col min="10" max="10" width="2.109375" style="606" customWidth="1"/>
    <col min="11" max="11" width="16.44140625" style="607" bestFit="1" customWidth="1"/>
    <col min="12" max="12" width="2.109375" style="606" customWidth="1"/>
    <col min="13" max="13" width="17.109375" style="783" customWidth="1"/>
    <col min="14" max="14" width="1.6640625" style="606" customWidth="1"/>
    <col min="15" max="15" width="1.109375" style="606" customWidth="1"/>
    <col min="16" max="16" width="2" style="606" customWidth="1"/>
    <col min="17" max="17" width="15.44140625" style="606" customWidth="1"/>
    <col min="18" max="18" width="2.109375" style="606" customWidth="1"/>
    <col min="19" max="19" width="16.44140625" style="606" bestFit="1" customWidth="1"/>
    <col min="20" max="20" width="11.6640625" style="606" customWidth="1"/>
    <col min="21" max="21" width="12.44140625" style="606" customWidth="1"/>
    <col min="22" max="22" width="9.6640625" style="606" bestFit="1" customWidth="1"/>
    <col min="23" max="16384" width="8.6640625" style="606"/>
  </cols>
  <sheetData>
    <row r="1" spans="1:23" ht="15">
      <c r="A1" s="914" t="s">
        <v>870</v>
      </c>
    </row>
    <row r="2" spans="1:23" ht="15">
      <c r="A2" s="1543"/>
    </row>
    <row r="3" spans="1:23" ht="18">
      <c r="A3" s="605" t="s">
        <v>0</v>
      </c>
      <c r="S3" s="605" t="s">
        <v>384</v>
      </c>
    </row>
    <row r="4" spans="1:23" ht="18">
      <c r="A4" s="605" t="s">
        <v>181</v>
      </c>
      <c r="J4" s="606" t="s">
        <v>14</v>
      </c>
    </row>
    <row r="5" spans="1:23" ht="18">
      <c r="A5" s="605" t="s">
        <v>385</v>
      </c>
    </row>
    <row r="6" spans="1:23" ht="18">
      <c r="A6" s="1544" t="str">
        <f>'Cashflow Governmental'!A6</f>
        <v xml:space="preserve">FISCAL YEAR 2022-2023   </v>
      </c>
    </row>
    <row r="9" spans="1:23" ht="15.6" customHeight="1">
      <c r="C9" s="3410"/>
      <c r="D9" s="3746"/>
      <c r="E9" s="3976" t="s">
        <v>1349</v>
      </c>
      <c r="F9" s="3976"/>
      <c r="G9" s="3976"/>
      <c r="H9" s="1481"/>
      <c r="I9" s="3461" t="s">
        <v>1186</v>
      </c>
      <c r="J9" s="3462"/>
      <c r="K9" s="3462"/>
      <c r="L9" s="1479"/>
      <c r="M9" s="1479"/>
      <c r="N9" s="1479"/>
      <c r="O9" s="1483"/>
      <c r="P9" s="1479"/>
    </row>
    <row r="10" spans="1:23">
      <c r="C10" s="1486" t="s">
        <v>119</v>
      </c>
      <c r="D10" s="1485"/>
      <c r="E10" s="3456"/>
      <c r="F10" s="3457"/>
      <c r="G10" s="3458"/>
      <c r="H10" s="1479"/>
      <c r="I10" s="3459"/>
      <c r="J10" s="3460"/>
      <c r="K10" s="3460"/>
      <c r="L10" s="1479"/>
      <c r="M10" s="1486" t="s">
        <v>119</v>
      </c>
      <c r="N10" s="1479"/>
      <c r="O10" s="1487"/>
      <c r="P10" s="1479"/>
      <c r="Q10" s="1484" t="s">
        <v>834</v>
      </c>
      <c r="R10" s="1484"/>
      <c r="S10" s="1484"/>
    </row>
    <row r="11" spans="1:23">
      <c r="C11" s="1486" t="s">
        <v>386</v>
      </c>
      <c r="D11" s="1485"/>
      <c r="E11" s="3468" t="s">
        <v>6</v>
      </c>
      <c r="F11" s="1485"/>
      <c r="G11" s="1488" t="s">
        <v>1524</v>
      </c>
      <c r="H11" s="1479"/>
      <c r="I11" s="1485" t="s">
        <v>387</v>
      </c>
      <c r="J11" s="1480" t="s">
        <v>14</v>
      </c>
      <c r="K11" s="1485" t="str">
        <f>G11</f>
        <v>2 MONTHS ENDED</v>
      </c>
      <c r="L11" s="1479"/>
      <c r="M11" s="1486" t="s">
        <v>386</v>
      </c>
      <c r="N11" s="1479"/>
      <c r="O11" s="1487"/>
      <c r="P11" s="1479"/>
      <c r="Q11" s="1485" t="s">
        <v>387</v>
      </c>
      <c r="R11" s="1480" t="s">
        <v>14</v>
      </c>
      <c r="S11" s="1485" t="str">
        <f>K11</f>
        <v>2 MONTHS ENDED</v>
      </c>
    </row>
    <row r="12" spans="1:23">
      <c r="A12" s="1545" t="s">
        <v>388</v>
      </c>
      <c r="C12" s="3411" t="s">
        <v>1475</v>
      </c>
      <c r="D12" s="2097"/>
      <c r="E12" s="3469" t="s">
        <v>123</v>
      </c>
      <c r="F12" s="2097"/>
      <c r="G12" s="1546" t="s">
        <v>1505</v>
      </c>
      <c r="H12" s="1479"/>
      <c r="I12" s="1546" t="s">
        <v>123</v>
      </c>
      <c r="J12" s="3824"/>
      <c r="K12" s="3825" t="str">
        <f>G12</f>
        <v>MAY 31, 2022</v>
      </c>
      <c r="L12" s="1479"/>
      <c r="M12" s="3825" t="str">
        <f>K12</f>
        <v>MAY 31, 2022</v>
      </c>
      <c r="N12" s="1479"/>
      <c r="O12" s="1487"/>
      <c r="P12" s="1479"/>
      <c r="Q12" s="1482" t="s">
        <v>123</v>
      </c>
      <c r="R12" s="1479"/>
      <c r="S12" s="3825" t="str">
        <f>M12</f>
        <v>MAY 31, 2022</v>
      </c>
    </row>
    <row r="13" spans="1:23">
      <c r="K13" s="1507"/>
      <c r="O13" s="1547"/>
    </row>
    <row r="14" spans="1:23">
      <c r="A14" s="608" t="s">
        <v>389</v>
      </c>
      <c r="K14" s="1507"/>
      <c r="O14" s="1547"/>
      <c r="Q14" s="607"/>
    </row>
    <row r="15" spans="1:23" ht="12" customHeight="1">
      <c r="A15" s="608"/>
      <c r="K15" s="1507"/>
      <c r="M15" s="783" t="s">
        <v>14</v>
      </c>
      <c r="O15" s="1547"/>
      <c r="Q15" s="607"/>
    </row>
    <row r="16" spans="1:23">
      <c r="A16" s="606" t="s">
        <v>881</v>
      </c>
      <c r="B16" s="607"/>
      <c r="C16" s="3404">
        <v>8461004</v>
      </c>
      <c r="D16" s="1506"/>
      <c r="E16" s="3404">
        <v>0</v>
      </c>
      <c r="F16" s="1506"/>
      <c r="G16" s="3404">
        <f>E16</f>
        <v>0</v>
      </c>
      <c r="H16" s="3404"/>
      <c r="I16" s="3404">
        <v>0</v>
      </c>
      <c r="J16" s="1506"/>
      <c r="K16" s="3404">
        <v>812409</v>
      </c>
      <c r="L16" s="1506" t="s">
        <v>14</v>
      </c>
      <c r="M16" s="3404">
        <f>ROUND(SUM(C16)-SUM(K16)+SUM(G16),0)</f>
        <v>7648595</v>
      </c>
      <c r="N16" s="621"/>
      <c r="O16" s="1548"/>
      <c r="P16" s="607"/>
      <c r="Q16" s="3404">
        <v>0</v>
      </c>
      <c r="R16" s="3404"/>
      <c r="S16" s="3404">
        <v>62504</v>
      </c>
      <c r="T16" s="610"/>
      <c r="U16" s="1506"/>
      <c r="V16" s="2091"/>
      <c r="W16" s="701"/>
    </row>
    <row r="17" spans="1:23">
      <c r="C17" s="784"/>
      <c r="D17" s="699"/>
      <c r="E17" s="612"/>
      <c r="F17" s="699"/>
      <c r="G17" s="784"/>
      <c r="H17" s="621"/>
      <c r="I17" s="612"/>
      <c r="J17" s="621"/>
      <c r="K17" s="1507"/>
      <c r="L17" s="621"/>
      <c r="M17" s="784"/>
      <c r="N17" s="621"/>
      <c r="O17" s="1548"/>
      <c r="P17" s="621"/>
      <c r="Q17" s="612"/>
      <c r="R17" s="621"/>
      <c r="S17" s="1507"/>
      <c r="U17" s="612"/>
      <c r="V17" s="700"/>
      <c r="W17" s="701"/>
    </row>
    <row r="18" spans="1:23">
      <c r="A18" s="606" t="s">
        <v>390</v>
      </c>
      <c r="C18" s="784"/>
      <c r="D18" s="699"/>
      <c r="E18" s="607"/>
      <c r="F18" s="699"/>
      <c r="G18" s="784"/>
      <c r="H18" s="621"/>
      <c r="J18" s="607"/>
      <c r="K18" s="1507"/>
      <c r="L18" s="621"/>
      <c r="M18" s="784"/>
      <c r="N18" s="621"/>
      <c r="O18" s="1548"/>
      <c r="P18" s="621"/>
      <c r="Q18" s="607"/>
      <c r="R18" s="607"/>
      <c r="S18" s="1507"/>
      <c r="U18" s="607"/>
      <c r="V18" s="700"/>
      <c r="W18" s="610"/>
    </row>
    <row r="19" spans="1:23" ht="12" customHeight="1">
      <c r="A19" s="606" t="s">
        <v>882</v>
      </c>
      <c r="C19" s="3406">
        <v>1118878</v>
      </c>
      <c r="D19" s="1508"/>
      <c r="E19" s="3406">
        <v>0</v>
      </c>
      <c r="F19" s="1508"/>
      <c r="G19" s="3406">
        <f>E19</f>
        <v>0</v>
      </c>
      <c r="H19" s="3406"/>
      <c r="I19" s="3406">
        <v>0</v>
      </c>
      <c r="J19" s="1508"/>
      <c r="K19" s="3406">
        <v>0</v>
      </c>
      <c r="L19" s="1508" t="s">
        <v>14</v>
      </c>
      <c r="M19" s="3406">
        <f>ROUND(SUM(C19)-SUM(K19)+SUM(G19),0)</f>
        <v>1118878</v>
      </c>
      <c r="N19" s="621"/>
      <c r="O19" s="1548"/>
      <c r="P19" s="621" t="s">
        <v>14</v>
      </c>
      <c r="Q19" s="3406">
        <v>0</v>
      </c>
      <c r="R19" s="3406"/>
      <c r="S19" s="3406">
        <v>0</v>
      </c>
      <c r="T19" s="610"/>
      <c r="U19" s="784"/>
      <c r="V19" s="700"/>
      <c r="W19" s="701"/>
    </row>
    <row r="20" spans="1:23">
      <c r="A20" s="606" t="s">
        <v>391</v>
      </c>
      <c r="C20" s="3406">
        <v>0</v>
      </c>
      <c r="D20" s="1508"/>
      <c r="E20" s="3406">
        <v>0</v>
      </c>
      <c r="F20" s="1508"/>
      <c r="G20" s="3406">
        <f t="shared" ref="G20:G63" si="0">E20</f>
        <v>0</v>
      </c>
      <c r="H20" s="3406"/>
      <c r="I20" s="3406">
        <v>0</v>
      </c>
      <c r="J20" s="1508"/>
      <c r="K20" s="3406">
        <v>0</v>
      </c>
      <c r="L20" s="1508"/>
      <c r="M20" s="3406">
        <f>ROUND(SUM(C20)-SUM(K20)+SUM(G20),0)</f>
        <v>0</v>
      </c>
      <c r="N20" s="621"/>
      <c r="O20" s="1548"/>
      <c r="P20" s="621"/>
      <c r="Q20" s="3406">
        <v>0</v>
      </c>
      <c r="R20" s="3406"/>
      <c r="S20" s="3406">
        <v>0</v>
      </c>
      <c r="T20" s="610"/>
      <c r="U20" s="784"/>
      <c r="V20" s="700"/>
      <c r="W20" s="701"/>
    </row>
    <row r="21" spans="1:23">
      <c r="A21" s="606" t="s">
        <v>1179</v>
      </c>
      <c r="C21" s="3406">
        <v>253245477</v>
      </c>
      <c r="D21" s="1508"/>
      <c r="E21" s="3406">
        <v>0</v>
      </c>
      <c r="F21" s="1508"/>
      <c r="G21" s="3406">
        <f t="shared" si="0"/>
        <v>0</v>
      </c>
      <c r="H21" s="3406"/>
      <c r="I21" s="3406">
        <v>0</v>
      </c>
      <c r="J21" s="1508"/>
      <c r="K21" s="3406">
        <v>8764261</v>
      </c>
      <c r="L21" s="1508" t="s">
        <v>14</v>
      </c>
      <c r="M21" s="3406">
        <f>ROUND(SUM(C21)-SUM(K21)+SUM(G21),0)</f>
        <v>244481216</v>
      </c>
      <c r="N21" s="621"/>
      <c r="O21" s="1548"/>
      <c r="P21" s="621"/>
      <c r="Q21" s="3406">
        <v>0</v>
      </c>
      <c r="R21" s="3406"/>
      <c r="S21" s="3406">
        <v>905136</v>
      </c>
      <c r="T21" s="610"/>
      <c r="U21" s="784"/>
      <c r="V21" s="700"/>
      <c r="W21" s="701"/>
    </row>
    <row r="22" spans="1:23">
      <c r="A22" s="606" t="s">
        <v>392</v>
      </c>
      <c r="C22" s="3406">
        <v>7194313</v>
      </c>
      <c r="D22" s="1508"/>
      <c r="E22" s="3406">
        <v>0</v>
      </c>
      <c r="F22" s="1508"/>
      <c r="G22" s="3406">
        <f t="shared" si="0"/>
        <v>0</v>
      </c>
      <c r="H22" s="3406"/>
      <c r="I22" s="3406">
        <v>0</v>
      </c>
      <c r="J22" s="1508"/>
      <c r="K22" s="3406">
        <v>123426</v>
      </c>
      <c r="L22" s="1508" t="s">
        <v>14</v>
      </c>
      <c r="M22" s="3406">
        <f>ROUND(SUM(C22)-SUM(K22)+SUM(G22),0)</f>
        <v>7070887</v>
      </c>
      <c r="N22" s="621"/>
      <c r="O22" s="1548"/>
      <c r="P22" s="621"/>
      <c r="Q22" s="3406">
        <v>0</v>
      </c>
      <c r="R22" s="3406"/>
      <c r="S22" s="3406">
        <v>19483</v>
      </c>
      <c r="T22" s="610"/>
      <c r="U22" s="784"/>
      <c r="V22" s="700"/>
      <c r="W22" s="701"/>
    </row>
    <row r="23" spans="1:23">
      <c r="A23" s="606" t="s">
        <v>883</v>
      </c>
      <c r="C23" s="3406">
        <v>32751773</v>
      </c>
      <c r="D23" s="1508"/>
      <c r="E23" s="3406">
        <v>0</v>
      </c>
      <c r="F23" s="1508"/>
      <c r="G23" s="3406">
        <f t="shared" si="0"/>
        <v>0</v>
      </c>
      <c r="H23" s="3406"/>
      <c r="I23" s="3406">
        <v>0</v>
      </c>
      <c r="J23" s="1508"/>
      <c r="K23" s="3406">
        <v>170000</v>
      </c>
      <c r="L23" s="1508" t="s">
        <v>14</v>
      </c>
      <c r="M23" s="3406">
        <f>ROUND(SUM(C23)-SUM(K23)+SUM(G23),0)</f>
        <v>32581773</v>
      </c>
      <c r="N23" s="621"/>
      <c r="O23" s="1548"/>
      <c r="P23" s="621"/>
      <c r="Q23" s="3406">
        <v>0</v>
      </c>
      <c r="R23" s="3406" t="s">
        <v>14</v>
      </c>
      <c r="S23" s="3406">
        <v>4250</v>
      </c>
      <c r="T23" s="610" t="s">
        <v>14</v>
      </c>
      <c r="U23" s="784"/>
      <c r="V23" s="700"/>
      <c r="W23" s="701"/>
    </row>
    <row r="24" spans="1:23">
      <c r="C24" s="3406"/>
      <c r="D24" s="784"/>
      <c r="E24" s="3405"/>
      <c r="F24" s="784"/>
      <c r="G24" s="3406" t="s">
        <v>14</v>
      </c>
      <c r="H24" s="3405"/>
      <c r="I24" s="3405"/>
      <c r="J24" s="784"/>
      <c r="K24" s="3405"/>
      <c r="L24" s="784"/>
      <c r="M24" s="3406" t="s">
        <v>14</v>
      </c>
      <c r="N24" s="621"/>
      <c r="O24" s="1548"/>
      <c r="P24" s="621"/>
      <c r="Q24" s="3406"/>
      <c r="R24" s="3406"/>
      <c r="S24" s="3406"/>
      <c r="U24" s="612"/>
      <c r="V24" s="700"/>
      <c r="W24" s="701"/>
    </row>
    <row r="25" spans="1:23">
      <c r="A25" s="606" t="s">
        <v>791</v>
      </c>
      <c r="C25" s="3406"/>
      <c r="D25" s="784"/>
      <c r="E25" s="3405"/>
      <c r="F25" s="784"/>
      <c r="G25" s="3406" t="s">
        <v>14</v>
      </c>
      <c r="H25" s="3405"/>
      <c r="I25" s="3405"/>
      <c r="J25" s="784"/>
      <c r="K25" s="3405"/>
      <c r="L25" s="784"/>
      <c r="M25" s="3406" t="s">
        <v>14</v>
      </c>
      <c r="N25" s="621"/>
      <c r="O25" s="1548"/>
      <c r="P25" s="621"/>
      <c r="Q25" s="3406"/>
      <c r="R25" s="3406"/>
      <c r="S25" s="3406"/>
      <c r="U25" s="612"/>
      <c r="V25" s="700"/>
      <c r="W25" s="610"/>
    </row>
    <row r="26" spans="1:23">
      <c r="A26" s="606" t="s">
        <v>899</v>
      </c>
      <c r="C26" s="3406">
        <v>758743</v>
      </c>
      <c r="D26" s="1508"/>
      <c r="E26" s="3406">
        <v>0</v>
      </c>
      <c r="F26" s="1508"/>
      <c r="G26" s="3406">
        <f t="shared" si="0"/>
        <v>0</v>
      </c>
      <c r="H26" s="3406"/>
      <c r="I26" s="3406">
        <v>0</v>
      </c>
      <c r="J26" s="1508"/>
      <c r="K26" s="3406">
        <v>171238</v>
      </c>
      <c r="L26" s="1508"/>
      <c r="M26" s="3406">
        <f>ROUND(SUM(C26)-SUM(K26)+SUM(G26),0)</f>
        <v>587505</v>
      </c>
      <c r="N26" s="621"/>
      <c r="O26" s="1548"/>
      <c r="P26" s="621"/>
      <c r="Q26" s="3406">
        <v>0</v>
      </c>
      <c r="R26" s="3406"/>
      <c r="S26" s="3406">
        <v>15957</v>
      </c>
      <c r="T26" s="610"/>
      <c r="U26" s="784"/>
      <c r="V26" s="700"/>
      <c r="W26" s="701"/>
    </row>
    <row r="27" spans="1:23">
      <c r="C27" s="3406"/>
      <c r="D27" s="784"/>
      <c r="E27" s="3405"/>
      <c r="F27" s="784"/>
      <c r="G27" s="3406" t="s">
        <v>14</v>
      </c>
      <c r="H27" s="3405"/>
      <c r="I27" s="3405"/>
      <c r="J27" s="784"/>
      <c r="K27" s="3405"/>
      <c r="L27" s="784"/>
      <c r="M27" s="3406" t="s">
        <v>14</v>
      </c>
      <c r="N27" s="621"/>
      <c r="O27" s="1548"/>
      <c r="P27" s="621"/>
      <c r="Q27" s="3406"/>
      <c r="R27" s="3406"/>
      <c r="S27" s="3406"/>
      <c r="U27" s="612"/>
      <c r="V27" s="700"/>
      <c r="W27" s="701"/>
    </row>
    <row r="28" spans="1:23">
      <c r="A28" s="606" t="s">
        <v>1134</v>
      </c>
      <c r="C28" s="3406"/>
      <c r="D28" s="784"/>
      <c r="E28" s="3405"/>
      <c r="F28" s="784"/>
      <c r="G28" s="3406" t="s">
        <v>14</v>
      </c>
      <c r="H28" s="3405"/>
      <c r="I28" s="3405"/>
      <c r="J28" s="784"/>
      <c r="K28" s="3405"/>
      <c r="L28" s="784"/>
      <c r="M28" s="3406" t="s">
        <v>14</v>
      </c>
      <c r="N28" s="621"/>
      <c r="O28" s="1548"/>
      <c r="P28" s="621"/>
      <c r="Q28" s="3406"/>
      <c r="R28" s="3406"/>
      <c r="S28" s="3406"/>
      <c r="U28" s="612"/>
      <c r="V28" s="700"/>
    </row>
    <row r="29" spans="1:23">
      <c r="A29" s="606" t="s">
        <v>393</v>
      </c>
      <c r="C29" s="3406">
        <v>0</v>
      </c>
      <c r="D29" s="1508"/>
      <c r="E29" s="3406">
        <v>0</v>
      </c>
      <c r="F29" s="1508"/>
      <c r="G29" s="3406">
        <f t="shared" si="0"/>
        <v>0</v>
      </c>
      <c r="H29" s="3406"/>
      <c r="I29" s="3406">
        <v>0</v>
      </c>
      <c r="J29" s="1508"/>
      <c r="K29" s="3406">
        <v>0</v>
      </c>
      <c r="L29" s="1508"/>
      <c r="M29" s="3406">
        <f>ROUND(SUM(C29)-SUM(K29)+SUM(G29),0)</f>
        <v>0</v>
      </c>
      <c r="N29" s="621"/>
      <c r="O29" s="1548"/>
      <c r="P29" s="621"/>
      <c r="Q29" s="3406">
        <v>0</v>
      </c>
      <c r="R29" s="3406"/>
      <c r="S29" s="3406">
        <v>0</v>
      </c>
      <c r="T29" s="610"/>
      <c r="U29" s="784"/>
      <c r="V29" s="700"/>
      <c r="W29" s="701"/>
    </row>
    <row r="30" spans="1:23">
      <c r="A30" s="606" t="s">
        <v>884</v>
      </c>
      <c r="C30" s="3406">
        <v>3565402</v>
      </c>
      <c r="D30" s="1508"/>
      <c r="E30" s="3406">
        <v>0</v>
      </c>
      <c r="F30" s="1508"/>
      <c r="G30" s="3406">
        <f t="shared" si="0"/>
        <v>0</v>
      </c>
      <c r="H30" s="3406"/>
      <c r="I30" s="3406">
        <v>0</v>
      </c>
      <c r="J30" s="1508" t="s">
        <v>14</v>
      </c>
      <c r="K30" s="3406">
        <v>25000</v>
      </c>
      <c r="L30" s="1508"/>
      <c r="M30" s="3406">
        <f>ROUND(SUM(C30)-SUM(K30)+SUM(G30),0)</f>
        <v>3540402</v>
      </c>
      <c r="N30" s="621"/>
      <c r="O30" s="1548"/>
      <c r="P30" s="621"/>
      <c r="Q30" s="3406">
        <v>0</v>
      </c>
      <c r="R30" s="3406"/>
      <c r="S30" s="3406">
        <v>625</v>
      </c>
      <c r="T30" s="610" t="s">
        <v>14</v>
      </c>
      <c r="U30" s="784" t="s">
        <v>14</v>
      </c>
      <c r="V30" s="700"/>
      <c r="W30" s="701"/>
    </row>
    <row r="31" spans="1:23">
      <c r="A31" s="606" t="s">
        <v>394</v>
      </c>
      <c r="C31" s="3406">
        <v>3665711</v>
      </c>
      <c r="D31" s="1508"/>
      <c r="E31" s="3406">
        <v>0</v>
      </c>
      <c r="F31" s="1508"/>
      <c r="G31" s="3406">
        <f t="shared" si="0"/>
        <v>0</v>
      </c>
      <c r="H31" s="3406"/>
      <c r="I31" s="3406">
        <v>0</v>
      </c>
      <c r="J31" s="1508"/>
      <c r="K31" s="3406">
        <v>650000</v>
      </c>
      <c r="L31" s="1508"/>
      <c r="M31" s="3406">
        <f>ROUND(SUM(C31)-SUM(K31)+SUM(G31),0)</f>
        <v>3015711</v>
      </c>
      <c r="N31" s="621"/>
      <c r="O31" s="1548"/>
      <c r="P31" s="621"/>
      <c r="Q31" s="3406">
        <v>0</v>
      </c>
      <c r="R31" s="3406"/>
      <c r="S31" s="3406">
        <v>25000</v>
      </c>
      <c r="T31" s="610" t="s">
        <v>14</v>
      </c>
      <c r="U31" s="784" t="s">
        <v>14</v>
      </c>
      <c r="V31" s="700"/>
      <c r="W31" s="701"/>
    </row>
    <row r="32" spans="1:23">
      <c r="C32" s="3406"/>
      <c r="D32" s="784"/>
      <c r="E32" s="3405"/>
      <c r="F32" s="784"/>
      <c r="G32" s="3406" t="s">
        <v>14</v>
      </c>
      <c r="H32" s="3405"/>
      <c r="I32" s="3405"/>
      <c r="J32" s="784"/>
      <c r="K32" s="3405"/>
      <c r="L32" s="784"/>
      <c r="M32" s="3406" t="s">
        <v>14</v>
      </c>
      <c r="N32" s="621"/>
      <c r="O32" s="1548"/>
      <c r="P32" s="621"/>
      <c r="Q32" s="3406"/>
      <c r="R32" s="3406"/>
      <c r="S32" s="3406"/>
      <c r="T32" s="610" t="s">
        <v>14</v>
      </c>
      <c r="U32" s="612"/>
      <c r="V32" s="700"/>
      <c r="W32" s="701"/>
    </row>
    <row r="33" spans="1:24">
      <c r="A33" s="606" t="s">
        <v>395</v>
      </c>
      <c r="C33" s="3406"/>
      <c r="D33" s="784"/>
      <c r="E33" s="3405"/>
      <c r="F33" s="784"/>
      <c r="G33" s="3406" t="s">
        <v>14</v>
      </c>
      <c r="H33" s="3405"/>
      <c r="I33" s="3405"/>
      <c r="J33" s="784"/>
      <c r="K33" s="3405"/>
      <c r="L33" s="784"/>
      <c r="M33" s="3406" t="s">
        <v>14</v>
      </c>
      <c r="N33" s="621"/>
      <c r="O33" s="1548"/>
      <c r="P33" s="621"/>
      <c r="Q33" s="3406"/>
      <c r="R33" s="3406"/>
      <c r="S33" s="3406"/>
      <c r="U33" s="612"/>
      <c r="V33" s="700"/>
      <c r="W33" s="610"/>
    </row>
    <row r="34" spans="1:24">
      <c r="A34" s="606" t="s">
        <v>1135</v>
      </c>
      <c r="C34" s="3406">
        <v>2056950</v>
      </c>
      <c r="D34" s="1508"/>
      <c r="E34" s="3406">
        <v>0</v>
      </c>
      <c r="F34" s="1508"/>
      <c r="G34" s="3406">
        <f t="shared" si="0"/>
        <v>0</v>
      </c>
      <c r="H34" s="3406"/>
      <c r="I34" s="3406">
        <v>0</v>
      </c>
      <c r="J34" s="1508"/>
      <c r="K34" s="3406">
        <v>124993</v>
      </c>
      <c r="L34" s="1508" t="s">
        <v>14</v>
      </c>
      <c r="M34" s="3406">
        <f>ROUND(SUM(C34)-SUM(K34)+SUM(G34),0)</f>
        <v>1931957</v>
      </c>
      <c r="N34" s="621"/>
      <c r="O34" s="1548"/>
      <c r="P34" s="621"/>
      <c r="Q34" s="3406">
        <v>0</v>
      </c>
      <c r="R34" s="3406" t="s">
        <v>14</v>
      </c>
      <c r="S34" s="3406">
        <v>6501</v>
      </c>
      <c r="T34" s="610"/>
      <c r="U34" s="784"/>
      <c r="V34" s="700"/>
      <c r="W34" s="701"/>
    </row>
    <row r="35" spans="1:24">
      <c r="A35" s="606" t="s">
        <v>396</v>
      </c>
      <c r="C35" s="3406">
        <v>67959839</v>
      </c>
      <c r="D35" s="1508"/>
      <c r="E35" s="3406">
        <v>0</v>
      </c>
      <c r="F35" s="1508"/>
      <c r="G35" s="3406">
        <f t="shared" si="0"/>
        <v>0</v>
      </c>
      <c r="H35" s="3406"/>
      <c r="I35" s="3406">
        <v>0</v>
      </c>
      <c r="J35" s="1508"/>
      <c r="K35" s="3406">
        <v>7709455</v>
      </c>
      <c r="L35" s="1508"/>
      <c r="M35" s="3406">
        <f>ROUND(SUM(C35)-SUM(K35)+SUM(G35),0)</f>
        <v>60250384</v>
      </c>
      <c r="N35" s="621"/>
      <c r="O35" s="1548"/>
      <c r="P35" s="621"/>
      <c r="Q35" s="3406">
        <v>0</v>
      </c>
      <c r="R35" s="3406"/>
      <c r="S35" s="3406">
        <v>481901</v>
      </c>
      <c r="T35" s="610"/>
      <c r="U35" s="784"/>
      <c r="V35" s="700"/>
      <c r="W35" s="701"/>
      <c r="X35" s="610"/>
    </row>
    <row r="36" spans="1:24">
      <c r="C36" s="3406"/>
      <c r="D36" s="784"/>
      <c r="E36" s="3405"/>
      <c r="F36" s="784"/>
      <c r="G36" s="3406" t="s">
        <v>14</v>
      </c>
      <c r="H36" s="3405"/>
      <c r="I36" s="3405"/>
      <c r="J36" s="784"/>
      <c r="K36" s="3405"/>
      <c r="L36" s="784"/>
      <c r="M36" s="3406" t="s">
        <v>14</v>
      </c>
      <c r="N36" s="621"/>
      <c r="O36" s="1548"/>
      <c r="P36" s="621"/>
      <c r="Q36" s="3406"/>
      <c r="R36" s="3406"/>
      <c r="S36" s="3406"/>
      <c r="U36" s="612"/>
      <c r="V36" s="700"/>
      <c r="W36" s="701"/>
    </row>
    <row r="37" spans="1:24">
      <c r="A37" s="606" t="s">
        <v>397</v>
      </c>
      <c r="C37" s="3406"/>
      <c r="D37" s="784"/>
      <c r="E37" s="3405"/>
      <c r="F37" s="784"/>
      <c r="G37" s="3406" t="s">
        <v>14</v>
      </c>
      <c r="H37" s="3405"/>
      <c r="I37" s="3405"/>
      <c r="J37" s="784"/>
      <c r="K37" s="3405"/>
      <c r="L37" s="784"/>
      <c r="M37" s="3406" t="s">
        <v>14</v>
      </c>
      <c r="N37" s="621"/>
      <c r="O37" s="1548"/>
      <c r="P37" s="621"/>
      <c r="Q37" s="3406"/>
      <c r="R37" s="3406"/>
      <c r="S37" s="3406"/>
      <c r="U37" s="1788"/>
      <c r="V37" s="700"/>
      <c r="W37" s="610"/>
    </row>
    <row r="38" spans="1:24">
      <c r="A38" s="606" t="s">
        <v>1180</v>
      </c>
      <c r="C38" s="3406">
        <v>3005000</v>
      </c>
      <c r="D38" s="1508"/>
      <c r="E38" s="3406">
        <v>0</v>
      </c>
      <c r="F38" s="1508"/>
      <c r="G38" s="3406">
        <f t="shared" si="0"/>
        <v>0</v>
      </c>
      <c r="H38" s="3406"/>
      <c r="I38" s="3406">
        <v>0</v>
      </c>
      <c r="J38" s="1508"/>
      <c r="K38" s="3406">
        <v>0</v>
      </c>
      <c r="L38" s="1508"/>
      <c r="M38" s="3406">
        <f>ROUND(SUM(C38)-SUM(K38)+SUM(G38),0)</f>
        <v>3005000</v>
      </c>
      <c r="N38" s="621"/>
      <c r="O38" s="1548"/>
      <c r="P38" s="621"/>
      <c r="Q38" s="3406">
        <v>0</v>
      </c>
      <c r="R38" s="3406"/>
      <c r="S38" s="3406">
        <v>0</v>
      </c>
      <c r="T38" s="610"/>
      <c r="U38" s="784"/>
      <c r="V38" s="700"/>
      <c r="W38" s="701"/>
    </row>
    <row r="39" spans="1:24">
      <c r="A39" s="606" t="s">
        <v>885</v>
      </c>
      <c r="C39" s="3406">
        <v>515000</v>
      </c>
      <c r="D39" s="1508"/>
      <c r="E39" s="3406">
        <v>0</v>
      </c>
      <c r="F39" s="1508"/>
      <c r="G39" s="3406">
        <f t="shared" si="0"/>
        <v>0</v>
      </c>
      <c r="H39" s="3406"/>
      <c r="I39" s="3406">
        <v>0</v>
      </c>
      <c r="J39" s="1508"/>
      <c r="K39" s="3406">
        <v>0</v>
      </c>
      <c r="L39" s="1508"/>
      <c r="M39" s="3406">
        <f>ROUND(SUM(C39)-SUM(K39)+SUM(G39),0)</f>
        <v>515000</v>
      </c>
      <c r="N39" s="621"/>
      <c r="O39" s="1548"/>
      <c r="P39" s="621"/>
      <c r="Q39" s="3406">
        <v>0</v>
      </c>
      <c r="R39" s="3406"/>
      <c r="S39" s="3406">
        <v>0</v>
      </c>
      <c r="T39" s="610"/>
      <c r="U39" s="784"/>
      <c r="V39" s="700"/>
      <c r="W39" s="701"/>
    </row>
    <row r="40" spans="1:24">
      <c r="C40" s="3406"/>
      <c r="D40" s="784"/>
      <c r="E40" s="3405"/>
      <c r="F40" s="784"/>
      <c r="G40" s="3406" t="s">
        <v>14</v>
      </c>
      <c r="H40" s="3405"/>
      <c r="I40" s="3405"/>
      <c r="J40" s="784"/>
      <c r="K40" s="3405"/>
      <c r="L40" s="784"/>
      <c r="M40" s="3406" t="s">
        <v>14</v>
      </c>
      <c r="N40" s="621"/>
      <c r="O40" s="1548"/>
      <c r="P40" s="621"/>
      <c r="Q40" s="3406"/>
      <c r="R40" s="3406"/>
      <c r="S40" s="3406"/>
      <c r="U40" s="1788"/>
      <c r="V40" s="700"/>
      <c r="W40" s="701"/>
    </row>
    <row r="41" spans="1:24">
      <c r="A41" s="606" t="s">
        <v>886</v>
      </c>
      <c r="C41" s="3406">
        <v>0</v>
      </c>
      <c r="D41" s="1508"/>
      <c r="E41" s="3406">
        <v>0</v>
      </c>
      <c r="F41" s="1508"/>
      <c r="G41" s="3406">
        <f t="shared" si="0"/>
        <v>0</v>
      </c>
      <c r="H41" s="3406"/>
      <c r="I41" s="3406">
        <v>0</v>
      </c>
      <c r="J41" s="1508"/>
      <c r="K41" s="3406">
        <v>0</v>
      </c>
      <c r="L41" s="1508"/>
      <c r="M41" s="3406">
        <f>ROUND(SUM(C41)-SUM(K41)+SUM(G41),0)</f>
        <v>0</v>
      </c>
      <c r="N41" s="621"/>
      <c r="O41" s="1548"/>
      <c r="P41" s="621"/>
      <c r="Q41" s="3406">
        <v>0</v>
      </c>
      <c r="R41" s="3406"/>
      <c r="S41" s="3406">
        <v>0</v>
      </c>
      <c r="T41" s="610"/>
      <c r="U41" s="784"/>
      <c r="V41" s="700"/>
      <c r="W41" s="701"/>
    </row>
    <row r="42" spans="1:24">
      <c r="C42" s="3406"/>
      <c r="D42" s="1508"/>
      <c r="E42" s="3406"/>
      <c r="F42" s="1508"/>
      <c r="G42" s="3406" t="s">
        <v>14</v>
      </c>
      <c r="H42" s="3406"/>
      <c r="I42" s="3406"/>
      <c r="J42" s="1508"/>
      <c r="K42" s="3406"/>
      <c r="L42" s="1508"/>
      <c r="M42" s="3406" t="s">
        <v>14</v>
      </c>
      <c r="N42" s="621"/>
      <c r="O42" s="1548"/>
      <c r="P42" s="621"/>
      <c r="Q42" s="3406"/>
      <c r="R42" s="3406"/>
      <c r="S42" s="3406"/>
      <c r="U42" s="1788"/>
      <c r="V42" s="700"/>
      <c r="W42" s="701"/>
    </row>
    <row r="43" spans="1:24">
      <c r="A43" s="606" t="s">
        <v>398</v>
      </c>
      <c r="C43" s="3406">
        <v>12359481</v>
      </c>
      <c r="D43" s="1508"/>
      <c r="E43" s="3406">
        <v>0</v>
      </c>
      <c r="F43" s="1508"/>
      <c r="G43" s="3406">
        <f t="shared" si="0"/>
        <v>0</v>
      </c>
      <c r="H43" s="3406"/>
      <c r="I43" s="3406">
        <v>0</v>
      </c>
      <c r="J43" s="1508"/>
      <c r="K43" s="3406">
        <v>834926</v>
      </c>
      <c r="L43" s="1508"/>
      <c r="M43" s="3406">
        <f>ROUND(SUM(C43)-SUM(K43)+SUM(G43),0)</f>
        <v>11524555</v>
      </c>
      <c r="N43" s="621"/>
      <c r="O43" s="1548"/>
      <c r="P43" s="621"/>
      <c r="Q43" s="3406">
        <v>0</v>
      </c>
      <c r="R43" s="3406"/>
      <c r="S43" s="3406">
        <v>86686</v>
      </c>
      <c r="T43" s="610"/>
      <c r="U43" s="784"/>
      <c r="V43" s="700"/>
      <c r="W43" s="701"/>
    </row>
    <row r="44" spans="1:24">
      <c r="C44" s="3406"/>
      <c r="D44" s="1508"/>
      <c r="E44" s="3406"/>
      <c r="F44" s="1508"/>
      <c r="G44" s="3406" t="s">
        <v>14</v>
      </c>
      <c r="H44" s="3406"/>
      <c r="I44" s="3406"/>
      <c r="J44" s="1508"/>
      <c r="K44" s="3406"/>
      <c r="L44" s="1508"/>
      <c r="M44" s="3406" t="s">
        <v>14</v>
      </c>
      <c r="N44" s="621"/>
      <c r="O44" s="1548"/>
      <c r="P44" s="621"/>
      <c r="Q44" s="3406"/>
      <c r="R44" s="3406"/>
      <c r="S44" s="3406"/>
      <c r="U44" s="754"/>
      <c r="V44" s="700"/>
      <c r="W44" s="701"/>
    </row>
    <row r="45" spans="1:24">
      <c r="A45" s="606" t="s">
        <v>399</v>
      </c>
      <c r="C45" s="3406">
        <v>0</v>
      </c>
      <c r="D45" s="1508"/>
      <c r="E45" s="3406">
        <v>0</v>
      </c>
      <c r="F45" s="1508"/>
      <c r="G45" s="3406">
        <f t="shared" si="0"/>
        <v>0</v>
      </c>
      <c r="H45" s="3406"/>
      <c r="I45" s="3406">
        <v>0</v>
      </c>
      <c r="J45" s="1508"/>
      <c r="K45" s="3406">
        <v>0</v>
      </c>
      <c r="L45" s="1508"/>
      <c r="M45" s="3406">
        <f>ROUND(SUM(C45)-SUM(K45)+SUM(G45),0)</f>
        <v>0</v>
      </c>
      <c r="N45" s="621"/>
      <c r="O45" s="1548"/>
      <c r="P45" s="621"/>
      <c r="Q45" s="3406">
        <v>0</v>
      </c>
      <c r="R45" s="3406"/>
      <c r="S45" s="3406">
        <v>0</v>
      </c>
      <c r="T45" s="610"/>
      <c r="U45" s="784"/>
      <c r="V45" s="700"/>
      <c r="W45" s="701"/>
    </row>
    <row r="46" spans="1:24">
      <c r="C46" s="3406"/>
      <c r="D46" s="1508"/>
      <c r="E46" s="3406"/>
      <c r="F46" s="1508"/>
      <c r="G46" s="3406" t="s">
        <v>14</v>
      </c>
      <c r="H46" s="3406"/>
      <c r="I46" s="3406"/>
      <c r="J46" s="1508"/>
      <c r="K46" s="3406"/>
      <c r="L46" s="1508"/>
      <c r="M46" s="3406" t="s">
        <v>14</v>
      </c>
      <c r="N46" s="621"/>
      <c r="O46" s="1548"/>
      <c r="P46" s="621"/>
      <c r="Q46" s="3406"/>
      <c r="R46" s="3406"/>
      <c r="S46" s="3406"/>
      <c r="U46" s="612"/>
      <c r="V46" s="700"/>
      <c r="W46" s="701"/>
    </row>
    <row r="47" spans="1:24">
      <c r="A47" s="606" t="s">
        <v>400</v>
      </c>
      <c r="C47" s="3406"/>
      <c r="D47" s="1509"/>
      <c r="E47" s="3407"/>
      <c r="F47" s="1509"/>
      <c r="G47" s="3406" t="s">
        <v>14</v>
      </c>
      <c r="H47" s="3407"/>
      <c r="I47" s="3407"/>
      <c r="J47" s="1509"/>
      <c r="K47" s="3407" t="s">
        <v>14</v>
      </c>
      <c r="L47" s="1509"/>
      <c r="M47" s="3406" t="s">
        <v>14</v>
      </c>
      <c r="N47" s="621"/>
      <c r="O47" s="1548"/>
      <c r="P47" s="621"/>
      <c r="Q47" s="3406"/>
      <c r="R47" s="3406"/>
      <c r="S47" s="3406"/>
      <c r="U47" s="1788"/>
      <c r="V47" s="700"/>
      <c r="W47" s="701"/>
    </row>
    <row r="48" spans="1:24">
      <c r="A48" s="606" t="s">
        <v>401</v>
      </c>
      <c r="C48" s="3406">
        <v>514054113</v>
      </c>
      <c r="D48" s="1509"/>
      <c r="E48" s="3407">
        <v>0</v>
      </c>
      <c r="F48" s="1509"/>
      <c r="G48" s="3406">
        <f t="shared" si="0"/>
        <v>0</v>
      </c>
      <c r="H48" s="3407"/>
      <c r="I48" s="3407">
        <v>0</v>
      </c>
      <c r="J48" s="1509"/>
      <c r="K48" s="3407">
        <v>0</v>
      </c>
      <c r="L48" s="1509" t="s">
        <v>14</v>
      </c>
      <c r="M48" s="3406">
        <f t="shared" ref="M48:M53" si="1">ROUND(SUM(C48)-SUM(K48)+SUM(G48),0)</f>
        <v>514054113</v>
      </c>
      <c r="N48" s="621"/>
      <c r="O48" s="1548"/>
      <c r="P48" s="621"/>
      <c r="Q48" s="3406">
        <v>0</v>
      </c>
      <c r="R48" s="3406"/>
      <c r="S48" s="3406">
        <v>0</v>
      </c>
      <c r="T48" s="1549"/>
      <c r="U48" s="784"/>
      <c r="V48" s="700"/>
      <c r="W48" s="701"/>
    </row>
    <row r="49" spans="1:23">
      <c r="A49" s="606" t="s">
        <v>402</v>
      </c>
      <c r="C49" s="3406">
        <v>5743603</v>
      </c>
      <c r="D49" s="1509"/>
      <c r="E49" s="3407">
        <v>0</v>
      </c>
      <c r="F49" s="1509"/>
      <c r="G49" s="3406">
        <f t="shared" si="0"/>
        <v>0</v>
      </c>
      <c r="H49" s="3407"/>
      <c r="I49" s="3407">
        <v>0</v>
      </c>
      <c r="J49" s="1509" t="s">
        <v>14</v>
      </c>
      <c r="K49" s="3407">
        <v>0</v>
      </c>
      <c r="L49" s="1509"/>
      <c r="M49" s="3406">
        <f t="shared" si="1"/>
        <v>5743603</v>
      </c>
      <c r="N49" s="621"/>
      <c r="O49" s="1548"/>
      <c r="P49" s="621"/>
      <c r="Q49" s="3406">
        <v>0</v>
      </c>
      <c r="R49" s="3406" t="s">
        <v>14</v>
      </c>
      <c r="S49" s="3406">
        <v>0</v>
      </c>
      <c r="T49" s="1549" t="s">
        <v>14</v>
      </c>
      <c r="U49" s="784"/>
      <c r="V49" s="700"/>
      <c r="W49" s="701"/>
    </row>
    <row r="50" spans="1:23">
      <c r="A50" s="606" t="s">
        <v>403</v>
      </c>
      <c r="C50" s="3406">
        <v>38978054</v>
      </c>
      <c r="D50" s="1509"/>
      <c r="E50" s="3407">
        <v>0</v>
      </c>
      <c r="F50" s="1509"/>
      <c r="G50" s="3406">
        <f t="shared" si="0"/>
        <v>0</v>
      </c>
      <c r="H50" s="3407"/>
      <c r="I50" s="3407">
        <v>0</v>
      </c>
      <c r="J50" s="1509"/>
      <c r="K50" s="3407">
        <v>0</v>
      </c>
      <c r="L50" s="1509"/>
      <c r="M50" s="3406">
        <f t="shared" si="1"/>
        <v>38978054</v>
      </c>
      <c r="N50" s="621"/>
      <c r="O50" s="1548"/>
      <c r="P50" s="621"/>
      <c r="Q50" s="3406">
        <v>0</v>
      </c>
      <c r="R50" s="3406" t="s">
        <v>14</v>
      </c>
      <c r="S50" s="3406">
        <v>0</v>
      </c>
      <c r="T50" s="1549" t="s">
        <v>14</v>
      </c>
      <c r="U50" s="784"/>
      <c r="V50" s="700"/>
      <c r="W50" s="701"/>
    </row>
    <row r="51" spans="1:23">
      <c r="A51" s="606" t="s">
        <v>404</v>
      </c>
      <c r="C51" s="3406">
        <v>84738358</v>
      </c>
      <c r="D51" s="1509"/>
      <c r="E51" s="3407">
        <v>0</v>
      </c>
      <c r="F51" s="1509"/>
      <c r="G51" s="3406">
        <f t="shared" si="0"/>
        <v>0</v>
      </c>
      <c r="H51" s="3407"/>
      <c r="I51" s="3407">
        <v>0</v>
      </c>
      <c r="J51" s="1509"/>
      <c r="K51" s="3407">
        <v>0</v>
      </c>
      <c r="L51" s="1509"/>
      <c r="M51" s="3406">
        <f t="shared" si="1"/>
        <v>84738358</v>
      </c>
      <c r="N51" s="621"/>
      <c r="O51" s="1548"/>
      <c r="P51" s="621"/>
      <c r="Q51" s="3406">
        <v>0</v>
      </c>
      <c r="R51" s="3406"/>
      <c r="S51" s="3406">
        <v>0</v>
      </c>
      <c r="T51" s="1549"/>
      <c r="U51" s="784"/>
      <c r="V51" s="700"/>
      <c r="W51" s="701"/>
    </row>
    <row r="52" spans="1:23">
      <c r="A52" s="606" t="s">
        <v>405</v>
      </c>
      <c r="C52" s="3406">
        <v>12280646</v>
      </c>
      <c r="D52" s="1509"/>
      <c r="E52" s="3407">
        <v>0</v>
      </c>
      <c r="F52" s="1509"/>
      <c r="G52" s="3406">
        <f t="shared" si="0"/>
        <v>0</v>
      </c>
      <c r="H52" s="3407"/>
      <c r="I52" s="3407">
        <v>0</v>
      </c>
      <c r="J52" s="1509"/>
      <c r="K52" s="3407">
        <v>0</v>
      </c>
      <c r="L52" s="1509"/>
      <c r="M52" s="3406">
        <f t="shared" si="1"/>
        <v>12280646</v>
      </c>
      <c r="N52" s="621"/>
      <c r="O52" s="1548"/>
      <c r="P52" s="621"/>
      <c r="Q52" s="3406">
        <v>0</v>
      </c>
      <c r="R52" s="3406" t="s">
        <v>14</v>
      </c>
      <c r="S52" s="3406">
        <v>0</v>
      </c>
      <c r="T52" s="1549" t="s">
        <v>14</v>
      </c>
      <c r="U52" s="784"/>
      <c r="V52" s="700"/>
      <c r="W52" s="701"/>
    </row>
    <row r="53" spans="1:23">
      <c r="A53" s="606" t="s">
        <v>792</v>
      </c>
      <c r="C53" s="3406">
        <v>665384487</v>
      </c>
      <c r="D53" s="1508"/>
      <c r="E53" s="3406">
        <v>0</v>
      </c>
      <c r="F53" s="1508"/>
      <c r="G53" s="3406">
        <f t="shared" si="0"/>
        <v>0</v>
      </c>
      <c r="H53" s="3406"/>
      <c r="I53" s="3406">
        <v>0</v>
      </c>
      <c r="J53" s="1508" t="s">
        <v>14</v>
      </c>
      <c r="K53" s="3406">
        <v>0</v>
      </c>
      <c r="L53" s="1508"/>
      <c r="M53" s="3406">
        <f t="shared" si="1"/>
        <v>665384487</v>
      </c>
      <c r="N53" s="621"/>
      <c r="O53" s="1548"/>
      <c r="P53" s="621"/>
      <c r="Q53" s="3406">
        <v>0</v>
      </c>
      <c r="R53" s="3406"/>
      <c r="S53" s="3406">
        <v>0</v>
      </c>
      <c r="T53" s="1549"/>
      <c r="U53" s="784"/>
      <c r="V53" s="700"/>
      <c r="W53" s="701"/>
    </row>
    <row r="54" spans="1:23">
      <c r="C54" s="3406"/>
      <c r="D54" s="1508"/>
      <c r="E54" s="3406"/>
      <c r="F54" s="1508"/>
      <c r="G54" s="3406" t="s">
        <v>14</v>
      </c>
      <c r="H54" s="3406"/>
      <c r="I54" s="3406"/>
      <c r="J54" s="1508"/>
      <c r="K54" s="3406"/>
      <c r="L54" s="1508"/>
      <c r="M54" s="3406" t="s">
        <v>14</v>
      </c>
      <c r="N54" s="621"/>
      <c r="O54" s="1548"/>
      <c r="P54" s="621"/>
      <c r="Q54" s="3406"/>
      <c r="R54" s="3406"/>
      <c r="S54" s="3406"/>
      <c r="U54" s="612"/>
      <c r="V54" s="700"/>
      <c r="W54" s="701"/>
    </row>
    <row r="55" spans="1:23">
      <c r="A55" s="606" t="s">
        <v>793</v>
      </c>
      <c r="C55" s="3406"/>
      <c r="D55" s="1508"/>
      <c r="E55" s="3406"/>
      <c r="F55" s="1508"/>
      <c r="G55" s="3406" t="s">
        <v>14</v>
      </c>
      <c r="H55" s="3406"/>
      <c r="I55" s="3406"/>
      <c r="J55" s="1508"/>
      <c r="K55" s="3406"/>
      <c r="L55" s="1508"/>
      <c r="M55" s="3406" t="s">
        <v>14</v>
      </c>
      <c r="N55" s="621"/>
      <c r="O55" s="1548"/>
      <c r="P55" s="621"/>
      <c r="Q55" s="3406"/>
      <c r="R55" s="3406"/>
      <c r="S55" s="3406"/>
      <c r="U55" s="1788"/>
      <c r="V55" s="700"/>
      <c r="W55" s="610"/>
    </row>
    <row r="56" spans="1:23">
      <c r="A56" s="606" t="s">
        <v>887</v>
      </c>
      <c r="C56" s="3406">
        <v>177295</v>
      </c>
      <c r="D56" s="1508"/>
      <c r="E56" s="3406">
        <v>0</v>
      </c>
      <c r="F56" s="1508"/>
      <c r="G56" s="3406">
        <f t="shared" si="0"/>
        <v>0</v>
      </c>
      <c r="H56" s="3406"/>
      <c r="I56" s="3406">
        <v>0</v>
      </c>
      <c r="J56" s="1508"/>
      <c r="K56" s="3406">
        <v>0</v>
      </c>
      <c r="L56" s="1508"/>
      <c r="M56" s="3406">
        <f>ROUND(SUM(C56)-SUM(K56)+SUM(G56),0)</f>
        <v>177295</v>
      </c>
      <c r="N56" s="621"/>
      <c r="O56" s="1548"/>
      <c r="P56" s="621"/>
      <c r="Q56" s="3406">
        <v>0</v>
      </c>
      <c r="R56" s="3406"/>
      <c r="S56" s="3406">
        <v>0</v>
      </c>
      <c r="T56" s="610" t="s">
        <v>14</v>
      </c>
      <c r="U56" s="784"/>
      <c r="V56" s="700"/>
      <c r="W56" s="701"/>
    </row>
    <row r="57" spans="1:23">
      <c r="A57" s="890" t="s">
        <v>860</v>
      </c>
      <c r="C57" s="3406">
        <v>1170256</v>
      </c>
      <c r="D57" s="1508"/>
      <c r="E57" s="3406">
        <v>0</v>
      </c>
      <c r="F57" s="1508"/>
      <c r="G57" s="3406">
        <f t="shared" si="0"/>
        <v>0</v>
      </c>
      <c r="H57" s="3406"/>
      <c r="I57" s="3406">
        <v>0</v>
      </c>
      <c r="J57" s="1508"/>
      <c r="K57" s="3406">
        <v>371992</v>
      </c>
      <c r="L57" s="1508"/>
      <c r="M57" s="3406">
        <f>ROUND(SUM(C57)-SUM(K57)+SUM(G57),0)</f>
        <v>798264</v>
      </c>
      <c r="N57" s="621"/>
      <c r="O57" s="1548"/>
      <c r="P57" s="621"/>
      <c r="Q57" s="3655">
        <v>0</v>
      </c>
      <c r="R57" s="3655"/>
      <c r="S57" s="3655">
        <v>27562</v>
      </c>
      <c r="T57" s="610" t="s">
        <v>14</v>
      </c>
      <c r="U57" s="784"/>
      <c r="V57" s="700"/>
      <c r="W57" s="701"/>
    </row>
    <row r="58" spans="1:23" ht="13.5" customHeight="1">
      <c r="C58" s="3406"/>
      <c r="D58" s="1508"/>
      <c r="E58" s="3406"/>
      <c r="F58" s="1508"/>
      <c r="G58" s="3406" t="s">
        <v>14</v>
      </c>
      <c r="H58" s="3406"/>
      <c r="I58" s="3406"/>
      <c r="J58" s="1508"/>
      <c r="K58" s="3406"/>
      <c r="L58" s="1508"/>
      <c r="M58" s="3406" t="s">
        <v>14</v>
      </c>
      <c r="N58" s="621"/>
      <c r="O58" s="1548"/>
      <c r="P58" s="621"/>
      <c r="Q58" s="3406"/>
      <c r="R58" s="3406"/>
      <c r="S58" s="3406"/>
      <c r="T58" s="606" t="s">
        <v>14</v>
      </c>
      <c r="U58" s="612"/>
      <c r="V58" s="700"/>
      <c r="W58" s="701"/>
    </row>
    <row r="59" spans="1:23">
      <c r="A59" s="606" t="s">
        <v>1165</v>
      </c>
      <c r="C59" s="3406">
        <v>276269806</v>
      </c>
      <c r="D59" s="1508"/>
      <c r="E59" s="3406">
        <v>0</v>
      </c>
      <c r="F59" s="1508"/>
      <c r="G59" s="3406">
        <f t="shared" si="0"/>
        <v>0</v>
      </c>
      <c r="H59" s="3406"/>
      <c r="I59" s="3406">
        <v>0</v>
      </c>
      <c r="J59" s="1508"/>
      <c r="K59" s="3406">
        <v>0</v>
      </c>
      <c r="L59" s="1508"/>
      <c r="M59" s="3406">
        <f>ROUND(SUM(C59)-SUM(K59)+SUM(G59),0)</f>
        <v>276269806</v>
      </c>
      <c r="N59" s="621"/>
      <c r="O59" s="1548"/>
      <c r="P59" s="621"/>
      <c r="Q59" s="3406">
        <v>0</v>
      </c>
      <c r="R59" s="3406"/>
      <c r="S59" s="3406">
        <v>0</v>
      </c>
      <c r="T59" s="610"/>
      <c r="U59" s="784"/>
      <c r="V59" s="700"/>
      <c r="W59" s="701"/>
    </row>
    <row r="60" spans="1:23" ht="13.5" customHeight="1">
      <c r="C60" s="3406"/>
      <c r="D60" s="1508"/>
      <c r="E60" s="3406"/>
      <c r="F60" s="1508"/>
      <c r="G60" s="3406" t="s">
        <v>14</v>
      </c>
      <c r="H60" s="3406"/>
      <c r="I60" s="3406"/>
      <c r="J60" s="1508"/>
      <c r="K60" s="3406"/>
      <c r="L60" s="1508"/>
      <c r="M60" s="3406" t="s">
        <v>14</v>
      </c>
      <c r="N60" s="621"/>
      <c r="O60" s="1548"/>
      <c r="P60" s="621"/>
      <c r="Q60" s="3406"/>
      <c r="R60" s="3406"/>
      <c r="S60" s="3406"/>
      <c r="U60" s="612"/>
      <c r="V60" s="700"/>
      <c r="W60" s="701"/>
    </row>
    <row r="61" spans="1:23">
      <c r="A61" s="606" t="s">
        <v>406</v>
      </c>
      <c r="C61" s="3406"/>
      <c r="D61" s="1508"/>
      <c r="E61" s="3406"/>
      <c r="F61" s="1508"/>
      <c r="G61" s="3406"/>
      <c r="H61" s="3406"/>
      <c r="I61" s="3406"/>
      <c r="J61" s="1508"/>
      <c r="K61" s="3406"/>
      <c r="L61" s="1508"/>
      <c r="M61" s="3406" t="s">
        <v>14</v>
      </c>
      <c r="N61" s="621"/>
      <c r="O61" s="1548"/>
      <c r="P61" s="621"/>
      <c r="Q61" s="3406"/>
      <c r="R61" s="3406"/>
      <c r="S61" s="3406"/>
      <c r="U61" s="1788"/>
      <c r="V61" s="700"/>
      <c r="W61" s="610"/>
    </row>
    <row r="62" spans="1:23">
      <c r="A62" s="606" t="s">
        <v>403</v>
      </c>
      <c r="C62" s="3406">
        <v>810810</v>
      </c>
      <c r="D62" s="1508"/>
      <c r="E62" s="3406">
        <v>0</v>
      </c>
      <c r="F62" s="1508"/>
      <c r="G62" s="3406">
        <f t="shared" si="0"/>
        <v>0</v>
      </c>
      <c r="H62" s="3406"/>
      <c r="I62" s="3406">
        <v>0</v>
      </c>
      <c r="J62" s="1508"/>
      <c r="K62" s="3406">
        <v>312300</v>
      </c>
      <c r="L62" s="1508"/>
      <c r="M62" s="3406">
        <f>ROUND(SUM(C62)-SUM(K62)+SUM(G62),0)</f>
        <v>498510</v>
      </c>
      <c r="N62" s="621"/>
      <c r="O62" s="1548"/>
      <c r="P62" s="621"/>
      <c r="Q62" s="3406">
        <v>0</v>
      </c>
      <c r="R62" s="3406"/>
      <c r="S62" s="3406">
        <v>19717</v>
      </c>
      <c r="T62" s="610" t="s">
        <v>14</v>
      </c>
      <c r="U62" s="784"/>
      <c r="V62" s="700"/>
      <c r="W62" s="701"/>
    </row>
    <row r="63" spans="1:23">
      <c r="A63" s="606" t="s">
        <v>407</v>
      </c>
      <c r="C63" s="3406">
        <v>0</v>
      </c>
      <c r="D63" s="1508"/>
      <c r="E63" s="3406">
        <v>0</v>
      </c>
      <c r="F63" s="1508"/>
      <c r="G63" s="3406">
        <f t="shared" si="0"/>
        <v>0</v>
      </c>
      <c r="H63" s="3406"/>
      <c r="I63" s="3406">
        <v>0</v>
      </c>
      <c r="J63" s="1508"/>
      <c r="K63" s="1508">
        <v>0</v>
      </c>
      <c r="L63" s="1508"/>
      <c r="M63" s="3406">
        <f>ROUND(SUM(C63)-SUM(K63)+SUM(G63),0)</f>
        <v>0</v>
      </c>
      <c r="N63" s="621"/>
      <c r="O63" s="1548"/>
      <c r="P63" s="621"/>
      <c r="Q63" s="3406">
        <v>0</v>
      </c>
      <c r="R63" s="3406"/>
      <c r="S63" s="3406">
        <v>0</v>
      </c>
      <c r="T63" s="610"/>
      <c r="U63" s="784"/>
      <c r="V63" s="700"/>
      <c r="W63" s="701"/>
    </row>
    <row r="64" spans="1:23">
      <c r="B64" s="621"/>
      <c r="C64" s="3412"/>
      <c r="D64" s="1550"/>
      <c r="E64" s="3408"/>
      <c r="F64" s="1550"/>
      <c r="G64" s="3408"/>
      <c r="H64" s="3408"/>
      <c r="I64" s="3408"/>
      <c r="J64" s="3408"/>
      <c r="K64" s="3408"/>
      <c r="L64" s="3408"/>
      <c r="M64" s="3408"/>
      <c r="N64" s="621"/>
      <c r="O64" s="1548"/>
      <c r="P64" s="621"/>
      <c r="Q64" s="1551"/>
      <c r="R64" s="621"/>
      <c r="S64" s="1552"/>
      <c r="T64" s="616"/>
    </row>
    <row r="65" spans="1:23" ht="15" customHeight="1" thickBot="1">
      <c r="A65" s="608" t="s">
        <v>408</v>
      </c>
      <c r="B65" s="1553"/>
      <c r="C65" s="3409">
        <f>ROUND(SUM(C16:C63),2)</f>
        <v>1996264999</v>
      </c>
      <c r="D65" s="2092"/>
      <c r="E65" s="3409">
        <f>ROUND(SUM(E16:E64),2)</f>
        <v>0</v>
      </c>
      <c r="F65" s="2092"/>
      <c r="G65" s="3409">
        <f>ROUND(SUM(G16:G63),2)</f>
        <v>0</v>
      </c>
      <c r="H65" s="1553"/>
      <c r="I65" s="3409">
        <f>ROUND(SUM(I16:I63),2)</f>
        <v>0</v>
      </c>
      <c r="J65" s="1553"/>
      <c r="K65" s="3409">
        <f>ROUND(SUM(K16:K63),0)</f>
        <v>20070000</v>
      </c>
      <c r="L65" s="1553"/>
      <c r="M65" s="3409">
        <f>ROUND(SUM(M16:M63),2)</f>
        <v>1976194999</v>
      </c>
      <c r="N65" s="1554"/>
      <c r="O65" s="1555"/>
      <c r="P65" s="1553"/>
      <c r="Q65" s="3409">
        <f>ROUND(SUM(Q16:Q63),2)</f>
        <v>0</v>
      </c>
      <c r="R65" s="1553"/>
      <c r="S65" s="3409">
        <f>ROUND(SUM(S16:S63),0)</f>
        <v>1655322</v>
      </c>
      <c r="T65" s="1556"/>
      <c r="U65" s="2092"/>
      <c r="V65" s="755"/>
      <c r="W65" s="755"/>
    </row>
    <row r="66" spans="1:23" ht="15" customHeight="1" thickTop="1">
      <c r="A66" s="1557"/>
      <c r="B66" s="1558"/>
      <c r="C66" s="850"/>
      <c r="D66" s="1556"/>
      <c r="E66" s="1559"/>
      <c r="F66" s="1556"/>
      <c r="G66" s="1559"/>
      <c r="H66" s="1558"/>
      <c r="I66" s="1556"/>
      <c r="J66" s="1558"/>
      <c r="K66" s="1560"/>
      <c r="L66" s="1558"/>
      <c r="M66" s="850"/>
      <c r="N66" s="608"/>
      <c r="O66" s="608"/>
      <c r="P66" s="1558"/>
      <c r="Q66" s="1560"/>
      <c r="R66" s="1558"/>
      <c r="S66" s="1556"/>
      <c r="U66" s="756"/>
      <c r="V66" s="756"/>
      <c r="W66" s="756"/>
    </row>
    <row r="67" spans="1:23">
      <c r="A67" s="3738"/>
      <c r="B67" s="616"/>
      <c r="C67" s="854"/>
      <c r="D67" s="616"/>
      <c r="E67" s="616"/>
      <c r="F67" s="616"/>
      <c r="H67" s="621"/>
      <c r="I67" s="606"/>
      <c r="J67" s="621"/>
      <c r="K67" s="3730" t="s">
        <v>14</v>
      </c>
      <c r="L67" s="621"/>
      <c r="N67" s="616"/>
      <c r="P67" s="702"/>
    </row>
    <row r="68" spans="1:23">
      <c r="A68" s="702"/>
      <c r="C68" s="854" t="s">
        <v>14</v>
      </c>
      <c r="D68" s="616" t="s">
        <v>1151</v>
      </c>
      <c r="E68" s="757"/>
      <c r="F68" s="616"/>
      <c r="G68" s="616"/>
      <c r="H68" s="700"/>
      <c r="I68" s="621"/>
      <c r="J68" s="700"/>
      <c r="K68" s="3404" t="s">
        <v>14</v>
      </c>
      <c r="L68" s="701"/>
      <c r="M68" s="783" t="s">
        <v>14</v>
      </c>
      <c r="O68" s="616"/>
      <c r="P68" s="701"/>
      <c r="Q68" s="1814"/>
      <c r="R68" s="610"/>
      <c r="S68" s="1814"/>
    </row>
    <row r="69" spans="1:23">
      <c r="A69" s="622"/>
      <c r="C69" s="783" t="s">
        <v>14</v>
      </c>
      <c r="E69" s="1561"/>
      <c r="G69" s="620"/>
      <c r="I69" s="612"/>
      <c r="K69" s="612" t="s">
        <v>14</v>
      </c>
      <c r="Q69" s="610"/>
      <c r="S69" s="610"/>
      <c r="T69" s="609"/>
    </row>
    <row r="70" spans="1:23">
      <c r="C70" s="783" t="s">
        <v>14</v>
      </c>
      <c r="E70" s="621"/>
      <c r="G70" s="621"/>
      <c r="K70" s="3798"/>
      <c r="M70" s="784"/>
      <c r="O70" s="616"/>
      <c r="Q70" s="702"/>
    </row>
    <row r="71" spans="1:23">
      <c r="C71" s="783" t="s">
        <v>14</v>
      </c>
      <c r="D71" s="610"/>
      <c r="E71" s="611"/>
      <c r="F71" s="610"/>
      <c r="G71" s="611"/>
      <c r="I71" s="612"/>
      <c r="K71" s="612" t="s">
        <v>14</v>
      </c>
      <c r="M71" s="613"/>
      <c r="O71" s="616"/>
      <c r="Q71" s="617"/>
      <c r="S71" s="610"/>
    </row>
    <row r="72" spans="1:23">
      <c r="C72" s="783" t="s">
        <v>14</v>
      </c>
      <c r="D72" s="610"/>
      <c r="E72" s="611"/>
      <c r="F72" s="610"/>
      <c r="G72" s="701"/>
      <c r="I72" s="612"/>
      <c r="K72" s="612"/>
      <c r="M72" s="851"/>
      <c r="O72" s="616"/>
      <c r="Q72" s="701"/>
      <c r="S72" s="610"/>
    </row>
    <row r="73" spans="1:23">
      <c r="D73" s="610"/>
      <c r="E73" s="611"/>
      <c r="F73" s="610"/>
      <c r="G73" s="699"/>
      <c r="I73" s="612"/>
      <c r="K73" s="612"/>
      <c r="M73" s="784"/>
      <c r="O73" s="616"/>
      <c r="Q73" s="754"/>
      <c r="S73" s="610"/>
    </row>
    <row r="74" spans="1:23">
      <c r="D74" s="610"/>
      <c r="E74" s="611"/>
      <c r="F74" s="610"/>
      <c r="G74" s="611"/>
      <c r="I74" s="612"/>
      <c r="K74" s="612"/>
      <c r="M74" s="613"/>
      <c r="O74" s="616"/>
      <c r="Q74" s="617"/>
      <c r="S74" s="610"/>
      <c r="T74" s="609"/>
    </row>
    <row r="75" spans="1:23">
      <c r="D75" s="610"/>
      <c r="E75" s="611"/>
      <c r="F75" s="610"/>
      <c r="G75" s="611"/>
      <c r="I75" s="612"/>
      <c r="K75" s="612"/>
      <c r="M75" s="613"/>
      <c r="O75" s="616"/>
      <c r="Q75" s="617"/>
      <c r="S75" s="610"/>
    </row>
    <row r="76" spans="1:23">
      <c r="D76" s="610"/>
      <c r="E76" s="611"/>
      <c r="F76" s="610"/>
      <c r="G76" s="701"/>
      <c r="I76" s="612"/>
      <c r="K76" s="612"/>
      <c r="M76" s="851"/>
      <c r="O76" s="616"/>
      <c r="Q76" s="701"/>
      <c r="S76" s="610"/>
    </row>
    <row r="77" spans="1:23">
      <c r="D77" s="610"/>
      <c r="E77" s="611"/>
      <c r="F77" s="610"/>
      <c r="G77" s="699"/>
      <c r="I77" s="612"/>
      <c r="K77" s="612"/>
      <c r="M77" s="784"/>
      <c r="O77" s="616"/>
      <c r="Q77" s="754"/>
      <c r="S77" s="610"/>
    </row>
    <row r="78" spans="1:23">
      <c r="B78" s="616"/>
      <c r="C78" s="854"/>
      <c r="D78" s="758"/>
      <c r="E78" s="759"/>
      <c r="F78" s="758"/>
      <c r="G78" s="759"/>
      <c r="H78" s="616"/>
      <c r="I78" s="760"/>
      <c r="J78" s="616"/>
      <c r="K78" s="760"/>
      <c r="L78" s="616"/>
      <c r="M78" s="852"/>
      <c r="N78" s="616"/>
      <c r="O78" s="616"/>
      <c r="P78" s="616"/>
      <c r="Q78" s="761"/>
      <c r="R78" s="616"/>
      <c r="S78" s="758"/>
    </row>
    <row r="79" spans="1:23">
      <c r="A79" s="616"/>
      <c r="B79" s="616"/>
      <c r="C79" s="3413"/>
      <c r="D79" s="615"/>
      <c r="E79" s="762"/>
      <c r="F79" s="615"/>
      <c r="G79" s="762"/>
      <c r="H79" s="614"/>
      <c r="I79" s="618"/>
      <c r="J79" s="614"/>
      <c r="K79" s="618"/>
      <c r="L79" s="614"/>
      <c r="M79" s="853"/>
      <c r="N79" s="614"/>
      <c r="O79" s="614"/>
      <c r="P79" s="614"/>
      <c r="Q79" s="762"/>
      <c r="R79" s="614"/>
      <c r="S79" s="615"/>
    </row>
    <row r="80" spans="1:23">
      <c r="A80" s="614"/>
      <c r="C80" s="850"/>
      <c r="D80" s="756"/>
      <c r="E80" s="756"/>
      <c r="F80" s="756"/>
      <c r="G80" s="756"/>
      <c r="H80" s="608"/>
      <c r="I80" s="753"/>
      <c r="J80" s="608"/>
      <c r="K80" s="753"/>
      <c r="L80" s="608"/>
      <c r="M80" s="850"/>
      <c r="N80" s="608"/>
      <c r="O80" s="608"/>
      <c r="P80" s="608"/>
      <c r="Q80" s="756"/>
      <c r="R80" s="608"/>
      <c r="S80" s="756"/>
    </row>
    <row r="81" spans="1:13">
      <c r="A81" s="608"/>
    </row>
    <row r="82" spans="1:13">
      <c r="C82" s="3414"/>
      <c r="D82" s="702"/>
      <c r="F82" s="702"/>
    </row>
    <row r="83" spans="1:13">
      <c r="C83" s="3415"/>
      <c r="D83" s="622"/>
      <c r="E83" s="757"/>
      <c r="F83" s="622"/>
      <c r="G83" s="757"/>
      <c r="H83" s="616"/>
      <c r="I83" s="619"/>
      <c r="J83" s="616"/>
      <c r="K83" s="619"/>
      <c r="L83" s="616"/>
      <c r="M83" s="854"/>
    </row>
    <row r="84" spans="1:13">
      <c r="E84" s="1510"/>
      <c r="G84" s="703"/>
    </row>
    <row r="85" spans="1:13">
      <c r="E85" s="1562"/>
      <c r="G85" s="620"/>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49"/>
  <sheetViews>
    <sheetView showGridLines="0" zoomScale="80" zoomScaleNormal="80" workbookViewId="0"/>
  </sheetViews>
  <sheetFormatPr defaultColWidth="8.6640625" defaultRowHeight="12.75"/>
  <cols>
    <col min="1" max="1" width="3.6640625" style="1563" customWidth="1"/>
    <col min="2" max="2" width="43.6640625" style="1563" customWidth="1"/>
    <col min="3" max="3" width="2.109375" style="1563" customWidth="1"/>
    <col min="4" max="4" width="13.6640625" style="1563" customWidth="1"/>
    <col min="5" max="5" width="2.109375" style="1563" customWidth="1"/>
    <col min="6" max="6" width="24" style="1563" bestFit="1" customWidth="1"/>
    <col min="7" max="7" width="2.109375" style="1563" customWidth="1"/>
    <col min="8" max="8" width="20.109375" style="1563" customWidth="1"/>
    <col min="9" max="9" width="2.109375" style="1563" customWidth="1"/>
    <col min="10" max="10" width="17.6640625" style="1563" bestFit="1" customWidth="1"/>
    <col min="11" max="11" width="2.109375" style="1563" customWidth="1"/>
    <col min="12" max="12" width="17.6640625" style="1563" bestFit="1" customWidth="1"/>
    <col min="13" max="13" width="2.109375" style="1563" customWidth="1"/>
    <col min="14" max="14" width="19.6640625" style="1563" bestFit="1" customWidth="1"/>
    <col min="15" max="15" width="2.109375" style="1563" customWidth="1"/>
    <col min="16" max="16" width="18.44140625" style="1563" bestFit="1" customWidth="1"/>
    <col min="17" max="17" width="2.109375" style="1563" customWidth="1"/>
    <col min="18" max="18" width="19.6640625" style="1563" customWidth="1"/>
    <col min="19" max="19" width="2.109375" style="1563" customWidth="1"/>
    <col min="20" max="20" width="19.6640625" style="1563" bestFit="1" customWidth="1"/>
    <col min="21" max="21" width="2.109375" style="1563" customWidth="1"/>
    <col min="22" max="22" width="20.6640625" style="1563" bestFit="1" customWidth="1"/>
    <col min="23" max="23" width="17.109375" style="1563" customWidth="1"/>
    <col min="24" max="24" width="18.5546875" style="1563" customWidth="1"/>
    <col min="25" max="25" width="35.109375" style="1563" bestFit="1" customWidth="1"/>
    <col min="26" max="16384" width="8.6640625" style="1563"/>
  </cols>
  <sheetData>
    <row r="1" spans="1:23" ht="15">
      <c r="B1" s="914" t="s">
        <v>870</v>
      </c>
    </row>
    <row r="2" spans="1:23" ht="16.5">
      <c r="B2" s="2003"/>
      <c r="C2" s="2003"/>
      <c r="D2" s="2003"/>
      <c r="E2" s="2003"/>
      <c r="F2" s="2003"/>
      <c r="G2" s="2003"/>
      <c r="H2" s="2003"/>
      <c r="I2" s="2003"/>
      <c r="J2" s="2003"/>
      <c r="K2" s="2003"/>
      <c r="L2" s="2003"/>
      <c r="M2" s="2003"/>
      <c r="N2" s="2003"/>
      <c r="O2" s="2003"/>
      <c r="P2" s="2003"/>
      <c r="Q2" s="2003"/>
      <c r="R2" s="2003"/>
      <c r="S2" s="2003"/>
      <c r="T2" s="2003"/>
      <c r="U2" s="2003"/>
      <c r="V2" s="2003"/>
      <c r="W2" s="2004"/>
    </row>
    <row r="3" spans="1:23" ht="18">
      <c r="A3" s="1564"/>
      <c r="B3" s="2005" t="s">
        <v>0</v>
      </c>
      <c r="C3" s="2006"/>
      <c r="D3" s="2006"/>
      <c r="E3" s="2006"/>
      <c r="F3" s="2003"/>
      <c r="G3" s="2003"/>
      <c r="H3" s="2003"/>
      <c r="I3" s="2003"/>
      <c r="J3" s="2003"/>
      <c r="K3" s="2003"/>
      <c r="L3" s="2003"/>
      <c r="M3" s="2003"/>
      <c r="N3" s="2003"/>
      <c r="O3" s="2003"/>
      <c r="P3" s="2003"/>
      <c r="Q3" s="2003"/>
      <c r="R3" s="2003"/>
      <c r="S3" s="2003"/>
      <c r="T3" s="2003"/>
      <c r="U3" s="2003"/>
      <c r="V3" s="2007" t="s">
        <v>409</v>
      </c>
      <c r="W3" s="2008"/>
    </row>
    <row r="4" spans="1:23" ht="18">
      <c r="A4" s="1564"/>
      <c r="B4" s="2005" t="s">
        <v>410</v>
      </c>
      <c r="C4" s="2006"/>
      <c r="D4" s="2006"/>
      <c r="E4" s="2006"/>
      <c r="F4" s="2003"/>
      <c r="G4" s="2003"/>
      <c r="H4" s="2003"/>
      <c r="I4" s="2003"/>
      <c r="J4" s="2003"/>
      <c r="K4" s="2003"/>
      <c r="L4" s="2003"/>
      <c r="M4" s="2003"/>
      <c r="N4" s="2003"/>
      <c r="O4" s="2003"/>
      <c r="P4" s="2003"/>
      <c r="Q4" s="2003"/>
      <c r="R4" s="2003"/>
      <c r="S4" s="2003"/>
      <c r="T4" s="2003"/>
      <c r="U4" s="2003"/>
      <c r="V4" s="2009"/>
      <c r="W4" s="2004"/>
    </row>
    <row r="5" spans="1:23" ht="18">
      <c r="A5" s="1564"/>
      <c r="B5" s="2005" t="s">
        <v>411</v>
      </c>
      <c r="C5" s="2006"/>
      <c r="D5" s="2006"/>
      <c r="E5" s="2006"/>
      <c r="F5" s="2003"/>
      <c r="G5" s="2003"/>
      <c r="H5" s="2003"/>
      <c r="I5" s="2003"/>
      <c r="J5" s="2003"/>
      <c r="K5" s="2003"/>
      <c r="L5" s="2003"/>
      <c r="M5" s="2003"/>
      <c r="N5" s="2003"/>
      <c r="O5" s="2003"/>
      <c r="P5" s="2003"/>
      <c r="Q5" s="2003"/>
      <c r="R5" s="2003"/>
      <c r="S5" s="2003"/>
      <c r="T5" s="2003"/>
      <c r="U5" s="2003"/>
      <c r="V5" s="2003"/>
      <c r="W5" s="2004"/>
    </row>
    <row r="6" spans="1:23" ht="18">
      <c r="A6" s="1564"/>
      <c r="B6" s="2010" t="s">
        <v>1512</v>
      </c>
      <c r="C6" s="2011"/>
      <c r="D6" s="2006"/>
      <c r="E6" s="2006"/>
      <c r="F6" s="2003"/>
      <c r="G6" s="2003"/>
      <c r="H6" s="2003"/>
      <c r="I6" s="2003"/>
      <c r="J6" s="2003"/>
      <c r="K6" s="2003"/>
      <c r="L6" s="2003"/>
      <c r="M6" s="2003"/>
      <c r="N6" s="2003"/>
      <c r="O6" s="2003"/>
      <c r="P6" s="2003"/>
      <c r="Q6" s="2003"/>
      <c r="R6" s="2003"/>
      <c r="S6" s="2003"/>
      <c r="T6" s="2003"/>
      <c r="U6" s="2003"/>
      <c r="V6" s="2003"/>
      <c r="W6" s="2004"/>
    </row>
    <row r="7" spans="1:23" ht="16.5">
      <c r="A7" s="1564"/>
      <c r="B7" s="2012"/>
      <c r="C7" s="2012"/>
      <c r="D7" s="2006"/>
      <c r="E7" s="2006"/>
      <c r="F7" s="2003"/>
      <c r="G7" s="2003"/>
      <c r="H7" s="2003"/>
      <c r="I7" s="2003"/>
      <c r="J7" s="2003"/>
      <c r="K7" s="2003"/>
      <c r="L7" s="2003"/>
      <c r="M7" s="2003"/>
      <c r="N7" s="2003"/>
      <c r="O7" s="2003"/>
      <c r="P7" s="2003"/>
      <c r="Q7" s="2003"/>
      <c r="R7" s="2003"/>
      <c r="S7" s="2003"/>
      <c r="T7" s="2003"/>
      <c r="U7" s="2003"/>
      <c r="V7" s="2003"/>
      <c r="W7" s="2004"/>
    </row>
    <row r="8" spans="1:23" ht="5.25" customHeight="1">
      <c r="B8" s="2013"/>
      <c r="C8" s="2013"/>
      <c r="D8" s="2003"/>
      <c r="E8" s="2003"/>
      <c r="F8" s="2003"/>
      <c r="G8" s="2003"/>
      <c r="H8" s="2003"/>
      <c r="I8" s="2003"/>
      <c r="J8" s="2003"/>
      <c r="K8" s="2003"/>
      <c r="L8" s="2003"/>
      <c r="M8" s="2003"/>
      <c r="N8" s="2003"/>
      <c r="O8" s="2003"/>
      <c r="P8" s="2003"/>
      <c r="Q8" s="2003"/>
      <c r="R8" s="2003"/>
      <c r="S8" s="2003"/>
      <c r="T8" s="2003"/>
      <c r="U8" s="2003"/>
      <c r="V8" s="2003"/>
      <c r="W8" s="2004"/>
    </row>
    <row r="9" spans="1:23" ht="16.5">
      <c r="B9" s="2003"/>
      <c r="C9" s="2003"/>
      <c r="E9" s="2014"/>
      <c r="F9" s="2014"/>
      <c r="G9" s="2014"/>
      <c r="H9" s="2014"/>
      <c r="I9" s="2014"/>
      <c r="J9" s="2014" t="s">
        <v>412</v>
      </c>
      <c r="K9" s="2014"/>
      <c r="L9" s="2014"/>
      <c r="M9" s="2014"/>
      <c r="N9" s="2014"/>
      <c r="O9" s="2014"/>
      <c r="P9" s="2014"/>
      <c r="Q9" s="2014"/>
      <c r="R9" s="2003"/>
      <c r="S9" s="2003"/>
      <c r="T9" s="2003"/>
      <c r="U9" s="2003"/>
      <c r="V9" s="2003"/>
      <c r="W9" s="2004"/>
    </row>
    <row r="10" spans="1:23" ht="16.5">
      <c r="B10" s="2003"/>
      <c r="C10" s="2003"/>
      <c r="D10" s="2014" t="s">
        <v>119</v>
      </c>
      <c r="E10" s="2015"/>
      <c r="F10" s="2015" t="s">
        <v>102</v>
      </c>
      <c r="G10" s="2015"/>
      <c r="H10" s="2015" t="s">
        <v>414</v>
      </c>
      <c r="I10" s="2015"/>
      <c r="J10" s="2015" t="s">
        <v>415</v>
      </c>
      <c r="K10" s="2015"/>
      <c r="L10" s="2015" t="s">
        <v>416</v>
      </c>
      <c r="M10" s="2015"/>
      <c r="N10" s="2015" t="s">
        <v>9</v>
      </c>
      <c r="O10" s="2015"/>
      <c r="P10" s="2015" t="s">
        <v>794</v>
      </c>
      <c r="Q10" s="2015"/>
      <c r="R10" s="2003"/>
      <c r="S10" s="2003"/>
      <c r="T10" s="2003"/>
      <c r="U10" s="2003"/>
      <c r="V10" s="2003"/>
      <c r="W10" s="2004"/>
    </row>
    <row r="11" spans="1:23" ht="16.5">
      <c r="B11" s="2003"/>
      <c r="C11" s="2003"/>
      <c r="D11" s="2015" t="s">
        <v>413</v>
      </c>
      <c r="E11" s="2015"/>
      <c r="F11" s="2015" t="s">
        <v>119</v>
      </c>
      <c r="G11" s="2015"/>
      <c r="H11" s="2015" t="s">
        <v>418</v>
      </c>
      <c r="I11" s="2015"/>
      <c r="J11" s="2015" t="s">
        <v>419</v>
      </c>
      <c r="K11" s="2015"/>
      <c r="L11" s="2015" t="s">
        <v>420</v>
      </c>
      <c r="M11" s="2015"/>
      <c r="N11" s="2016" t="s">
        <v>421</v>
      </c>
      <c r="O11" s="2015"/>
      <c r="P11" s="2015" t="s">
        <v>795</v>
      </c>
      <c r="Q11" s="2015"/>
      <c r="R11" s="2018" t="s">
        <v>422</v>
      </c>
      <c r="S11" s="2018"/>
      <c r="T11" s="2018"/>
      <c r="U11" s="2003"/>
      <c r="V11" s="2003"/>
      <c r="W11" s="2004"/>
    </row>
    <row r="12" spans="1:23" ht="16.5">
      <c r="B12" s="2003"/>
      <c r="C12" s="2003"/>
      <c r="D12" s="2015" t="s">
        <v>417</v>
      </c>
      <c r="E12" s="2015"/>
      <c r="F12" s="2015" t="s">
        <v>10</v>
      </c>
      <c r="G12" s="2015"/>
      <c r="H12" s="2015" t="s">
        <v>423</v>
      </c>
      <c r="I12" s="2015"/>
      <c r="J12" s="2015" t="s">
        <v>424</v>
      </c>
      <c r="K12" s="2015"/>
      <c r="L12" s="2015" t="s">
        <v>1502</v>
      </c>
      <c r="M12" s="2015"/>
      <c r="N12" s="2016" t="s">
        <v>1503</v>
      </c>
      <c r="O12" s="2016"/>
      <c r="P12" s="2015" t="s">
        <v>424</v>
      </c>
      <c r="Q12" s="2015"/>
      <c r="R12" s="2017" t="s">
        <v>1511</v>
      </c>
      <c r="S12" s="2017"/>
      <c r="T12" s="2017"/>
      <c r="U12" s="2003"/>
      <c r="V12" s="2014" t="s">
        <v>796</v>
      </c>
      <c r="W12" s="2019"/>
    </row>
    <row r="13" spans="1:23" ht="16.5">
      <c r="A13" s="1565"/>
      <c r="B13" s="2020" t="s">
        <v>432</v>
      </c>
      <c r="C13" s="2021"/>
      <c r="D13" s="2022" t="s">
        <v>425</v>
      </c>
      <c r="E13" s="2019"/>
      <c r="F13" s="2022" t="s">
        <v>426</v>
      </c>
      <c r="G13" s="2019"/>
      <c r="H13" s="2023" t="s">
        <v>427</v>
      </c>
      <c r="I13" s="2019"/>
      <c r="J13" s="2023" t="s">
        <v>428</v>
      </c>
      <c r="K13" s="2019"/>
      <c r="L13" s="2023" t="s">
        <v>429</v>
      </c>
      <c r="M13" s="2019"/>
      <c r="N13" s="2024" t="s">
        <v>430</v>
      </c>
      <c r="O13" s="2019"/>
      <c r="P13" s="2024" t="s">
        <v>797</v>
      </c>
      <c r="Q13" s="2019"/>
      <c r="R13" s="2025">
        <v>2022</v>
      </c>
      <c r="S13" s="2025"/>
      <c r="T13" s="2025">
        <v>2021</v>
      </c>
      <c r="U13" s="2019"/>
      <c r="V13" s="2026" t="s">
        <v>431</v>
      </c>
      <c r="W13" s="2019"/>
    </row>
    <row r="14" spans="1:23" ht="16.5">
      <c r="B14" s="2021" t="s">
        <v>433</v>
      </c>
      <c r="C14" s="2021"/>
      <c r="D14" s="2027"/>
      <c r="E14" s="2027"/>
      <c r="F14" s="2028"/>
      <c r="G14" s="2028"/>
      <c r="H14" s="2029"/>
      <c r="I14" s="2029"/>
      <c r="J14" s="2029"/>
      <c r="K14" s="2029"/>
      <c r="L14" s="2029"/>
      <c r="M14" s="2029"/>
      <c r="N14" s="2027"/>
      <c r="O14" s="2027"/>
      <c r="P14" s="2027"/>
      <c r="Q14" s="2027"/>
      <c r="R14" s="2029"/>
      <c r="S14" s="2029"/>
      <c r="T14" s="2030"/>
      <c r="U14" s="2030"/>
      <c r="V14" s="2031"/>
      <c r="W14" s="2004"/>
    </row>
    <row r="15" spans="1:23" ht="16.5">
      <c r="A15" s="1566"/>
      <c r="B15" s="2013" t="s">
        <v>434</v>
      </c>
      <c r="C15" s="2013"/>
      <c r="D15" s="2032">
        <v>0</v>
      </c>
      <c r="E15" s="2032"/>
      <c r="F15" s="2032">
        <v>9471406</v>
      </c>
      <c r="G15" s="2033"/>
      <c r="H15" s="2032">
        <v>0</v>
      </c>
      <c r="I15" s="2033"/>
      <c r="J15" s="2032">
        <v>0</v>
      </c>
      <c r="K15" s="2033"/>
      <c r="L15" s="2032">
        <v>0</v>
      </c>
      <c r="M15" s="2033"/>
      <c r="N15" s="2032">
        <v>0</v>
      </c>
      <c r="O15" s="2033"/>
      <c r="P15" s="2032">
        <v>0</v>
      </c>
      <c r="Q15" s="2033"/>
      <c r="R15" s="2032">
        <f>ROUND(SUM(D15:Q15),0)</f>
        <v>9471406</v>
      </c>
      <c r="S15" s="2032"/>
      <c r="T15" s="3391">
        <v>21210856</v>
      </c>
      <c r="U15" s="2033"/>
      <c r="V15" s="2034">
        <f>ROUND(R15-T15,0)</f>
        <v>-11739450</v>
      </c>
      <c r="W15" s="2032"/>
    </row>
    <row r="16" spans="1:23" ht="16.5">
      <c r="A16" s="1566"/>
      <c r="B16" s="2003" t="s">
        <v>435</v>
      </c>
      <c r="C16" s="2003"/>
      <c r="D16" s="2035"/>
      <c r="E16" s="2035"/>
      <c r="F16" s="2035"/>
      <c r="G16" s="2035"/>
      <c r="H16" s="2035"/>
      <c r="I16" s="2035"/>
      <c r="J16" s="2035"/>
      <c r="K16" s="2033"/>
      <c r="L16" s="2035"/>
      <c r="M16" s="2036"/>
      <c r="N16" s="2035"/>
      <c r="O16" s="2036"/>
      <c r="P16" s="2035"/>
      <c r="Q16" s="2036"/>
      <c r="R16" s="2036"/>
      <c r="S16" s="2036"/>
      <c r="T16" s="3392"/>
      <c r="U16" s="2036"/>
      <c r="V16" s="2037"/>
      <c r="W16" s="2032"/>
    </row>
    <row r="17" spans="1:23" ht="16.5">
      <c r="A17" s="1566"/>
      <c r="B17" s="2003" t="s">
        <v>1129</v>
      </c>
      <c r="C17" s="2003"/>
      <c r="D17" s="2035">
        <v>0</v>
      </c>
      <c r="E17" s="2035">
        <v>0</v>
      </c>
      <c r="F17" s="2035">
        <v>0</v>
      </c>
      <c r="G17" s="2035">
        <v>0</v>
      </c>
      <c r="H17" s="2035">
        <v>0</v>
      </c>
      <c r="I17" s="2035">
        <v>0</v>
      </c>
      <c r="J17" s="2035">
        <v>0</v>
      </c>
      <c r="K17" s="2035">
        <v>0</v>
      </c>
      <c r="L17" s="2035">
        <v>0</v>
      </c>
      <c r="M17" s="2035"/>
      <c r="N17" s="2035">
        <v>0</v>
      </c>
      <c r="O17" s="2035">
        <v>0</v>
      </c>
      <c r="P17" s="2035">
        <v>0</v>
      </c>
      <c r="Q17" s="2035">
        <v>0</v>
      </c>
      <c r="R17" s="2036">
        <f>ROUND(SUM(D17:Q17),0)</f>
        <v>0</v>
      </c>
      <c r="S17" s="2036"/>
      <c r="T17" s="3393">
        <v>0</v>
      </c>
      <c r="U17" s="2038"/>
      <c r="V17" s="2038">
        <f t="shared" ref="V17:V26" si="0">SUM(R17-T17,0)</f>
        <v>0</v>
      </c>
      <c r="W17" s="2032"/>
    </row>
    <row r="18" spans="1:23" ht="16.5">
      <c r="A18" s="1566"/>
      <c r="B18" s="2003" t="s">
        <v>1130</v>
      </c>
      <c r="C18" s="2003"/>
      <c r="D18" s="2035">
        <v>0</v>
      </c>
      <c r="E18" s="2035">
        <v>0</v>
      </c>
      <c r="F18" s="2035">
        <v>0</v>
      </c>
      <c r="G18" s="2035">
        <v>0</v>
      </c>
      <c r="H18" s="2035">
        <v>0</v>
      </c>
      <c r="I18" s="2035">
        <v>0</v>
      </c>
      <c r="J18" s="2035">
        <v>0</v>
      </c>
      <c r="K18" s="2035">
        <v>0</v>
      </c>
      <c r="L18" s="2035">
        <v>0</v>
      </c>
      <c r="M18" s="2035"/>
      <c r="N18" s="2035">
        <v>0</v>
      </c>
      <c r="O18" s="2035"/>
      <c r="P18" s="2035">
        <v>0</v>
      </c>
      <c r="Q18" s="2035">
        <v>0</v>
      </c>
      <c r="R18" s="2036">
        <f t="shared" ref="R18:R26" si="1">ROUND(SUM(D18:Q18),0)</f>
        <v>0</v>
      </c>
      <c r="S18" s="2036"/>
      <c r="T18" s="2035">
        <v>0</v>
      </c>
      <c r="U18" s="2038"/>
      <c r="V18" s="2038">
        <f t="shared" si="0"/>
        <v>0</v>
      </c>
      <c r="W18" s="2032"/>
    </row>
    <row r="19" spans="1:23" ht="16.5">
      <c r="A19" s="1566"/>
      <c r="B19" s="2003" t="s">
        <v>436</v>
      </c>
      <c r="C19" s="2003"/>
      <c r="D19" s="2035">
        <v>0</v>
      </c>
      <c r="E19" s="2035">
        <v>0</v>
      </c>
      <c r="F19" s="2035">
        <v>0</v>
      </c>
      <c r="G19" s="2035">
        <v>0</v>
      </c>
      <c r="H19" s="2035">
        <v>12054964</v>
      </c>
      <c r="I19" s="2035">
        <v>0</v>
      </c>
      <c r="J19" s="2035">
        <v>0</v>
      </c>
      <c r="K19" s="2035">
        <v>0</v>
      </c>
      <c r="L19" s="2035">
        <v>0</v>
      </c>
      <c r="M19" s="2035"/>
      <c r="N19" s="2035">
        <v>0</v>
      </c>
      <c r="O19" s="2035"/>
      <c r="P19" s="2035">
        <v>0</v>
      </c>
      <c r="Q19" s="2035">
        <v>0</v>
      </c>
      <c r="R19" s="2036">
        <f>ROUND(SUM(D19:Q19),0)</f>
        <v>12054964</v>
      </c>
      <c r="S19" s="2036"/>
      <c r="T19" s="2035">
        <v>12067914</v>
      </c>
      <c r="U19" s="2038"/>
      <c r="V19" s="2038">
        <f t="shared" si="0"/>
        <v>-12950</v>
      </c>
      <c r="W19" s="2032"/>
    </row>
    <row r="20" spans="1:23" ht="16.5">
      <c r="A20" s="1566"/>
      <c r="B20" s="2003" t="s">
        <v>888</v>
      </c>
      <c r="C20" s="2003"/>
      <c r="D20" s="2035">
        <v>0</v>
      </c>
      <c r="E20" s="2035">
        <v>0</v>
      </c>
      <c r="F20" s="2035">
        <v>0</v>
      </c>
      <c r="G20" s="2035">
        <v>0</v>
      </c>
      <c r="H20" s="2035">
        <v>0</v>
      </c>
      <c r="I20" s="2035">
        <v>0</v>
      </c>
      <c r="J20" s="2035">
        <v>0</v>
      </c>
      <c r="K20" s="2035">
        <v>0</v>
      </c>
      <c r="L20" s="2035">
        <v>0</v>
      </c>
      <c r="M20" s="2035"/>
      <c r="N20" s="2035">
        <v>0</v>
      </c>
      <c r="O20" s="2035"/>
      <c r="P20" s="2035">
        <v>0</v>
      </c>
      <c r="Q20" s="2035">
        <v>0</v>
      </c>
      <c r="R20" s="2036">
        <f>ROUND(SUM(D20:Q20),0)</f>
        <v>0</v>
      </c>
      <c r="S20" s="2036"/>
      <c r="T20" s="2035">
        <v>0</v>
      </c>
      <c r="U20" s="2039"/>
      <c r="V20" s="2038">
        <f t="shared" si="0"/>
        <v>0</v>
      </c>
      <c r="W20" s="2032"/>
    </row>
    <row r="21" spans="1:23" ht="16.5">
      <c r="A21" s="1566"/>
      <c r="B21" s="2003" t="s">
        <v>744</v>
      </c>
      <c r="C21" s="2003"/>
      <c r="D21" s="2035">
        <v>0</v>
      </c>
      <c r="E21" s="2035">
        <v>0</v>
      </c>
      <c r="F21" s="2035">
        <v>0</v>
      </c>
      <c r="G21" s="2035">
        <v>0</v>
      </c>
      <c r="H21" s="2035">
        <v>0</v>
      </c>
      <c r="I21" s="2035">
        <v>0</v>
      </c>
      <c r="J21" s="2035">
        <v>0</v>
      </c>
      <c r="K21" s="2035">
        <v>0</v>
      </c>
      <c r="L21" s="2035">
        <v>0</v>
      </c>
      <c r="M21" s="2035"/>
      <c r="N21" s="2035">
        <v>0</v>
      </c>
      <c r="O21" s="2035"/>
      <c r="P21" s="2035">
        <v>0</v>
      </c>
      <c r="Q21" s="2035">
        <v>0</v>
      </c>
      <c r="R21" s="2036">
        <f t="shared" si="1"/>
        <v>0</v>
      </c>
      <c r="S21" s="2036"/>
      <c r="T21" s="2035">
        <v>0</v>
      </c>
      <c r="U21" s="2039"/>
      <c r="V21" s="2038">
        <f t="shared" si="0"/>
        <v>0</v>
      </c>
      <c r="W21" s="2032"/>
    </row>
    <row r="22" spans="1:23" ht="16.5">
      <c r="A22" s="1566"/>
      <c r="B22" s="2003" t="s">
        <v>1131</v>
      </c>
      <c r="C22" s="2003"/>
      <c r="D22" s="2035">
        <v>0</v>
      </c>
      <c r="E22" s="2035">
        <v>0</v>
      </c>
      <c r="F22" s="2035">
        <v>0</v>
      </c>
      <c r="G22" s="2035">
        <v>0</v>
      </c>
      <c r="H22" s="2035">
        <v>0</v>
      </c>
      <c r="I22" s="2035">
        <v>0</v>
      </c>
      <c r="J22" s="2035">
        <v>0</v>
      </c>
      <c r="K22" s="2035">
        <v>0</v>
      </c>
      <c r="L22" s="2035">
        <v>0</v>
      </c>
      <c r="M22" s="2035"/>
      <c r="N22" s="2035">
        <v>0</v>
      </c>
      <c r="O22" s="2035"/>
      <c r="P22" s="2035">
        <v>0</v>
      </c>
      <c r="Q22" s="2035">
        <v>0</v>
      </c>
      <c r="R22" s="2036">
        <f t="shared" si="1"/>
        <v>0</v>
      </c>
      <c r="S22" s="2036"/>
      <c r="T22" s="2035">
        <v>0</v>
      </c>
      <c r="U22" s="2038"/>
      <c r="V22" s="2038">
        <f t="shared" si="0"/>
        <v>0</v>
      </c>
      <c r="W22" s="2032"/>
    </row>
    <row r="23" spans="1:23" ht="16.5">
      <c r="A23" s="1566"/>
      <c r="B23" s="2003" t="s">
        <v>1132</v>
      </c>
      <c r="C23" s="2003"/>
      <c r="D23" s="2035">
        <v>0</v>
      </c>
      <c r="E23" s="2035">
        <v>0</v>
      </c>
      <c r="F23" s="2035">
        <v>86087460</v>
      </c>
      <c r="G23" s="2035">
        <v>0</v>
      </c>
      <c r="H23" s="2035">
        <v>0</v>
      </c>
      <c r="I23" s="2035">
        <v>0</v>
      </c>
      <c r="J23" s="2035">
        <v>0</v>
      </c>
      <c r="K23" s="2035">
        <v>0</v>
      </c>
      <c r="L23" s="2035">
        <v>0</v>
      </c>
      <c r="M23" s="2035"/>
      <c r="N23" s="2035">
        <v>0</v>
      </c>
      <c r="O23" s="2035"/>
      <c r="P23" s="2035">
        <v>0</v>
      </c>
      <c r="Q23" s="2035">
        <v>0</v>
      </c>
      <c r="R23" s="2036">
        <f t="shared" si="1"/>
        <v>86087460</v>
      </c>
      <c r="S23" s="2036"/>
      <c r="T23" s="2035">
        <v>92082231</v>
      </c>
      <c r="U23" s="2038"/>
      <c r="V23" s="2038">
        <f t="shared" si="0"/>
        <v>-5994771</v>
      </c>
      <c r="W23" s="2032"/>
    </row>
    <row r="24" spans="1:23" ht="16.5">
      <c r="A24" s="1566"/>
      <c r="B24" s="2003" t="s">
        <v>437</v>
      </c>
      <c r="C24" s="2003"/>
      <c r="D24" s="2035">
        <v>0</v>
      </c>
      <c r="E24" s="2035">
        <v>0</v>
      </c>
      <c r="F24" s="2035">
        <v>0</v>
      </c>
      <c r="G24" s="2035">
        <v>0</v>
      </c>
      <c r="H24" s="2035">
        <v>0</v>
      </c>
      <c r="I24" s="2035">
        <v>0</v>
      </c>
      <c r="J24" s="2035">
        <v>0</v>
      </c>
      <c r="K24" s="2035">
        <v>0</v>
      </c>
      <c r="L24" s="2035">
        <v>0</v>
      </c>
      <c r="M24" s="2035"/>
      <c r="N24" s="2035">
        <v>0</v>
      </c>
      <c r="O24" s="2035"/>
      <c r="P24" s="2035">
        <v>0</v>
      </c>
      <c r="Q24" s="2035">
        <v>0</v>
      </c>
      <c r="R24" s="2036">
        <f t="shared" si="1"/>
        <v>0</v>
      </c>
      <c r="S24" s="2036"/>
      <c r="T24" s="3393">
        <v>0</v>
      </c>
      <c r="U24" s="2038"/>
      <c r="V24" s="2038">
        <f t="shared" si="0"/>
        <v>0</v>
      </c>
      <c r="W24" s="2032"/>
    </row>
    <row r="25" spans="1:23" ht="16.5">
      <c r="A25" s="1566"/>
      <c r="B25" s="2003" t="s">
        <v>438</v>
      </c>
      <c r="C25" s="2003"/>
      <c r="D25" s="2035">
        <v>0</v>
      </c>
      <c r="E25" s="2035">
        <v>0</v>
      </c>
      <c r="F25" s="2035">
        <v>0</v>
      </c>
      <c r="G25" s="2035">
        <v>0</v>
      </c>
      <c r="H25" s="2035">
        <v>0</v>
      </c>
      <c r="I25" s="2035">
        <v>0</v>
      </c>
      <c r="J25" s="2035">
        <v>0</v>
      </c>
      <c r="K25" s="2035">
        <v>0</v>
      </c>
      <c r="L25" s="2035">
        <v>0</v>
      </c>
      <c r="M25" s="2035"/>
      <c r="N25" s="2035">
        <v>0</v>
      </c>
      <c r="O25" s="2035"/>
      <c r="P25" s="2035">
        <v>0</v>
      </c>
      <c r="Q25" s="2035">
        <v>0</v>
      </c>
      <c r="R25" s="2036">
        <f t="shared" si="1"/>
        <v>0</v>
      </c>
      <c r="S25" s="2036"/>
      <c r="T25" s="3393">
        <v>0</v>
      </c>
      <c r="U25" s="2038"/>
      <c r="V25" s="2038">
        <f t="shared" si="0"/>
        <v>0</v>
      </c>
      <c r="W25" s="2032"/>
    </row>
    <row r="26" spans="1:23" ht="16.5">
      <c r="A26" s="1566"/>
      <c r="B26" s="2003" t="s">
        <v>1133</v>
      </c>
      <c r="C26" s="2003"/>
      <c r="D26" s="2035">
        <v>0</v>
      </c>
      <c r="E26" s="2035">
        <v>0</v>
      </c>
      <c r="F26" s="2035">
        <v>0</v>
      </c>
      <c r="G26" s="2035">
        <v>0</v>
      </c>
      <c r="H26" s="2035">
        <v>0</v>
      </c>
      <c r="I26" s="2035">
        <v>0</v>
      </c>
      <c r="J26" s="2035">
        <v>0</v>
      </c>
      <c r="K26" s="2035">
        <v>0</v>
      </c>
      <c r="L26" s="2035">
        <v>0</v>
      </c>
      <c r="M26" s="2035"/>
      <c r="N26" s="2035">
        <v>0</v>
      </c>
      <c r="O26" s="2035"/>
      <c r="P26" s="2035">
        <v>0</v>
      </c>
      <c r="Q26" s="2035">
        <v>0</v>
      </c>
      <c r="R26" s="2036">
        <f t="shared" si="1"/>
        <v>0</v>
      </c>
      <c r="S26" s="2036"/>
      <c r="T26" s="3393">
        <v>0</v>
      </c>
      <c r="U26" s="2038"/>
      <c r="V26" s="2038">
        <f t="shared" si="0"/>
        <v>0</v>
      </c>
      <c r="W26" s="2032"/>
    </row>
    <row r="27" spans="1:23" ht="16.5">
      <c r="A27" s="1566"/>
      <c r="B27" s="2003" t="s">
        <v>439</v>
      </c>
      <c r="C27" s="2003"/>
      <c r="D27" s="2040"/>
      <c r="E27" s="2040"/>
      <c r="F27" s="2040"/>
      <c r="G27" s="2040"/>
      <c r="H27" s="2040"/>
      <c r="I27" s="2040"/>
      <c r="J27" s="2040"/>
      <c r="K27" s="2040"/>
      <c r="L27" s="2040"/>
      <c r="M27" s="2040"/>
      <c r="N27" s="2040"/>
      <c r="O27" s="2040"/>
      <c r="P27" s="2040"/>
      <c r="Q27" s="2040"/>
      <c r="R27" s="2036"/>
      <c r="S27" s="2036"/>
      <c r="T27" s="3393"/>
      <c r="U27" s="2038"/>
      <c r="V27" s="2036"/>
      <c r="W27" s="2032"/>
    </row>
    <row r="28" spans="1:23" ht="16.5">
      <c r="A28" s="1566"/>
      <c r="B28" s="2003" t="s">
        <v>440</v>
      </c>
      <c r="C28" s="2003"/>
      <c r="D28" s="2035">
        <v>0</v>
      </c>
      <c r="E28" s="2035">
        <v>0</v>
      </c>
      <c r="F28" s="2035">
        <v>0</v>
      </c>
      <c r="G28" s="2035">
        <v>0</v>
      </c>
      <c r="H28" s="2035">
        <v>0</v>
      </c>
      <c r="I28" s="2035">
        <v>0</v>
      </c>
      <c r="J28" s="2035">
        <v>0</v>
      </c>
      <c r="K28" s="2035">
        <v>0</v>
      </c>
      <c r="L28" s="2035">
        <v>0</v>
      </c>
      <c r="M28" s="2035"/>
      <c r="N28" s="2035">
        <v>0</v>
      </c>
      <c r="O28" s="2035"/>
      <c r="P28" s="2035">
        <v>0</v>
      </c>
      <c r="Q28" s="2035">
        <v>0</v>
      </c>
      <c r="R28" s="2036">
        <f>ROUND(SUM(D28:Q28),0)</f>
        <v>0</v>
      </c>
      <c r="S28" s="2036"/>
      <c r="T28" s="3393">
        <v>0</v>
      </c>
      <c r="U28" s="2038"/>
      <c r="V28" s="2038">
        <f>SUM(R28-T28,0)</f>
        <v>0</v>
      </c>
      <c r="W28" s="2032"/>
    </row>
    <row r="29" spans="1:23" ht="16.5">
      <c r="A29" s="1566"/>
      <c r="B29" s="2003" t="s">
        <v>847</v>
      </c>
      <c r="C29" s="2003"/>
      <c r="D29" s="2035"/>
      <c r="E29" s="2035"/>
      <c r="F29" s="2035"/>
      <c r="G29" s="2036"/>
      <c r="H29" s="2035"/>
      <c r="I29" s="2035"/>
      <c r="J29" s="2035"/>
      <c r="K29" s="2036"/>
      <c r="L29" s="2035"/>
      <c r="M29" s="2036"/>
      <c r="N29" s="2035"/>
      <c r="O29" s="2036"/>
      <c r="P29" s="2035"/>
      <c r="Q29" s="2036"/>
      <c r="R29" s="2036"/>
      <c r="S29" s="2036"/>
      <c r="T29" s="3393"/>
      <c r="U29" s="2038"/>
      <c r="V29" s="2036"/>
      <c r="W29" s="2032"/>
    </row>
    <row r="30" spans="1:23" ht="17.100000000000001" customHeight="1">
      <c r="A30" s="1566"/>
      <c r="B30" s="2003" t="s">
        <v>846</v>
      </c>
      <c r="C30" s="2003"/>
      <c r="D30" s="2035">
        <v>0</v>
      </c>
      <c r="E30" s="2035"/>
      <c r="F30" s="2035">
        <v>15937160</v>
      </c>
      <c r="G30" s="2036"/>
      <c r="H30" s="2035">
        <v>0</v>
      </c>
      <c r="I30" s="2035"/>
      <c r="J30" s="2035">
        <v>0</v>
      </c>
      <c r="K30" s="2036"/>
      <c r="L30" s="2035">
        <v>0</v>
      </c>
      <c r="M30" s="2036"/>
      <c r="N30" s="2035">
        <v>0</v>
      </c>
      <c r="O30" s="2036"/>
      <c r="P30" s="2035">
        <v>0</v>
      </c>
      <c r="Q30" s="2036"/>
      <c r="R30" s="2036">
        <f>ROUND(SUM(D30:Q30),0)</f>
        <v>15937160</v>
      </c>
      <c r="S30" s="2036"/>
      <c r="T30" s="3427">
        <v>14443500</v>
      </c>
      <c r="U30" s="2038"/>
      <c r="V30" s="2038">
        <f t="shared" ref="V30:V38" si="2">SUM(R30-T30,0)</f>
        <v>1493660</v>
      </c>
      <c r="W30" s="2032"/>
    </row>
    <row r="31" spans="1:23" ht="16.5">
      <c r="A31" s="1566"/>
      <c r="B31" s="2003" t="s">
        <v>845</v>
      </c>
      <c r="C31" s="2003"/>
      <c r="D31" s="2035">
        <v>0</v>
      </c>
      <c r="E31" s="2035">
        <v>0</v>
      </c>
      <c r="F31" s="2035">
        <v>0</v>
      </c>
      <c r="G31" s="2035">
        <v>0</v>
      </c>
      <c r="H31" s="2035">
        <v>0</v>
      </c>
      <c r="I31" s="2035">
        <v>0</v>
      </c>
      <c r="J31" s="2035">
        <v>0</v>
      </c>
      <c r="K31" s="2035">
        <v>0</v>
      </c>
      <c r="L31" s="2035">
        <v>0</v>
      </c>
      <c r="M31" s="2035"/>
      <c r="N31" s="2035">
        <v>0</v>
      </c>
      <c r="O31" s="2035"/>
      <c r="P31" s="2035">
        <v>0</v>
      </c>
      <c r="Q31" s="2035">
        <v>0</v>
      </c>
      <c r="R31" s="2036">
        <f>ROUND(SUM(D31:Q31),0)</f>
        <v>0</v>
      </c>
      <c r="S31" s="2036"/>
      <c r="T31" s="2035">
        <v>0</v>
      </c>
      <c r="U31" s="2038"/>
      <c r="V31" s="2038">
        <f t="shared" si="2"/>
        <v>0</v>
      </c>
      <c r="W31" s="2032"/>
    </row>
    <row r="32" spans="1:23" ht="16.5">
      <c r="A32" s="1566"/>
      <c r="B32" s="2003" t="s">
        <v>798</v>
      </c>
      <c r="C32" s="2003"/>
      <c r="D32" s="2035">
        <v>0</v>
      </c>
      <c r="E32" s="2035">
        <v>0</v>
      </c>
      <c r="F32" s="2035">
        <v>0</v>
      </c>
      <c r="G32" s="2035">
        <v>0</v>
      </c>
      <c r="H32" s="2035">
        <v>0</v>
      </c>
      <c r="I32" s="2035">
        <v>0</v>
      </c>
      <c r="J32" s="2035">
        <v>0</v>
      </c>
      <c r="K32" s="2035">
        <v>0</v>
      </c>
      <c r="L32" s="2035">
        <v>0</v>
      </c>
      <c r="M32" s="2035"/>
      <c r="N32" s="2035">
        <v>0</v>
      </c>
      <c r="O32" s="2035"/>
      <c r="P32" s="2035">
        <v>0</v>
      </c>
      <c r="Q32" s="2035">
        <v>0</v>
      </c>
      <c r="R32" s="2036">
        <f>ROUND(SUM(D32:Q32),0)</f>
        <v>0</v>
      </c>
      <c r="S32" s="2036"/>
      <c r="T32" s="2035">
        <v>0</v>
      </c>
      <c r="U32" s="2038"/>
      <c r="V32" s="2038">
        <f t="shared" si="2"/>
        <v>0</v>
      </c>
      <c r="W32" s="2032"/>
    </row>
    <row r="33" spans="1:25" ht="16.5">
      <c r="A33" s="1566"/>
      <c r="B33" s="2003" t="s">
        <v>441</v>
      </c>
      <c r="C33" s="2003"/>
      <c r="D33" s="2035"/>
      <c r="E33" s="2035"/>
      <c r="F33" s="2035"/>
      <c r="G33" s="2035"/>
      <c r="H33" s="2035"/>
      <c r="I33" s="2035"/>
      <c r="J33" s="2035"/>
      <c r="K33" s="2035"/>
      <c r="L33" s="2035"/>
      <c r="M33" s="2035"/>
      <c r="N33" s="2035"/>
      <c r="O33" s="2035"/>
      <c r="P33" s="2035"/>
      <c r="Q33" s="2035"/>
      <c r="R33" s="2036"/>
      <c r="S33" s="2036"/>
      <c r="T33" s="3393"/>
      <c r="U33" s="2038"/>
      <c r="V33" s="2036"/>
      <c r="W33" s="2032"/>
    </row>
    <row r="34" spans="1:25" ht="16.5">
      <c r="A34" s="1566"/>
      <c r="B34" s="2003" t="s">
        <v>442</v>
      </c>
      <c r="C34" s="2003"/>
      <c r="D34" s="2035">
        <v>0</v>
      </c>
      <c r="E34" s="2035"/>
      <c r="F34" s="2035">
        <v>0</v>
      </c>
      <c r="G34" s="2035">
        <v>0</v>
      </c>
      <c r="H34" s="2035">
        <v>0</v>
      </c>
      <c r="I34" s="2035">
        <v>0</v>
      </c>
      <c r="J34" s="2035">
        <v>0</v>
      </c>
      <c r="K34" s="2035">
        <v>0</v>
      </c>
      <c r="L34" s="2035">
        <v>0</v>
      </c>
      <c r="M34" s="2035"/>
      <c r="N34" s="2035">
        <v>0</v>
      </c>
      <c r="O34" s="2035"/>
      <c r="P34" s="2035">
        <v>0</v>
      </c>
      <c r="Q34" s="2035">
        <v>0</v>
      </c>
      <c r="R34" s="2036">
        <f t="shared" ref="R34:R36" si="3">ROUND(SUM(D34:Q34),0)</f>
        <v>0</v>
      </c>
      <c r="S34" s="2036"/>
      <c r="T34" s="2035">
        <v>0</v>
      </c>
      <c r="U34" s="2039"/>
      <c r="V34" s="2038">
        <f t="shared" si="2"/>
        <v>0</v>
      </c>
      <c r="W34" s="2032"/>
    </row>
    <row r="35" spans="1:25" ht="16.5">
      <c r="A35" s="1566"/>
      <c r="B35" s="2003" t="s">
        <v>1129</v>
      </c>
      <c r="C35" s="2003"/>
      <c r="D35" s="2035">
        <v>0</v>
      </c>
      <c r="E35" s="2035">
        <v>0</v>
      </c>
      <c r="F35" s="2035">
        <v>0</v>
      </c>
      <c r="G35" s="2035">
        <v>0</v>
      </c>
      <c r="H35" s="2035">
        <v>0</v>
      </c>
      <c r="I35" s="2035">
        <v>0</v>
      </c>
      <c r="J35" s="2035">
        <v>0</v>
      </c>
      <c r="K35" s="2035">
        <v>0</v>
      </c>
      <c r="L35" s="2035">
        <v>0</v>
      </c>
      <c r="M35" s="2035"/>
      <c r="N35" s="2035">
        <v>0</v>
      </c>
      <c r="O35" s="2035"/>
      <c r="P35" s="2035">
        <v>0</v>
      </c>
      <c r="Q35" s="2035">
        <v>0</v>
      </c>
      <c r="R35" s="2036">
        <f t="shared" si="3"/>
        <v>0</v>
      </c>
      <c r="S35" s="2036"/>
      <c r="T35" s="2035">
        <v>0</v>
      </c>
      <c r="U35" s="2039"/>
      <c r="V35" s="2038">
        <f t="shared" si="2"/>
        <v>0</v>
      </c>
      <c r="W35" s="2032"/>
    </row>
    <row r="36" spans="1:25" ht="16.5">
      <c r="A36" s="1566"/>
      <c r="B36" s="2041" t="s">
        <v>1048</v>
      </c>
      <c r="C36" s="2042"/>
      <c r="D36" s="2035">
        <v>0</v>
      </c>
      <c r="E36" s="2035">
        <v>0</v>
      </c>
      <c r="F36" s="2035">
        <v>0</v>
      </c>
      <c r="G36" s="2035">
        <v>0</v>
      </c>
      <c r="H36" s="2035">
        <v>0</v>
      </c>
      <c r="I36" s="2035">
        <v>0</v>
      </c>
      <c r="J36" s="2035">
        <v>0</v>
      </c>
      <c r="K36" s="2035">
        <v>0</v>
      </c>
      <c r="L36" s="2035">
        <v>0</v>
      </c>
      <c r="M36" s="2035"/>
      <c r="N36" s="2035">
        <v>0</v>
      </c>
      <c r="O36" s="2035"/>
      <c r="P36" s="2035">
        <v>0</v>
      </c>
      <c r="Q36" s="2035">
        <v>0</v>
      </c>
      <c r="R36" s="2036">
        <f t="shared" si="3"/>
        <v>0</v>
      </c>
      <c r="S36" s="2036"/>
      <c r="T36" s="2035">
        <v>0</v>
      </c>
      <c r="U36" s="2038"/>
      <c r="V36" s="2038">
        <f>SUM(R36-T36,0)</f>
        <v>0</v>
      </c>
      <c r="W36" s="2032"/>
    </row>
    <row r="37" spans="1:25" ht="16.5">
      <c r="A37" s="1565"/>
      <c r="B37" s="2003" t="s">
        <v>901</v>
      </c>
      <c r="C37" s="2003"/>
      <c r="D37" s="2035">
        <v>0</v>
      </c>
      <c r="E37" s="2035">
        <v>0</v>
      </c>
      <c r="F37" s="2035">
        <v>0</v>
      </c>
      <c r="G37" s="2035">
        <v>0</v>
      </c>
      <c r="H37" s="2035">
        <v>0</v>
      </c>
      <c r="I37" s="2035">
        <v>0</v>
      </c>
      <c r="J37" s="2035">
        <v>0</v>
      </c>
      <c r="K37" s="2035">
        <v>0</v>
      </c>
      <c r="L37" s="2035">
        <v>0</v>
      </c>
      <c r="M37" s="2035"/>
      <c r="N37" s="2035">
        <v>0</v>
      </c>
      <c r="O37" s="2035"/>
      <c r="P37" s="2035">
        <v>0</v>
      </c>
      <c r="Q37" s="2035">
        <v>0</v>
      </c>
      <c r="R37" s="2036">
        <f>ROUND(SUM(D37:Q37),0)</f>
        <v>0</v>
      </c>
      <c r="S37" s="2036"/>
      <c r="T37" s="2035">
        <v>0</v>
      </c>
      <c r="U37" s="2043"/>
      <c r="V37" s="2038">
        <f t="shared" si="2"/>
        <v>0</v>
      </c>
      <c r="W37" s="2032"/>
      <c r="Y37" s="1567"/>
    </row>
    <row r="38" spans="1:25" ht="16.5">
      <c r="B38" s="2003" t="s">
        <v>443</v>
      </c>
      <c r="C38" s="2003"/>
      <c r="D38" s="2035">
        <v>0</v>
      </c>
      <c r="E38" s="2035">
        <v>0</v>
      </c>
      <c r="F38" s="2035">
        <v>0</v>
      </c>
      <c r="G38" s="2035">
        <v>0</v>
      </c>
      <c r="H38" s="2035">
        <v>0</v>
      </c>
      <c r="I38" s="2035">
        <v>0</v>
      </c>
      <c r="J38" s="2035">
        <v>0</v>
      </c>
      <c r="K38" s="2035">
        <v>0</v>
      </c>
      <c r="L38" s="2035">
        <v>0</v>
      </c>
      <c r="M38" s="2035"/>
      <c r="N38" s="2035">
        <v>0</v>
      </c>
      <c r="O38" s="2035"/>
      <c r="P38" s="2035">
        <v>0</v>
      </c>
      <c r="Q38" s="2035">
        <v>0</v>
      </c>
      <c r="R38" s="2036">
        <f>ROUND(SUM(D38:Q38),0)</f>
        <v>0</v>
      </c>
      <c r="S38" s="2036"/>
      <c r="T38" s="3393">
        <v>0</v>
      </c>
      <c r="U38" s="2044"/>
      <c r="V38" s="2038">
        <f t="shared" si="2"/>
        <v>0</v>
      </c>
      <c r="W38" s="2032"/>
    </row>
    <row r="39" spans="1:25" ht="16.5">
      <c r="A39" s="1568"/>
      <c r="B39" s="2006" t="s">
        <v>444</v>
      </c>
      <c r="C39" s="2006"/>
      <c r="D39" s="2009"/>
      <c r="E39" s="2009"/>
      <c r="F39" s="2009"/>
      <c r="G39" s="2009"/>
      <c r="H39" s="2045"/>
      <c r="I39" s="2045"/>
      <c r="J39" s="2037"/>
      <c r="K39" s="2037"/>
      <c r="L39" s="2037"/>
      <c r="M39" s="2037"/>
      <c r="N39" s="2045"/>
      <c r="O39" s="2045"/>
      <c r="P39" s="2045"/>
      <c r="Q39" s="2045"/>
      <c r="R39" s="2045"/>
      <c r="S39" s="2045"/>
      <c r="T39" s="2045"/>
      <c r="U39" s="2046"/>
      <c r="V39" s="2036"/>
      <c r="W39" s="2032"/>
    </row>
    <row r="40" spans="1:25" s="1564" customFormat="1" ht="17.25" thickBot="1">
      <c r="B40" s="2047" t="s">
        <v>445</v>
      </c>
      <c r="C40" s="2011"/>
      <c r="D40" s="2048">
        <f>ROUND(SUM(D15:D38),0)</f>
        <v>0</v>
      </c>
      <c r="E40" s="2049"/>
      <c r="F40" s="2048">
        <f>ROUND(SUM(F15:F38),0)</f>
        <v>111496026</v>
      </c>
      <c r="G40" s="2049"/>
      <c r="H40" s="2048">
        <f>ROUND(SUM(H15:H38),0)</f>
        <v>12054964</v>
      </c>
      <c r="I40" s="2049"/>
      <c r="J40" s="2048">
        <f>ROUND(SUM(J15:J38),0)</f>
        <v>0</v>
      </c>
      <c r="K40" s="2050"/>
      <c r="L40" s="2048">
        <f>ROUND(SUM(L15:L38),0)</f>
        <v>0</v>
      </c>
      <c r="M40" s="2050"/>
      <c r="N40" s="2048">
        <f>ROUND(SUM(N15:N38),0)</f>
        <v>0</v>
      </c>
      <c r="O40" s="2049"/>
      <c r="P40" s="2048">
        <f>ROUND(SUM(P15:P38),0)</f>
        <v>0</v>
      </c>
      <c r="Q40" s="2049"/>
      <c r="R40" s="2048">
        <f>ROUND(SUM(R15:R38),0)</f>
        <v>123550990</v>
      </c>
      <c r="S40" s="2049"/>
      <c r="T40" s="2048">
        <f>ROUND(SUM(T15:T38),0)</f>
        <v>139804501</v>
      </c>
      <c r="U40" s="2049"/>
      <c r="V40" s="2048">
        <f>ROUND(SUM(V15:V38),0)</f>
        <v>-16253511</v>
      </c>
      <c r="W40" s="2032"/>
    </row>
    <row r="41" spans="1:25" ht="17.25" thickTop="1">
      <c r="C41" s="2051"/>
      <c r="D41" s="2003"/>
      <c r="E41" s="2003"/>
      <c r="F41" s="2003"/>
      <c r="G41" s="2003"/>
      <c r="H41" s="2003"/>
      <c r="I41" s="2003"/>
      <c r="J41" s="2003"/>
      <c r="K41" s="2003"/>
      <c r="L41" s="2003"/>
      <c r="M41" s="2003"/>
      <c r="N41" s="2003"/>
      <c r="O41" s="2003"/>
      <c r="P41" s="2003"/>
      <c r="Q41" s="2003"/>
      <c r="R41" s="2003"/>
      <c r="S41" s="2003"/>
      <c r="T41" s="2003"/>
      <c r="U41" s="2003"/>
      <c r="V41" s="2052"/>
      <c r="W41" s="2004"/>
    </row>
    <row r="42" spans="1:25" ht="16.5">
      <c r="B42" s="3787"/>
      <c r="C42" s="2003"/>
      <c r="D42" s="2003"/>
      <c r="E42" s="2003"/>
      <c r="F42" s="2003"/>
      <c r="G42" s="2003"/>
      <c r="H42" s="2003"/>
      <c r="I42" s="2003"/>
      <c r="J42" s="2003"/>
      <c r="K42" s="2003"/>
      <c r="L42" s="2003"/>
      <c r="M42" s="2003"/>
      <c r="N42" s="2003"/>
      <c r="O42" s="2003"/>
      <c r="P42" s="2003"/>
      <c r="Q42" s="2003"/>
      <c r="R42" s="3305" t="s">
        <v>14</v>
      </c>
      <c r="S42" s="2003"/>
      <c r="T42" s="2003"/>
      <c r="U42" s="2003"/>
      <c r="V42" s="2003"/>
    </row>
    <row r="43" spans="1:25" ht="15">
      <c r="B43" s="3788"/>
      <c r="R43" s="3306" t="s">
        <v>14</v>
      </c>
    </row>
    <row r="44" spans="1:25" ht="15">
      <c r="B44" s="1569"/>
      <c r="R44" s="3656" t="s">
        <v>14</v>
      </c>
    </row>
    <row r="45" spans="1:25" ht="15">
      <c r="B45" s="1569"/>
      <c r="R45" s="3306" t="s">
        <v>14</v>
      </c>
    </row>
    <row r="49" spans="2:2">
      <c r="B49" s="1563" t="s">
        <v>14</v>
      </c>
    </row>
  </sheetData>
  <dataConsolidate/>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6640625" defaultRowHeight="15"/>
  <cols>
    <col min="1" max="1" width="2.109375" style="1311" customWidth="1"/>
    <col min="2" max="4" width="9.6640625" style="1311" customWidth="1"/>
    <col min="5" max="5" width="10.44140625" style="1311" customWidth="1"/>
    <col min="6" max="6" width="14.6640625" style="1311" customWidth="1"/>
    <col min="7" max="7" width="1.109375" style="1311" customWidth="1"/>
    <col min="8" max="8" width="16.6640625" style="1311" customWidth="1"/>
    <col min="9" max="9" width="1.109375" style="1311" customWidth="1"/>
    <col min="10" max="10" width="16.6640625" style="1311" bestFit="1" customWidth="1"/>
    <col min="11" max="11" width="9.6640625" style="1311" customWidth="1"/>
    <col min="12" max="12" width="15.6640625" style="1311" customWidth="1"/>
    <col min="13" max="16384" width="8.6640625" style="1311"/>
  </cols>
  <sheetData>
    <row r="1" spans="2:12">
      <c r="B1" s="3435" t="s">
        <v>870</v>
      </c>
    </row>
    <row r="2" spans="2:12">
      <c r="B2" s="804"/>
    </row>
    <row r="3" spans="2:12" ht="15.75">
      <c r="B3" s="698" t="s">
        <v>0</v>
      </c>
      <c r="J3" s="1178" t="s">
        <v>1047</v>
      </c>
    </row>
    <row r="4" spans="2:12" ht="15.75">
      <c r="B4" s="805" t="s">
        <v>1046</v>
      </c>
    </row>
    <row r="5" spans="2:12" ht="15.75">
      <c r="B5" s="1895" t="str">
        <f>'Sch 1 '!A8</f>
        <v>FOR THE MONTH OF MAY 2022</v>
      </c>
      <c r="C5" s="1896"/>
      <c r="D5" s="1896"/>
      <c r="E5" s="1896"/>
      <c r="F5" s="1896"/>
      <c r="G5" s="1896"/>
      <c r="H5" s="1896"/>
      <c r="I5" s="1896"/>
      <c r="J5" s="1896"/>
      <c r="K5" s="1896"/>
      <c r="L5" s="1896"/>
    </row>
    <row r="6" spans="2:12" ht="15.75">
      <c r="B6" s="1895" t="s">
        <v>780</v>
      </c>
      <c r="C6" s="1896"/>
      <c r="D6" s="1896"/>
      <c r="E6" s="1896"/>
      <c r="F6" s="1896"/>
      <c r="G6" s="1896"/>
      <c r="H6" s="1896"/>
      <c r="I6" s="1896"/>
      <c r="J6" s="1896"/>
      <c r="K6" s="1896"/>
      <c r="L6" s="1896"/>
    </row>
    <row r="7" spans="2:12" ht="12.6" customHeight="1">
      <c r="B7" s="1895" t="s">
        <v>1250</v>
      </c>
      <c r="C7" s="1897"/>
      <c r="D7" s="1897"/>
      <c r="E7" s="1897"/>
      <c r="F7" s="1897"/>
      <c r="G7" s="1897"/>
      <c r="H7" s="1897"/>
      <c r="I7" s="1897"/>
      <c r="J7" s="1897"/>
      <c r="K7" s="1897"/>
      <c r="L7" s="1897"/>
    </row>
    <row r="8" spans="2:12">
      <c r="B8" s="390"/>
      <c r="G8" s="390"/>
      <c r="I8" s="390"/>
    </row>
    <row r="9" spans="2:12" ht="15.75">
      <c r="B9" s="390"/>
      <c r="F9" s="391" t="s">
        <v>6</v>
      </c>
      <c r="G9" s="390"/>
      <c r="H9" s="392" t="s">
        <v>447</v>
      </c>
      <c r="I9" s="390"/>
      <c r="J9" s="391" t="s">
        <v>446</v>
      </c>
    </row>
    <row r="10" spans="2:12" ht="15.75">
      <c r="B10" s="390"/>
      <c r="F10" s="393" t="s">
        <v>1504</v>
      </c>
      <c r="G10" s="390"/>
      <c r="H10" s="392" t="s">
        <v>449</v>
      </c>
      <c r="I10" s="390"/>
      <c r="J10" s="392" t="s">
        <v>448</v>
      </c>
    </row>
    <row r="11" spans="2:12" ht="15.75">
      <c r="B11" s="390"/>
      <c r="F11" s="1847"/>
      <c r="G11" s="390"/>
      <c r="H11" s="1847"/>
      <c r="I11" s="390"/>
      <c r="J11" s="1847"/>
    </row>
    <row r="12" spans="2:12" ht="15.75">
      <c r="B12" s="394" t="s">
        <v>863</v>
      </c>
      <c r="G12" s="390"/>
      <c r="I12" s="390"/>
      <c r="J12" s="697"/>
      <c r="K12" s="697"/>
    </row>
    <row r="13" spans="2:12">
      <c r="B13" s="390"/>
      <c r="G13" s="390"/>
      <c r="I13" s="390"/>
      <c r="J13" s="697"/>
      <c r="K13" s="697"/>
    </row>
    <row r="14" spans="2:12">
      <c r="B14" s="644" t="s">
        <v>862</v>
      </c>
      <c r="F14" s="2987">
        <v>73739.399999999994</v>
      </c>
      <c r="G14" s="2987"/>
      <c r="H14" s="3308">
        <v>70135.5</v>
      </c>
      <c r="I14" s="1312"/>
      <c r="J14" s="3876">
        <v>31441</v>
      </c>
      <c r="K14" s="697"/>
    </row>
    <row r="15" spans="2:12">
      <c r="B15" s="644" t="s">
        <v>861</v>
      </c>
      <c r="F15" s="2988">
        <v>7.3200000000000001E-3</v>
      </c>
      <c r="G15" s="695"/>
      <c r="H15" s="3309">
        <v>5.7400000000000003E-3</v>
      </c>
      <c r="I15" s="786"/>
      <c r="J15" s="3877">
        <v>6.8999999999999997E-4</v>
      </c>
      <c r="K15" s="697"/>
    </row>
    <row r="16" spans="2:12">
      <c r="B16" s="786" t="s">
        <v>450</v>
      </c>
      <c r="F16" s="2989">
        <v>45.539000000000001</v>
      </c>
      <c r="G16" s="3310"/>
      <c r="H16" s="3311">
        <v>67.361999999999995</v>
      </c>
      <c r="I16" s="879"/>
      <c r="J16" s="3878">
        <v>3.649</v>
      </c>
      <c r="K16" s="697"/>
    </row>
    <row r="17" spans="2:11">
      <c r="B17" s="390"/>
      <c r="J17" s="697"/>
      <c r="K17" s="396"/>
    </row>
    <row r="18" spans="2:11">
      <c r="B18" s="855"/>
      <c r="C18" s="1313"/>
      <c r="D18" s="1313"/>
      <c r="E18" s="1313"/>
      <c r="F18" s="1313"/>
      <c r="G18" s="1313"/>
      <c r="H18" s="1313"/>
      <c r="I18" s="1313"/>
      <c r="J18" s="3005"/>
      <c r="K18" s="855"/>
    </row>
    <row r="19" spans="2:11" ht="15" customHeight="1">
      <c r="B19" s="855"/>
      <c r="C19" s="1313"/>
      <c r="D19" s="1313"/>
      <c r="E19" s="1313"/>
      <c r="F19" s="1313"/>
      <c r="G19" s="1313"/>
      <c r="H19" s="1313"/>
      <c r="I19" s="1313"/>
      <c r="J19" s="3005"/>
      <c r="K19" s="855"/>
    </row>
    <row r="20" spans="2:11" ht="18">
      <c r="B20" s="856" t="s">
        <v>451</v>
      </c>
      <c r="C20" s="857"/>
      <c r="D20" s="857"/>
      <c r="E20" s="1313"/>
      <c r="F20" s="1313"/>
      <c r="G20" s="1313"/>
      <c r="H20" s="1313"/>
      <c r="I20" s="1313"/>
      <c r="J20" s="3005"/>
      <c r="K20" s="855"/>
    </row>
    <row r="21" spans="2:11">
      <c r="B21" s="855"/>
      <c r="C21" s="1313"/>
      <c r="D21" s="1313"/>
      <c r="E21" s="1313"/>
      <c r="F21" s="1313"/>
      <c r="G21" s="604"/>
      <c r="H21" s="604" t="str">
        <f>F10</f>
        <v>MAY 2022</v>
      </c>
      <c r="I21" s="2080"/>
      <c r="J21" s="3396" t="s">
        <v>1506</v>
      </c>
      <c r="K21" s="855"/>
    </row>
    <row r="22" spans="2:11">
      <c r="B22" s="855"/>
      <c r="C22" s="858" t="s">
        <v>452</v>
      </c>
      <c r="D22" s="1313"/>
      <c r="E22" s="1314" t="s">
        <v>14</v>
      </c>
      <c r="F22" s="1313"/>
      <c r="G22" s="859"/>
      <c r="H22" s="1900" t="s">
        <v>453</v>
      </c>
      <c r="I22" s="859"/>
      <c r="J22" s="3397" t="s">
        <v>453</v>
      </c>
      <c r="K22" s="855"/>
    </row>
    <row r="23" spans="2:11">
      <c r="B23" s="855"/>
      <c r="C23" s="1314" t="s">
        <v>454</v>
      </c>
      <c r="D23" s="1313"/>
      <c r="E23" s="1313"/>
      <c r="F23" s="1313"/>
      <c r="G23" s="1315"/>
      <c r="H23" s="1316">
        <v>44715.5</v>
      </c>
      <c r="I23" s="1315"/>
      <c r="J23" s="3843">
        <v>24363.200000000001</v>
      </c>
      <c r="K23" s="855"/>
    </row>
    <row r="24" spans="2:11">
      <c r="B24" s="855"/>
      <c r="C24" s="1314" t="s">
        <v>455</v>
      </c>
      <c r="D24" s="1313"/>
      <c r="E24" s="1313"/>
      <c r="F24" s="1313"/>
      <c r="G24" s="1315"/>
      <c r="H24" s="1317">
        <v>397.9</v>
      </c>
      <c r="I24" s="1315"/>
      <c r="J24" s="3844">
        <v>107.9</v>
      </c>
      <c r="K24" s="855"/>
    </row>
    <row r="25" spans="2:11">
      <c r="B25" s="855"/>
      <c r="C25" s="1314" t="s">
        <v>1353</v>
      </c>
      <c r="D25" s="1313"/>
      <c r="E25" s="1313"/>
      <c r="F25" s="1313"/>
      <c r="G25" s="1315"/>
      <c r="H25" s="1317">
        <v>630.20000000000005</v>
      </c>
      <c r="I25" s="1315"/>
      <c r="J25" s="3844">
        <v>615</v>
      </c>
      <c r="K25" s="855"/>
    </row>
    <row r="26" spans="2:11">
      <c r="B26" s="855"/>
      <c r="C26" s="1314" t="s">
        <v>456</v>
      </c>
      <c r="D26" s="1313"/>
      <c r="E26" s="1313"/>
      <c r="F26" s="1313"/>
      <c r="G26" s="1318"/>
      <c r="H26" s="1317">
        <v>23420.5</v>
      </c>
      <c r="I26" s="1318"/>
      <c r="J26" s="3844">
        <v>16595.900000000001</v>
      </c>
      <c r="K26" s="855" t="s">
        <v>14</v>
      </c>
    </row>
    <row r="27" spans="2:11">
      <c r="B27" s="855"/>
      <c r="C27" s="1314" t="s">
        <v>457</v>
      </c>
      <c r="D27" s="1313"/>
      <c r="E27" s="1313"/>
      <c r="F27" s="1313"/>
      <c r="G27" s="1318"/>
      <c r="H27" s="1317">
        <v>1846.3</v>
      </c>
      <c r="I27" s="1318"/>
      <c r="J27" s="3844">
        <v>2962.4</v>
      </c>
      <c r="K27" s="855" t="s">
        <v>14</v>
      </c>
    </row>
    <row r="28" spans="2:11">
      <c r="B28" s="855"/>
      <c r="C28" s="860" t="s">
        <v>745</v>
      </c>
      <c r="D28" s="1313"/>
      <c r="E28" s="1313"/>
      <c r="F28" s="1313"/>
      <c r="G28" s="1319"/>
      <c r="H28" s="1317">
        <v>243</v>
      </c>
      <c r="I28" s="1319"/>
      <c r="J28" s="3844">
        <v>923</v>
      </c>
      <c r="K28" s="855"/>
    </row>
    <row r="29" spans="2:11" ht="16.5" thickBot="1">
      <c r="B29" s="855"/>
      <c r="C29" s="1313"/>
      <c r="D29" s="1313"/>
      <c r="E29" s="1313"/>
      <c r="F29" s="1313"/>
      <c r="G29" s="395"/>
      <c r="H29" s="1848">
        <f>ROUND(SUM(H23:H28),1)</f>
        <v>71253.399999999994</v>
      </c>
      <c r="I29" s="395"/>
      <c r="J29" s="3861">
        <f>ROUND(SUM(J23:J28),1)</f>
        <v>45567.4</v>
      </c>
      <c r="K29" s="855"/>
    </row>
    <row r="30" spans="2:11" ht="15.75" thickTop="1">
      <c r="B30" s="390"/>
      <c r="G30" s="1320"/>
      <c r="H30" s="1320"/>
      <c r="I30" s="1320"/>
      <c r="J30" s="697"/>
      <c r="K30" s="390"/>
    </row>
    <row r="31" spans="2:11">
      <c r="B31" s="390"/>
      <c r="K31" s="390"/>
    </row>
    <row r="32" spans="2:11" ht="15.75">
      <c r="B32" s="394"/>
      <c r="K32" s="390"/>
    </row>
    <row r="33" spans="2:12" ht="192.75" customHeight="1">
      <c r="B33" s="3977" t="s">
        <v>1340</v>
      </c>
      <c r="C33" s="3977"/>
      <c r="D33" s="3977"/>
      <c r="E33" s="3977"/>
      <c r="F33" s="3977"/>
      <c r="G33" s="3977"/>
      <c r="H33" s="3977"/>
      <c r="I33" s="3977"/>
      <c r="J33" s="3977"/>
      <c r="K33" s="390"/>
    </row>
    <row r="35" spans="2:12" ht="15" customHeight="1">
      <c r="B35" s="631" t="s">
        <v>864</v>
      </c>
      <c r="C35" s="696"/>
      <c r="D35" s="696"/>
      <c r="E35" s="696"/>
      <c r="F35" s="696"/>
      <c r="G35" s="696"/>
      <c r="H35" s="696"/>
      <c r="I35" s="696"/>
      <c r="J35" s="696"/>
      <c r="K35" s="696"/>
      <c r="L35" s="696"/>
    </row>
    <row r="36" spans="2:12" ht="17.25" customHeight="1">
      <c r="B36" s="694"/>
      <c r="C36" s="697"/>
      <c r="D36" s="697"/>
      <c r="E36" s="697"/>
      <c r="F36" s="697"/>
      <c r="G36" s="697"/>
      <c r="H36" s="697"/>
      <c r="I36" s="697"/>
      <c r="J36" s="697"/>
      <c r="K36" s="697"/>
      <c r="L36" s="396"/>
    </row>
    <row r="37" spans="2:12">
      <c r="B37" s="786"/>
      <c r="C37" s="786"/>
      <c r="D37" s="697"/>
      <c r="E37" s="697"/>
      <c r="F37" s="697"/>
      <c r="G37" s="697"/>
      <c r="H37" s="697"/>
      <c r="I37" s="697"/>
      <c r="J37" s="697"/>
      <c r="K37" s="697"/>
      <c r="L37" s="396"/>
    </row>
    <row r="38" spans="2:12">
      <c r="B38" s="694"/>
      <c r="C38" s="695"/>
      <c r="D38" s="697"/>
      <c r="E38" s="697"/>
      <c r="F38" s="697"/>
      <c r="G38" s="697"/>
      <c r="H38" s="697"/>
      <c r="I38" s="697"/>
      <c r="J38" s="697"/>
      <c r="K38" s="697"/>
      <c r="L38" s="396"/>
    </row>
    <row r="39" spans="2:12">
      <c r="B39" s="390"/>
      <c r="C39" s="786" t="s">
        <v>14</v>
      </c>
      <c r="D39" s="390"/>
      <c r="E39" s="390"/>
      <c r="F39" s="390"/>
      <c r="G39" s="390"/>
      <c r="H39" s="390"/>
      <c r="I39" s="390"/>
      <c r="J39" s="390"/>
    </row>
    <row r="40" spans="2:12">
      <c r="C40" s="786" t="s">
        <v>14</v>
      </c>
    </row>
  </sheetData>
  <mergeCells count="1">
    <mergeCell ref="B33:J33"/>
  </mergeCells>
  <printOptions horizontalCentered="1"/>
  <pageMargins left="0.5" right="0.5" top="1" bottom="0.5" header="0.5" footer="0.25"/>
  <pageSetup scale="70"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5"/>
  <sheetViews>
    <sheetView showGridLines="0" zoomScale="80" zoomScaleNormal="55" workbookViewId="0"/>
  </sheetViews>
  <sheetFormatPr defaultColWidth="8.6640625" defaultRowHeight="15"/>
  <cols>
    <col min="1" max="1" width="45.44140625" style="1688" customWidth="1"/>
    <col min="2" max="2" width="17" style="1520" customWidth="1"/>
    <col min="3" max="3" width="1.6640625" style="1520" customWidth="1"/>
    <col min="4" max="4" width="17" style="1520" customWidth="1"/>
    <col min="5" max="5" width="1.6640625" style="1519" customWidth="1"/>
    <col min="6" max="6" width="17" style="1520" customWidth="1"/>
    <col min="7" max="7" width="1.6640625" style="1519" customWidth="1"/>
    <col min="8" max="8" width="17" style="1520" customWidth="1"/>
    <col min="9" max="9" width="1.6640625" style="1738" customWidth="1"/>
    <col min="10" max="10" width="17" style="1693" customWidth="1"/>
    <col min="11" max="11" width="1.6640625" style="1693" customWidth="1"/>
    <col min="12" max="12" width="17" style="1693" customWidth="1"/>
    <col min="13" max="13" width="1.6640625" style="1738" customWidth="1"/>
    <col min="14" max="14" width="17" style="1693" customWidth="1"/>
    <col min="15" max="15" width="1.6640625" style="1738" customWidth="1"/>
    <col min="16" max="16" width="17" style="1693" customWidth="1"/>
    <col min="17" max="17" width="1.6640625" style="1738" customWidth="1"/>
    <col min="18" max="18" width="17" style="1693" customWidth="1"/>
    <col min="19" max="19" width="1.6640625" style="1738" customWidth="1"/>
    <col min="20" max="20" width="17" style="1693" customWidth="1"/>
    <col min="21" max="21" width="1.6640625" style="1738" customWidth="1"/>
    <col min="22" max="22" width="17" style="1693" customWidth="1"/>
    <col min="23" max="23" width="1.6640625" style="1738" customWidth="1"/>
    <col min="24" max="24" width="17" style="1693" customWidth="1"/>
    <col min="25" max="25" width="1.6640625" style="1738" customWidth="1"/>
    <col min="26" max="26" width="17" style="1739" customWidth="1"/>
    <col min="27" max="27" width="1.5546875" style="1706" customWidth="1"/>
    <col min="28" max="28" width="18.6640625" style="1688" bestFit="1" customWidth="1"/>
    <col min="29" max="29" width="12.6640625" style="1688" bestFit="1" customWidth="1"/>
    <col min="30" max="16384" width="8.6640625" style="1688"/>
  </cols>
  <sheetData>
    <row r="1" spans="1:40">
      <c r="A1" s="1462" t="s">
        <v>870</v>
      </c>
      <c r="B1" s="1282"/>
      <c r="C1" s="1282"/>
      <c r="D1" s="1282"/>
      <c r="E1" s="1282"/>
      <c r="F1" s="1282"/>
      <c r="G1" s="1282"/>
      <c r="H1" s="1282"/>
      <c r="I1" s="1687"/>
      <c r="J1" s="1687"/>
      <c r="K1" s="1687"/>
      <c r="L1" s="1687"/>
      <c r="M1" s="1687"/>
      <c r="N1" s="1687"/>
      <c r="O1" s="1687"/>
      <c r="P1" s="1687"/>
      <c r="Q1" s="1687"/>
      <c r="R1" s="1687"/>
      <c r="S1" s="1687"/>
      <c r="T1" s="1687"/>
      <c r="U1" s="1687"/>
      <c r="V1" s="1687"/>
      <c r="W1" s="1687"/>
      <c r="X1" s="1687"/>
      <c r="Y1" s="1687"/>
      <c r="Z1" s="1687"/>
      <c r="AA1" s="3332"/>
      <c r="AB1" s="1687"/>
      <c r="AC1" s="1687"/>
      <c r="AD1" s="1687"/>
      <c r="AE1" s="1687"/>
      <c r="AF1" s="1687"/>
      <c r="AG1" s="1687"/>
    </row>
    <row r="2" spans="1:40">
      <c r="A2" s="1462"/>
      <c r="B2" s="1282"/>
      <c r="C2" s="1282"/>
      <c r="D2" s="1282"/>
      <c r="E2" s="1282"/>
      <c r="F2" s="1282"/>
      <c r="G2" s="1282"/>
      <c r="H2" s="1282"/>
      <c r="I2" s="1687"/>
      <c r="J2" s="1687"/>
      <c r="K2" s="1687"/>
      <c r="L2" s="1687"/>
      <c r="M2" s="1687"/>
      <c r="N2" s="1687"/>
      <c r="O2" s="1687"/>
      <c r="P2" s="1687"/>
      <c r="Q2" s="1687"/>
      <c r="R2" s="1687"/>
      <c r="S2" s="1687"/>
      <c r="T2" s="1687"/>
      <c r="U2" s="1687"/>
      <c r="V2" s="1687"/>
      <c r="W2" s="1687"/>
      <c r="X2" s="1687"/>
      <c r="Y2" s="1687"/>
      <c r="Z2" s="1687"/>
      <c r="AA2" s="3332"/>
      <c r="AB2" s="1687"/>
      <c r="AC2" s="1687"/>
      <c r="AD2" s="1687"/>
      <c r="AE2" s="1687"/>
      <c r="AF2" s="1687"/>
      <c r="AG2" s="1687"/>
    </row>
    <row r="3" spans="1:40" ht="17.850000000000001" customHeight="1">
      <c r="A3" s="1689" t="s">
        <v>0</v>
      </c>
      <c r="B3" s="468"/>
      <c r="C3" s="468"/>
      <c r="D3" s="469"/>
      <c r="E3" s="470"/>
      <c r="F3" s="469"/>
      <c r="G3" s="470"/>
      <c r="H3" s="469"/>
      <c r="I3" s="1692"/>
      <c r="K3" s="1690"/>
      <c r="L3" s="1694"/>
      <c r="M3" s="1690"/>
      <c r="N3" s="1691"/>
      <c r="O3" s="1692"/>
      <c r="P3" s="1691"/>
      <c r="Q3" s="1692"/>
      <c r="R3" s="1691"/>
      <c r="S3" s="1692"/>
      <c r="T3" s="1691"/>
      <c r="U3" s="1692"/>
      <c r="V3" s="1691"/>
      <c r="W3" s="1692"/>
      <c r="X3" s="1691"/>
      <c r="Y3" s="1692"/>
      <c r="Z3" s="1695" t="s">
        <v>458</v>
      </c>
      <c r="AA3" s="3333"/>
      <c r="AC3" s="1690"/>
      <c r="AE3" s="1690"/>
    </row>
    <row r="4" spans="1:40" ht="17.850000000000001" customHeight="1">
      <c r="A4" s="1689" t="s">
        <v>459</v>
      </c>
      <c r="B4" s="1283"/>
      <c r="C4" s="1283"/>
      <c r="D4" s="472"/>
      <c r="E4" s="470"/>
      <c r="F4" s="1283"/>
      <c r="G4" s="470"/>
      <c r="H4" s="1283"/>
      <c r="I4" s="1692"/>
      <c r="J4" s="1696"/>
      <c r="K4" s="1696"/>
      <c r="L4" s="1696"/>
      <c r="M4" s="1697"/>
      <c r="N4" s="1696"/>
      <c r="O4" s="1692"/>
      <c r="P4" s="1696"/>
      <c r="Q4" s="1692"/>
      <c r="R4" s="1696"/>
      <c r="S4" s="1692"/>
      <c r="T4" s="1696"/>
      <c r="U4" s="1692"/>
      <c r="V4" s="1696"/>
      <c r="W4" s="1692"/>
      <c r="X4" s="1696"/>
      <c r="Y4" s="1692"/>
      <c r="Z4" s="1698"/>
      <c r="AA4" s="3333"/>
      <c r="AC4" s="1690"/>
    </row>
    <row r="5" spans="1:40" ht="17.850000000000001" customHeight="1">
      <c r="A5" s="1699" t="s">
        <v>1064</v>
      </c>
      <c r="B5" s="1283"/>
      <c r="C5" s="1283"/>
      <c r="D5" s="1283"/>
      <c r="E5" s="470"/>
      <c r="F5" s="1283"/>
      <c r="G5" s="470"/>
      <c r="H5" s="1283"/>
      <c r="I5" s="1692"/>
      <c r="J5" s="1696"/>
      <c r="K5" s="1696"/>
      <c r="L5" s="1696"/>
      <c r="M5" s="1697"/>
      <c r="N5" s="1696"/>
      <c r="O5" s="1692"/>
      <c r="P5" s="1696"/>
      <c r="Q5" s="1692"/>
      <c r="R5" s="1696"/>
      <c r="S5" s="1692"/>
      <c r="T5" s="1696"/>
      <c r="U5" s="1692"/>
      <c r="V5" s="1696"/>
      <c r="W5" s="1692"/>
      <c r="X5" s="1696"/>
      <c r="Y5" s="1692"/>
      <c r="Z5" s="1698"/>
    </row>
    <row r="6" spans="1:40" ht="17.850000000000001" customHeight="1">
      <c r="A6" s="1700" t="str">
        <f>'Cashflow Governmental'!A6</f>
        <v xml:space="preserve">FISCAL YEAR 2022-2023   </v>
      </c>
      <c r="B6" s="1283"/>
      <c r="C6" s="1283"/>
      <c r="D6" s="477"/>
      <c r="E6" s="470"/>
      <c r="F6" s="1283"/>
      <c r="G6" s="470"/>
      <c r="H6" s="1283"/>
      <c r="I6" s="1692"/>
      <c r="J6" s="1696"/>
      <c r="K6" s="1696"/>
      <c r="L6" s="1696"/>
      <c r="M6" s="1697"/>
      <c r="N6" s="1696"/>
      <c r="O6" s="1692"/>
      <c r="P6" s="1696"/>
      <c r="Q6" s="1692"/>
      <c r="R6" s="1696"/>
      <c r="S6" s="1692"/>
      <c r="T6" s="1696"/>
      <c r="U6" s="1692"/>
      <c r="V6" s="1696"/>
      <c r="W6" s="1692"/>
      <c r="X6" s="1696"/>
      <c r="Y6" s="1692"/>
      <c r="Z6" s="1698"/>
    </row>
    <row r="7" spans="1:40" ht="18">
      <c r="A7" s="1701"/>
      <c r="B7" s="1283"/>
      <c r="C7" s="1283"/>
      <c r="D7" s="1283"/>
      <c r="E7" s="470"/>
      <c r="F7" s="1283"/>
      <c r="G7" s="470"/>
      <c r="H7" s="1283"/>
      <c r="I7" s="1692"/>
      <c r="J7" s="1696"/>
      <c r="K7" s="1696"/>
      <c r="L7" s="1696"/>
      <c r="M7" s="1697"/>
      <c r="N7" s="1696"/>
      <c r="O7" s="1692"/>
      <c r="P7" s="1696"/>
      <c r="Q7" s="1692"/>
      <c r="R7" s="1702"/>
      <c r="S7" s="1692"/>
      <c r="T7" s="1702"/>
      <c r="U7" s="1692"/>
      <c r="V7" s="1702"/>
      <c r="W7" s="1692"/>
      <c r="X7" s="1702"/>
      <c r="Y7" s="1692"/>
      <c r="Z7" s="1698"/>
    </row>
    <row r="8" spans="1:40" ht="15.75">
      <c r="A8" s="1703"/>
      <c r="B8" s="1283"/>
      <c r="C8" s="1283"/>
      <c r="D8" s="1283"/>
      <c r="E8" s="470"/>
      <c r="F8" s="1283"/>
      <c r="G8" s="470"/>
      <c r="H8" s="1283"/>
      <c r="I8" s="1692"/>
      <c r="J8" s="1696"/>
      <c r="K8" s="1696"/>
      <c r="L8" s="1696"/>
      <c r="M8" s="1692"/>
      <c r="N8" s="1696"/>
      <c r="O8" s="1692"/>
      <c r="P8" s="1696"/>
      <c r="Q8" s="1692"/>
      <c r="R8" s="1696"/>
      <c r="S8" s="1692"/>
      <c r="T8" s="1696"/>
      <c r="U8" s="1692"/>
      <c r="V8" s="1696"/>
      <c r="W8" s="1692"/>
      <c r="X8" s="1696"/>
      <c r="Y8" s="1692"/>
      <c r="Z8" s="1704"/>
      <c r="AA8" s="1705"/>
    </row>
    <row r="9" spans="1:40" ht="15.75">
      <c r="A9" s="1706"/>
      <c r="B9" s="886" t="str">
        <f>'Cashflow Governmental'!C13</f>
        <v>2022</v>
      </c>
      <c r="C9" s="480"/>
      <c r="D9" s="480"/>
      <c r="E9" s="473"/>
      <c r="F9" s="480"/>
      <c r="G9" s="473"/>
      <c r="H9" s="480"/>
      <c r="I9" s="1697"/>
      <c r="J9" s="1708"/>
      <c r="K9" s="1708"/>
      <c r="L9" s="1709"/>
      <c r="M9" s="1697"/>
      <c r="N9" s="1709"/>
      <c r="O9" s="1697"/>
      <c r="P9" s="1709"/>
      <c r="Q9" s="1697"/>
      <c r="R9" s="1709"/>
      <c r="S9" s="1697"/>
      <c r="T9" s="1707">
        <f>'Cashflow Governmental'!U13</f>
        <v>2023</v>
      </c>
      <c r="U9" s="1697"/>
      <c r="V9" s="1709"/>
      <c r="W9" s="1697"/>
      <c r="X9" s="1709"/>
      <c r="Y9" s="1697"/>
      <c r="Z9" s="1710" t="s">
        <v>1515</v>
      </c>
      <c r="AA9" s="1710"/>
    </row>
    <row r="10" spans="1:40" ht="15.75">
      <c r="A10" s="1706"/>
      <c r="B10" s="483" t="s">
        <v>122</v>
      </c>
      <c r="C10" s="484"/>
      <c r="D10" s="481" t="s">
        <v>123</v>
      </c>
      <c r="E10" s="473"/>
      <c r="F10" s="481" t="s">
        <v>124</v>
      </c>
      <c r="G10" s="473"/>
      <c r="H10" s="481" t="s">
        <v>125</v>
      </c>
      <c r="I10" s="1697"/>
      <c r="J10" s="1886" t="s">
        <v>126</v>
      </c>
      <c r="K10" s="485"/>
      <c r="L10" s="1709" t="s">
        <v>141</v>
      </c>
      <c r="M10" s="1697"/>
      <c r="N10" s="1709" t="s">
        <v>142</v>
      </c>
      <c r="O10" s="1697"/>
      <c r="P10" s="1709" t="s">
        <v>129</v>
      </c>
      <c r="Q10" s="1697"/>
      <c r="R10" s="1709" t="s">
        <v>130</v>
      </c>
      <c r="S10" s="1697"/>
      <c r="T10" s="1709" t="s">
        <v>131</v>
      </c>
      <c r="U10" s="1697"/>
      <c r="V10" s="1709" t="s">
        <v>132</v>
      </c>
      <c r="W10" s="1697"/>
      <c r="X10" s="1709" t="s">
        <v>182</v>
      </c>
      <c r="Y10" s="1697"/>
      <c r="Z10" s="1711">
        <v>44712</v>
      </c>
      <c r="AA10" s="1711"/>
    </row>
    <row r="11" spans="1:40" ht="15.75">
      <c r="A11" s="1706"/>
      <c r="B11" s="1815" t="s">
        <v>14</v>
      </c>
      <c r="C11" s="1287"/>
      <c r="D11" s="1815"/>
      <c r="E11" s="1288"/>
      <c r="F11" s="1815"/>
      <c r="G11" s="1288"/>
      <c r="H11" s="1815"/>
      <c r="I11" s="1714"/>
      <c r="J11" s="1712"/>
      <c r="K11" s="485"/>
      <c r="L11" s="1712"/>
      <c r="M11" s="1714"/>
      <c r="N11" s="1712"/>
      <c r="O11" s="1714"/>
      <c r="P11" s="1712"/>
      <c r="Q11" s="1714"/>
      <c r="R11" s="1712"/>
      <c r="S11" s="1714"/>
      <c r="T11" s="1712"/>
      <c r="U11" s="1714"/>
      <c r="V11" s="1712"/>
      <c r="W11" s="1714"/>
      <c r="X11" s="1712"/>
      <c r="Y11" s="1714"/>
      <c r="Z11" s="1715" t="s">
        <v>14</v>
      </c>
      <c r="AB11" s="1716"/>
      <c r="AC11" s="1716"/>
      <c r="AD11" s="1716"/>
      <c r="AE11" s="1716"/>
      <c r="AF11" s="1716"/>
      <c r="AG11" s="1716"/>
      <c r="AH11" s="1716"/>
      <c r="AI11" s="1716"/>
      <c r="AJ11" s="1716"/>
      <c r="AK11" s="1716"/>
      <c r="AL11" s="1716"/>
      <c r="AM11" s="1716"/>
      <c r="AN11" s="1716"/>
    </row>
    <row r="12" spans="1:40" s="1718" customFormat="1" ht="15.75">
      <c r="A12" s="499" t="s">
        <v>460</v>
      </c>
      <c r="B12" s="488">
        <v>87931710</v>
      </c>
      <c r="C12" s="489"/>
      <c r="D12" s="488">
        <f>B46</f>
        <v>141088217</v>
      </c>
      <c r="E12" s="1289"/>
      <c r="F12" s="488"/>
      <c r="G12" s="1289"/>
      <c r="H12" s="488"/>
      <c r="I12" s="1717"/>
      <c r="J12" s="488"/>
      <c r="K12" s="490"/>
      <c r="L12" s="488"/>
      <c r="M12" s="500"/>
      <c r="N12" s="488"/>
      <c r="O12" s="501"/>
      <c r="P12" s="501"/>
      <c r="Q12" s="501"/>
      <c r="R12" s="501"/>
      <c r="S12" s="501"/>
      <c r="T12" s="501"/>
      <c r="U12" s="501"/>
      <c r="V12" s="501"/>
      <c r="W12" s="501"/>
      <c r="X12" s="501"/>
      <c r="Y12" s="501"/>
      <c r="Z12" s="501">
        <f>+B12</f>
        <v>87931710</v>
      </c>
      <c r="AA12" s="3334"/>
    </row>
    <row r="13" spans="1:40" ht="15.75">
      <c r="A13" s="1719"/>
      <c r="B13" s="1291"/>
      <c r="C13" s="1292"/>
      <c r="D13" s="1291"/>
      <c r="E13" s="1291"/>
      <c r="F13" s="1291"/>
      <c r="G13" s="1291"/>
      <c r="H13" s="1291"/>
      <c r="I13" s="1301"/>
      <c r="J13" s="1301"/>
      <c r="K13" s="485"/>
      <c r="L13" s="1301"/>
      <c r="M13" s="1301"/>
      <c r="N13" s="1301"/>
      <c r="O13" s="1301"/>
      <c r="P13" s="1301"/>
      <c r="Q13" s="1301"/>
      <c r="R13" s="1301"/>
      <c r="S13" s="1301"/>
      <c r="T13" s="1301"/>
      <c r="U13" s="1301"/>
      <c r="V13" s="1301"/>
      <c r="W13" s="1301"/>
      <c r="X13" s="1301"/>
      <c r="Y13" s="1301"/>
      <c r="Z13" s="1721"/>
    </row>
    <row r="14" spans="1:40" ht="15.75">
      <c r="A14" s="498" t="s">
        <v>13</v>
      </c>
      <c r="B14" s="1291"/>
      <c r="C14" s="1292"/>
      <c r="D14" s="1291"/>
      <c r="E14" s="1291"/>
      <c r="F14" s="1291"/>
      <c r="G14" s="1291"/>
      <c r="H14" s="1291"/>
      <c r="I14" s="1301"/>
      <c r="J14" s="1301"/>
      <c r="K14" s="1301"/>
      <c r="L14" s="1301"/>
      <c r="M14" s="1301"/>
      <c r="N14" s="1301"/>
      <c r="O14" s="1301"/>
      <c r="P14" s="1301"/>
      <c r="Q14" s="1301"/>
      <c r="R14" s="1301"/>
      <c r="S14" s="1301"/>
      <c r="T14" s="1301"/>
      <c r="U14" s="1301"/>
      <c r="V14" s="1301"/>
      <c r="W14" s="1301"/>
      <c r="X14" s="1301"/>
      <c r="Y14" s="1301"/>
      <c r="Z14" s="1721"/>
    </row>
    <row r="15" spans="1:40">
      <c r="A15" s="797" t="s">
        <v>461</v>
      </c>
      <c r="B15" s="1294">
        <v>57756671</v>
      </c>
      <c r="C15" s="1295"/>
      <c r="D15" s="1294">
        <f>$Z15-B15</f>
        <v>51627116</v>
      </c>
      <c r="E15" s="1294"/>
      <c r="F15" s="1294"/>
      <c r="G15" s="1294"/>
      <c r="H15" s="1294"/>
      <c r="I15" s="1299"/>
      <c r="J15" s="1294"/>
      <c r="K15" s="1299"/>
      <c r="L15" s="1294"/>
      <c r="M15" s="1301"/>
      <c r="N15" s="1294"/>
      <c r="O15" s="1299"/>
      <c r="P15" s="1299"/>
      <c r="Q15" s="1299"/>
      <c r="R15" s="1299"/>
      <c r="S15" s="1299"/>
      <c r="T15" s="1299"/>
      <c r="U15" s="1299"/>
      <c r="V15" s="1299"/>
      <c r="W15" s="1299"/>
      <c r="X15" s="1299"/>
      <c r="Y15" s="1299"/>
      <c r="Z15" s="1299">
        <v>109383787</v>
      </c>
    </row>
    <row r="16" spans="1:40">
      <c r="A16" s="797" t="s">
        <v>1330</v>
      </c>
      <c r="B16" s="1294">
        <v>1135000</v>
      </c>
      <c r="C16" s="1295"/>
      <c r="D16" s="1294">
        <f t="shared" ref="D16:D23" si="0">$Z16-B16</f>
        <v>1655000</v>
      </c>
      <c r="E16" s="1294"/>
      <c r="F16" s="1294"/>
      <c r="G16" s="1294"/>
      <c r="H16" s="1294"/>
      <c r="I16" s="1299"/>
      <c r="J16" s="1294"/>
      <c r="K16" s="1299"/>
      <c r="L16" s="1294"/>
      <c r="M16" s="1301"/>
      <c r="N16" s="1294"/>
      <c r="O16" s="1299"/>
      <c r="P16" s="1299"/>
      <c r="Q16" s="1299"/>
      <c r="R16" s="1299"/>
      <c r="S16" s="1299"/>
      <c r="T16" s="1299"/>
      <c r="U16" s="1299"/>
      <c r="V16" s="1299"/>
      <c r="W16" s="1299"/>
      <c r="X16" s="1299"/>
      <c r="Y16" s="1299"/>
      <c r="Z16" s="1299">
        <v>2790000</v>
      </c>
    </row>
    <row r="17" spans="1:28">
      <c r="A17" s="797" t="s">
        <v>1327</v>
      </c>
      <c r="B17" s="1294">
        <v>-98534</v>
      </c>
      <c r="C17" s="1295"/>
      <c r="D17" s="1294">
        <f t="shared" si="0"/>
        <v>56454</v>
      </c>
      <c r="E17" s="1294"/>
      <c r="F17" s="1294"/>
      <c r="G17" s="1294"/>
      <c r="H17" s="1294"/>
      <c r="I17" s="1299"/>
      <c r="J17" s="1294"/>
      <c r="K17" s="1299"/>
      <c r="L17" s="1294"/>
      <c r="M17" s="1301"/>
      <c r="N17" s="1294"/>
      <c r="O17" s="1299"/>
      <c r="P17" s="1299"/>
      <c r="Q17" s="1299"/>
      <c r="R17" s="1299"/>
      <c r="S17" s="1299"/>
      <c r="T17" s="1299"/>
      <c r="U17" s="1299"/>
      <c r="V17" s="1299"/>
      <c r="W17" s="1299"/>
      <c r="X17" s="1299"/>
      <c r="Y17" s="1299"/>
      <c r="Z17" s="1299">
        <v>-42080</v>
      </c>
    </row>
    <row r="18" spans="1:28">
      <c r="A18" s="797" t="s">
        <v>462</v>
      </c>
      <c r="B18" s="1294">
        <v>81431</v>
      </c>
      <c r="C18" s="1295"/>
      <c r="D18" s="1294">
        <f t="shared" si="0"/>
        <v>128020</v>
      </c>
      <c r="E18" s="1294"/>
      <c r="F18" s="1294"/>
      <c r="G18" s="1294"/>
      <c r="H18" s="1294"/>
      <c r="I18" s="1299"/>
      <c r="J18" s="1294"/>
      <c r="K18" s="1299"/>
      <c r="L18" s="1294"/>
      <c r="M18" s="1301"/>
      <c r="N18" s="1294"/>
      <c r="O18" s="1299"/>
      <c r="P18" s="1299"/>
      <c r="Q18" s="1299"/>
      <c r="R18" s="1299"/>
      <c r="S18" s="1299"/>
      <c r="T18" s="1299"/>
      <c r="U18" s="1299"/>
      <c r="V18" s="1299"/>
      <c r="W18" s="1299"/>
      <c r="X18" s="1299"/>
      <c r="Y18" s="1299"/>
      <c r="Z18" s="1299">
        <v>209451</v>
      </c>
    </row>
    <row r="19" spans="1:28">
      <c r="A19" s="797" t="s">
        <v>463</v>
      </c>
      <c r="B19" s="1294">
        <v>460795000</v>
      </c>
      <c r="C19" s="1295"/>
      <c r="D19" s="1294">
        <f t="shared" si="0"/>
        <v>457110385</v>
      </c>
      <c r="E19" s="1294"/>
      <c r="F19" s="1294"/>
      <c r="G19" s="1294"/>
      <c r="H19" s="1294"/>
      <c r="I19" s="1299"/>
      <c r="J19" s="1294"/>
      <c r="K19" s="1299"/>
      <c r="L19" s="1294"/>
      <c r="M19" s="1301"/>
      <c r="N19" s="1294"/>
      <c r="O19" s="1299"/>
      <c r="P19" s="1299"/>
      <c r="Q19" s="1299"/>
      <c r="R19" s="1299"/>
      <c r="S19" s="1299"/>
      <c r="T19" s="1299"/>
      <c r="U19" s="1299"/>
      <c r="V19" s="1299"/>
      <c r="W19" s="1299"/>
      <c r="X19" s="1299"/>
      <c r="Y19" s="1299"/>
      <c r="Z19" s="1299">
        <v>917905385</v>
      </c>
    </row>
    <row r="20" spans="1:28">
      <c r="A20" s="797" t="s">
        <v>464</v>
      </c>
      <c r="B20" s="1294">
        <v>258000</v>
      </c>
      <c r="C20" s="1297"/>
      <c r="D20" s="1294">
        <f t="shared" si="0"/>
        <v>263000</v>
      </c>
      <c r="E20" s="1294"/>
      <c r="F20" s="1294"/>
      <c r="G20" s="1294"/>
      <c r="H20" s="1294"/>
      <c r="I20" s="1299"/>
      <c r="J20" s="1294"/>
      <c r="K20" s="1302"/>
      <c r="L20" s="1294"/>
      <c r="M20" s="1301"/>
      <c r="N20" s="1294"/>
      <c r="O20" s="1299"/>
      <c r="P20" s="1299"/>
      <c r="Q20" s="1299"/>
      <c r="R20" s="1299"/>
      <c r="S20" s="1299"/>
      <c r="T20" s="1299"/>
      <c r="U20" s="1299"/>
      <c r="V20" s="1299"/>
      <c r="W20" s="1305"/>
      <c r="X20" s="1299"/>
      <c r="Y20" s="1299"/>
      <c r="Z20" s="1299">
        <v>521000</v>
      </c>
    </row>
    <row r="21" spans="1:28">
      <c r="A21" s="797" t="s">
        <v>465</v>
      </c>
      <c r="B21" s="1294">
        <v>2674887</v>
      </c>
      <c r="C21" s="1297"/>
      <c r="D21" s="1294">
        <f t="shared" si="0"/>
        <v>98629</v>
      </c>
      <c r="E21" s="1294"/>
      <c r="F21" s="1294"/>
      <c r="G21" s="1294"/>
      <c r="H21" s="1294"/>
      <c r="I21" s="1299"/>
      <c r="J21" s="1294"/>
      <c r="K21" s="1302"/>
      <c r="L21" s="1294"/>
      <c r="M21" s="1301"/>
      <c r="N21" s="1294"/>
      <c r="O21" s="1299"/>
      <c r="P21" s="1299"/>
      <c r="Q21" s="1299"/>
      <c r="R21" s="1299"/>
      <c r="S21" s="1299"/>
      <c r="T21" s="1299"/>
      <c r="U21" s="1299"/>
      <c r="V21" s="1299"/>
      <c r="W21" s="1305"/>
      <c r="X21" s="1299"/>
      <c r="Y21" s="1299"/>
      <c r="Z21" s="1299">
        <v>2773516</v>
      </c>
    </row>
    <row r="22" spans="1:28">
      <c r="A22" s="797" t="s">
        <v>466</v>
      </c>
      <c r="B22" s="1294">
        <v>0</v>
      </c>
      <c r="C22" s="1297"/>
      <c r="D22" s="1294">
        <f t="shared" si="0"/>
        <v>0</v>
      </c>
      <c r="E22" s="1294"/>
      <c r="F22" s="1294"/>
      <c r="G22" s="1294"/>
      <c r="H22" s="1294"/>
      <c r="I22" s="1299"/>
      <c r="J22" s="1294"/>
      <c r="K22" s="1302"/>
      <c r="L22" s="1294"/>
      <c r="M22" s="1301"/>
      <c r="N22" s="1294"/>
      <c r="O22" s="1299"/>
      <c r="P22" s="1299"/>
      <c r="Q22" s="1299"/>
      <c r="R22" s="1299"/>
      <c r="S22" s="1299"/>
      <c r="T22" s="1299"/>
      <c r="U22" s="1299"/>
      <c r="V22" s="1299"/>
      <c r="W22" s="1305"/>
      <c r="X22" s="1299"/>
      <c r="Y22" s="1299"/>
      <c r="Z22" s="1299">
        <v>0</v>
      </c>
    </row>
    <row r="23" spans="1:28">
      <c r="A23" s="869" t="s">
        <v>1482</v>
      </c>
      <c r="B23" s="1294">
        <v>0</v>
      </c>
      <c r="C23" s="1297"/>
      <c r="D23" s="1294">
        <f t="shared" si="0"/>
        <v>1238</v>
      </c>
      <c r="E23" s="1294"/>
      <c r="F23" s="1294"/>
      <c r="G23" s="1294"/>
      <c r="H23" s="1294"/>
      <c r="I23" s="1299"/>
      <c r="J23" s="1294"/>
      <c r="K23" s="1302"/>
      <c r="L23" s="1294"/>
      <c r="M23" s="1301"/>
      <c r="N23" s="1294"/>
      <c r="O23" s="1299"/>
      <c r="P23" s="1299"/>
      <c r="Q23" s="1299"/>
      <c r="R23" s="1299"/>
      <c r="S23" s="1299"/>
      <c r="T23" s="1299"/>
      <c r="U23" s="1299"/>
      <c r="V23" s="1299"/>
      <c r="W23" s="1305"/>
      <c r="X23" s="1299"/>
      <c r="Y23" s="1299"/>
      <c r="Z23" s="1299">
        <v>1238</v>
      </c>
    </row>
    <row r="24" spans="1:28">
      <c r="A24" s="797" t="s">
        <v>467</v>
      </c>
      <c r="B24" s="1294">
        <v>0</v>
      </c>
      <c r="C24" s="1816"/>
      <c r="D24" s="1294">
        <f>$Z24-B24</f>
        <v>834</v>
      </c>
      <c r="E24" s="1294"/>
      <c r="F24" s="1294"/>
      <c r="G24" s="1294"/>
      <c r="H24" s="1294"/>
      <c r="I24" s="1299"/>
      <c r="J24" s="1294"/>
      <c r="K24" s="1299"/>
      <c r="L24" s="1294"/>
      <c r="M24" s="1301"/>
      <c r="N24" s="1294"/>
      <c r="O24" s="1299"/>
      <c r="P24" s="1299"/>
      <c r="Q24" s="1299"/>
      <c r="R24" s="1299"/>
      <c r="S24" s="1299"/>
      <c r="T24" s="1299"/>
      <c r="U24" s="1299"/>
      <c r="V24" s="1299"/>
      <c r="W24" s="1299"/>
      <c r="X24" s="1299"/>
      <c r="Y24" s="1299"/>
      <c r="Z24" s="1299">
        <v>834</v>
      </c>
    </row>
    <row r="25" spans="1:28" s="1718" customFormat="1" ht="15.75">
      <c r="A25" s="498" t="s">
        <v>147</v>
      </c>
      <c r="B25" s="1817">
        <f>ROUND(SUM(B15:B24),0)</f>
        <v>522602455</v>
      </c>
      <c r="C25" s="494"/>
      <c r="D25" s="1817">
        <f>ROUND(SUM(D15:D24),0)</f>
        <v>510940676</v>
      </c>
      <c r="E25" s="495"/>
      <c r="F25" s="1817">
        <f>ROUND(SUM(F15:F24),0)</f>
        <v>0</v>
      </c>
      <c r="G25" s="495"/>
      <c r="H25" s="1817">
        <f>ROUND(SUM(H15:H24),0)</f>
        <v>0</v>
      </c>
      <c r="I25" s="1722"/>
      <c r="J25" s="1686">
        <f>ROUND(SUM(J15:J24),0)</f>
        <v>0</v>
      </c>
      <c r="K25" s="497"/>
      <c r="L25" s="1686">
        <f>ROUND(SUM(L15:L24),0)</f>
        <v>0</v>
      </c>
      <c r="M25" s="500"/>
      <c r="N25" s="1686">
        <f>ROUND(SUM(N15:N24),0)</f>
        <v>0</v>
      </c>
      <c r="O25" s="1722"/>
      <c r="P25" s="1686">
        <f>ROUND(SUM(P15:P24),0)</f>
        <v>0</v>
      </c>
      <c r="Q25" s="1722"/>
      <c r="R25" s="1686">
        <f>ROUND(SUM(R15:R24),0)</f>
        <v>0</v>
      </c>
      <c r="S25" s="1722"/>
      <c r="T25" s="1686">
        <f>ROUND(SUM(T15:T24),0)</f>
        <v>0</v>
      </c>
      <c r="U25" s="1722"/>
      <c r="V25" s="1686">
        <f>ROUND(SUM(V15:V24),0)</f>
        <v>0</v>
      </c>
      <c r="W25" s="1722"/>
      <c r="X25" s="1686">
        <f>ROUND(SUM(X15:X24),0)</f>
        <v>0</v>
      </c>
      <c r="Y25" s="1722"/>
      <c r="Z25" s="496">
        <f>ROUND(SUM(Z15:Z24),0)</f>
        <v>1033543131</v>
      </c>
      <c r="AA25" s="3334"/>
      <c r="AB25" s="1723"/>
    </row>
    <row r="26" spans="1:28">
      <c r="A26" s="1719"/>
      <c r="B26" s="1294"/>
      <c r="C26" s="1295"/>
      <c r="D26" s="1294"/>
      <c r="E26" s="1294"/>
      <c r="F26" s="1294"/>
      <c r="G26" s="1294"/>
      <c r="H26" s="1294"/>
      <c r="I26" s="1299"/>
      <c r="J26" s="1299"/>
      <c r="K26" s="1299"/>
      <c r="L26" s="1299"/>
      <c r="M26" s="1301"/>
      <c r="N26" s="1299"/>
      <c r="O26" s="1299"/>
      <c r="P26" s="1299"/>
      <c r="Q26" s="1299"/>
      <c r="R26" s="1299"/>
      <c r="S26" s="1299"/>
      <c r="T26" s="1299"/>
      <c r="U26" s="1299"/>
      <c r="V26" s="1299"/>
      <c r="W26" s="1299"/>
      <c r="X26" s="1299"/>
      <c r="Y26" s="1299"/>
      <c r="Z26" s="1296"/>
    </row>
    <row r="27" spans="1:28" ht="15.75">
      <c r="A27" s="498" t="s">
        <v>22</v>
      </c>
      <c r="B27" s="1294"/>
      <c r="C27" s="1295"/>
      <c r="D27" s="1294"/>
      <c r="E27" s="1294"/>
      <c r="F27" s="1294"/>
      <c r="G27" s="1294"/>
      <c r="H27" s="1294"/>
      <c r="I27" s="1299"/>
      <c r="J27" s="1299"/>
      <c r="K27" s="1299"/>
      <c r="L27" s="1299"/>
      <c r="M27" s="1301"/>
      <c r="N27" s="1299"/>
      <c r="O27" s="1299"/>
      <c r="P27" s="1299"/>
      <c r="Q27" s="1299"/>
      <c r="R27" s="1299"/>
      <c r="S27" s="1299"/>
      <c r="T27" s="1299"/>
      <c r="U27" s="1299"/>
      <c r="V27" s="1299"/>
      <c r="W27" s="1299"/>
      <c r="X27" s="1299"/>
      <c r="Y27" s="1299"/>
      <c r="Z27" s="1296"/>
    </row>
    <row r="28" spans="1:28">
      <c r="A28" s="797" t="s">
        <v>468</v>
      </c>
      <c r="B28" s="1294">
        <v>466983855</v>
      </c>
      <c r="C28" s="1300"/>
      <c r="D28" s="1294">
        <f t="shared" ref="D28:D32" si="1">$Z28-B28</f>
        <v>461786102</v>
      </c>
      <c r="E28" s="1299"/>
      <c r="F28" s="1294"/>
      <c r="G28" s="1299"/>
      <c r="H28" s="1294"/>
      <c r="I28" s="1299"/>
      <c r="J28" s="1294"/>
      <c r="K28" s="1299"/>
      <c r="L28" s="1294"/>
      <c r="M28" s="1301"/>
      <c r="N28" s="1294"/>
      <c r="O28" s="1299"/>
      <c r="P28" s="1299"/>
      <c r="Q28" s="1299"/>
      <c r="R28" s="1299"/>
      <c r="S28" s="1299"/>
      <c r="T28" s="1299"/>
      <c r="U28" s="1299"/>
      <c r="V28" s="1299"/>
      <c r="W28" s="1299"/>
      <c r="X28" s="1299"/>
      <c r="Y28" s="1299"/>
      <c r="Z28" s="1299">
        <v>928769957</v>
      </c>
    </row>
    <row r="29" spans="1:28">
      <c r="A29" s="797" t="s">
        <v>469</v>
      </c>
      <c r="B29" s="1294">
        <v>21</v>
      </c>
      <c r="C29" s="1300"/>
      <c r="D29" s="1294">
        <f t="shared" si="1"/>
        <v>2373</v>
      </c>
      <c r="E29" s="1299"/>
      <c r="F29" s="1294"/>
      <c r="G29" s="1299"/>
      <c r="H29" s="1294"/>
      <c r="I29" s="1299"/>
      <c r="J29" s="1294"/>
      <c r="K29" s="1299"/>
      <c r="L29" s="1294"/>
      <c r="M29" s="1301"/>
      <c r="N29" s="1294"/>
      <c r="O29" s="1299"/>
      <c r="P29" s="1299"/>
      <c r="Q29" s="1299"/>
      <c r="R29" s="1299"/>
      <c r="S29" s="1299"/>
      <c r="T29" s="1299"/>
      <c r="U29" s="1299"/>
      <c r="V29" s="1299"/>
      <c r="W29" s="1299"/>
      <c r="X29" s="1299"/>
      <c r="Y29" s="1299"/>
      <c r="Z29" s="1299">
        <v>2394</v>
      </c>
      <c r="AB29" s="1724"/>
    </row>
    <row r="30" spans="1:28">
      <c r="A30" s="797" t="s">
        <v>470</v>
      </c>
      <c r="B30" s="1294">
        <v>493093</v>
      </c>
      <c r="C30" s="1300"/>
      <c r="D30" s="1294">
        <f t="shared" si="1"/>
        <v>903212</v>
      </c>
      <c r="E30" s="1299"/>
      <c r="F30" s="1294"/>
      <c r="G30" s="1299"/>
      <c r="H30" s="1294"/>
      <c r="I30" s="1299"/>
      <c r="J30" s="1294"/>
      <c r="K30" s="1299"/>
      <c r="L30" s="1294"/>
      <c r="M30" s="1301"/>
      <c r="N30" s="1294"/>
      <c r="O30" s="1299"/>
      <c r="P30" s="1299"/>
      <c r="Q30" s="1299"/>
      <c r="R30" s="1299"/>
      <c r="S30" s="1299"/>
      <c r="T30" s="1299"/>
      <c r="U30" s="1299"/>
      <c r="V30" s="1299"/>
      <c r="W30" s="1299"/>
      <c r="X30" s="1299"/>
      <c r="Y30" s="1299"/>
      <c r="Z30" s="1299">
        <v>1396305</v>
      </c>
    </row>
    <row r="31" spans="1:28">
      <c r="A31" s="797" t="s">
        <v>471</v>
      </c>
      <c r="B31" s="1294">
        <v>981103</v>
      </c>
      <c r="C31" s="1300"/>
      <c r="D31" s="1294">
        <f t="shared" si="1"/>
        <v>6037428</v>
      </c>
      <c r="E31" s="1299"/>
      <c r="F31" s="1294"/>
      <c r="G31" s="1299"/>
      <c r="H31" s="1294"/>
      <c r="I31" s="1299"/>
      <c r="J31" s="1294"/>
      <c r="K31" s="1299"/>
      <c r="L31" s="1294"/>
      <c r="M31" s="1301"/>
      <c r="N31" s="1294"/>
      <c r="O31" s="1299"/>
      <c r="P31" s="1299"/>
      <c r="Q31" s="1299"/>
      <c r="R31" s="1299"/>
      <c r="S31" s="1299"/>
      <c r="T31" s="1299"/>
      <c r="U31" s="1299"/>
      <c r="V31" s="1299"/>
      <c r="W31" s="1299"/>
      <c r="X31" s="1299"/>
      <c r="Y31" s="1299"/>
      <c r="Z31" s="1299">
        <v>7018531</v>
      </c>
    </row>
    <row r="32" spans="1:28">
      <c r="A32" s="797" t="s">
        <v>472</v>
      </c>
      <c r="B32" s="1294">
        <v>565852</v>
      </c>
      <c r="C32" s="1300"/>
      <c r="D32" s="1294">
        <f t="shared" si="1"/>
        <v>327907</v>
      </c>
      <c r="E32" s="1299"/>
      <c r="F32" s="1294"/>
      <c r="G32" s="1299"/>
      <c r="H32" s="1294"/>
      <c r="I32" s="1299"/>
      <c r="J32" s="1294"/>
      <c r="K32" s="1299"/>
      <c r="L32" s="1294"/>
      <c r="M32" s="1301"/>
      <c r="N32" s="1294"/>
      <c r="O32" s="1299"/>
      <c r="P32" s="1299"/>
      <c r="Q32" s="1299"/>
      <c r="R32" s="1299"/>
      <c r="S32" s="1299"/>
      <c r="T32" s="1299"/>
      <c r="U32" s="1299"/>
      <c r="V32" s="1299"/>
      <c r="W32" s="1299"/>
      <c r="X32" s="1299"/>
      <c r="Y32" s="1299"/>
      <c r="Z32" s="1299">
        <v>893759</v>
      </c>
    </row>
    <row r="33" spans="1:28" ht="15.75">
      <c r="A33" s="498" t="s">
        <v>153</v>
      </c>
      <c r="B33" s="1686">
        <f>ROUND(SUM(B28:B32),0)</f>
        <v>469023924</v>
      </c>
      <c r="C33" s="1300"/>
      <c r="D33" s="1686">
        <f>ROUND(SUM(D28:D32),0)</f>
        <v>469057022</v>
      </c>
      <c r="E33" s="1299"/>
      <c r="F33" s="1686">
        <f>ROUND(SUM(F28:F32),0)</f>
        <v>0</v>
      </c>
      <c r="G33" s="1299"/>
      <c r="H33" s="1686">
        <f>ROUND(SUM(H28:H32),0)</f>
        <v>0</v>
      </c>
      <c r="I33" s="1299"/>
      <c r="J33" s="1686">
        <f>ROUND(SUM(J28:J32),0)</f>
        <v>0</v>
      </c>
      <c r="K33" s="1299"/>
      <c r="L33" s="1686">
        <f>ROUND(SUM(L28:L32),0)</f>
        <v>0</v>
      </c>
      <c r="M33" s="1301"/>
      <c r="N33" s="1686">
        <f>ROUND(SUM(N28:N32),0)</f>
        <v>0</v>
      </c>
      <c r="O33" s="1299"/>
      <c r="P33" s="1686">
        <f>ROUND(SUM(P28:P32),0)</f>
        <v>0</v>
      </c>
      <c r="Q33" s="1299"/>
      <c r="R33" s="1686">
        <f>ROUND(SUM(R28:R32),0)</f>
        <v>0</v>
      </c>
      <c r="S33" s="1299"/>
      <c r="T33" s="1686">
        <f>ROUND(SUM(T28:T32),0)</f>
        <v>0</v>
      </c>
      <c r="U33" s="1299"/>
      <c r="V33" s="1686">
        <f>ROUND(SUM(V28:V32),0)</f>
        <v>0</v>
      </c>
      <c r="W33" s="1299"/>
      <c r="X33" s="1686">
        <f>ROUND(SUM(X28:X32),0)</f>
        <v>0</v>
      </c>
      <c r="Y33" s="1299"/>
      <c r="Z33" s="496">
        <f>ROUND(SUM(Z28:Z32),0)</f>
        <v>938080946</v>
      </c>
    </row>
    <row r="34" spans="1:28" ht="15.75">
      <c r="A34" s="498"/>
      <c r="B34" s="1299"/>
      <c r="C34" s="1300"/>
      <c r="D34" s="1299"/>
      <c r="E34" s="1299"/>
      <c r="F34" s="1305"/>
      <c r="G34" s="1299"/>
      <c r="H34" s="1305"/>
      <c r="I34" s="1299"/>
      <c r="J34" s="1299"/>
      <c r="K34" s="1299"/>
      <c r="L34" s="1299"/>
      <c r="M34" s="1301"/>
      <c r="N34" s="1299"/>
      <c r="O34" s="1299"/>
      <c r="P34" s="1299"/>
      <c r="Q34" s="1299"/>
      <c r="R34" s="1299"/>
      <c r="S34" s="1299"/>
      <c r="T34" s="1299"/>
      <c r="U34" s="1299"/>
      <c r="V34" s="1299"/>
      <c r="W34" s="1299"/>
      <c r="X34" s="1299"/>
      <c r="Y34" s="1299"/>
      <c r="Z34" s="1296"/>
    </row>
    <row r="35" spans="1:28" ht="15.75">
      <c r="A35" s="499" t="s">
        <v>473</v>
      </c>
      <c r="B35" s="1305"/>
      <c r="C35" s="1306"/>
      <c r="D35" s="1305"/>
      <c r="E35" s="1299"/>
      <c r="F35" s="1304"/>
      <c r="G35" s="1299"/>
      <c r="H35" s="1305"/>
      <c r="I35" s="1299"/>
      <c r="J35" s="1305"/>
      <c r="K35" s="1299"/>
      <c r="L35" s="1305"/>
      <c r="M35" s="1301"/>
      <c r="N35" s="1305"/>
      <c r="O35" s="1299"/>
      <c r="P35" s="1305"/>
      <c r="Q35" s="1299"/>
      <c r="R35" s="1305"/>
      <c r="S35" s="1299"/>
      <c r="T35" s="1305"/>
      <c r="U35" s="1299"/>
      <c r="V35" s="1305"/>
      <c r="W35" s="1299"/>
      <c r="X35" s="1305"/>
      <c r="Y35" s="1299"/>
      <c r="Z35" s="1296"/>
    </row>
    <row r="36" spans="1:28">
      <c r="A36" s="797" t="s">
        <v>474</v>
      </c>
      <c r="B36" s="1294">
        <v>0</v>
      </c>
      <c r="C36" s="1306"/>
      <c r="D36" s="1294">
        <f t="shared" ref="D36:D37" si="2">$Z36-B36</f>
        <v>0</v>
      </c>
      <c r="E36" s="1299"/>
      <c r="F36" s="1294"/>
      <c r="G36" s="1299"/>
      <c r="H36" s="1294"/>
      <c r="I36" s="1299"/>
      <c r="J36" s="1294"/>
      <c r="K36" s="1299"/>
      <c r="L36" s="1294"/>
      <c r="M36" s="1301"/>
      <c r="N36" s="1294"/>
      <c r="O36" s="1299"/>
      <c r="P36" s="1299"/>
      <c r="Q36" s="1299"/>
      <c r="R36" s="1299"/>
      <c r="S36" s="1299"/>
      <c r="T36" s="1299"/>
      <c r="U36" s="1299"/>
      <c r="V36" s="1299"/>
      <c r="W36" s="1299"/>
      <c r="X36" s="1299"/>
      <c r="Y36" s="1299"/>
      <c r="Z36" s="1299">
        <v>0</v>
      </c>
    </row>
    <row r="37" spans="1:28">
      <c r="A37" s="797" t="s">
        <v>475</v>
      </c>
      <c r="B37" s="1294">
        <v>0</v>
      </c>
      <c r="C37" s="1306"/>
      <c r="D37" s="1294">
        <f t="shared" si="2"/>
        <v>1238</v>
      </c>
      <c r="E37" s="1299"/>
      <c r="F37" s="1294"/>
      <c r="G37" s="1299"/>
      <c r="H37" s="1294"/>
      <c r="I37" s="1299"/>
      <c r="J37" s="1294"/>
      <c r="K37" s="1299"/>
      <c r="L37" s="1294"/>
      <c r="M37" s="1301"/>
      <c r="N37" s="1294"/>
      <c r="O37" s="1299"/>
      <c r="P37" s="1299"/>
      <c r="Q37" s="1299"/>
      <c r="R37" s="1299"/>
      <c r="S37" s="1299"/>
      <c r="T37" s="1299"/>
      <c r="U37" s="1299"/>
      <c r="V37" s="1299"/>
      <c r="W37" s="1299"/>
      <c r="X37" s="1299"/>
      <c r="Y37" s="1299"/>
      <c r="Z37" s="1299">
        <v>1238</v>
      </c>
    </row>
    <row r="38" spans="1:28">
      <c r="A38" s="797" t="s">
        <v>1331</v>
      </c>
      <c r="B38" s="1294" t="s">
        <v>14</v>
      </c>
      <c r="C38" s="1819"/>
      <c r="D38" s="1294"/>
      <c r="E38" s="1819"/>
      <c r="F38" s="1294"/>
      <c r="G38" s="1819"/>
      <c r="H38" s="1294"/>
      <c r="I38" s="1725"/>
      <c r="J38" s="1294"/>
      <c r="K38" s="1725"/>
      <c r="L38" s="1294"/>
      <c r="M38" s="1301"/>
      <c r="N38" s="1294"/>
      <c r="O38" s="1725"/>
      <c r="P38" s="1299"/>
      <c r="Q38" s="1725"/>
      <c r="R38" s="1299"/>
      <c r="S38" s="1725"/>
      <c r="T38" s="1299"/>
      <c r="U38" s="1725"/>
      <c r="V38" s="1299"/>
      <c r="W38" s="1725"/>
      <c r="X38" s="1299"/>
      <c r="Y38" s="1725"/>
      <c r="Z38" s="1725"/>
    </row>
    <row r="39" spans="1:28">
      <c r="A39" s="797" t="s">
        <v>476</v>
      </c>
      <c r="B39" s="1294">
        <v>0</v>
      </c>
      <c r="C39" s="1306"/>
      <c r="D39" s="1294">
        <f t="shared" ref="D39:D41" si="3">$Z39-B39</f>
        <v>0</v>
      </c>
      <c r="E39" s="1299"/>
      <c r="F39" s="1294"/>
      <c r="G39" s="1299"/>
      <c r="H39" s="1294"/>
      <c r="I39" s="1299"/>
      <c r="J39" s="1294"/>
      <c r="K39" s="1299"/>
      <c r="L39" s="1294"/>
      <c r="M39" s="1301"/>
      <c r="N39" s="1294"/>
      <c r="O39" s="1299"/>
      <c r="P39" s="1299"/>
      <c r="Q39" s="1299"/>
      <c r="R39" s="1299"/>
      <c r="S39" s="1299"/>
      <c r="T39" s="1299"/>
      <c r="U39" s="1299"/>
      <c r="V39" s="1299"/>
      <c r="W39" s="1299"/>
      <c r="X39" s="1299"/>
      <c r="Y39" s="1299"/>
      <c r="Z39" s="1299">
        <v>0</v>
      </c>
    </row>
    <row r="40" spans="1:28">
      <c r="A40" s="797" t="s">
        <v>477</v>
      </c>
      <c r="B40" s="1294">
        <v>0</v>
      </c>
      <c r="C40" s="1306"/>
      <c r="D40" s="1294">
        <f t="shared" si="3"/>
        <v>0</v>
      </c>
      <c r="E40" s="1299"/>
      <c r="F40" s="1294"/>
      <c r="G40" s="1299"/>
      <c r="H40" s="1294"/>
      <c r="I40" s="1299"/>
      <c r="J40" s="1294"/>
      <c r="K40" s="1299"/>
      <c r="L40" s="1294"/>
      <c r="M40" s="1301"/>
      <c r="N40" s="1294"/>
      <c r="O40" s="1299"/>
      <c r="P40" s="1299"/>
      <c r="Q40" s="1299"/>
      <c r="R40" s="1299"/>
      <c r="S40" s="1299"/>
      <c r="T40" s="1299"/>
      <c r="U40" s="1299"/>
      <c r="V40" s="1299"/>
      <c r="W40" s="1299"/>
      <c r="X40" s="1299"/>
      <c r="Y40" s="1299"/>
      <c r="Z40" s="1299">
        <v>0</v>
      </c>
    </row>
    <row r="41" spans="1:28">
      <c r="A41" s="797" t="s">
        <v>478</v>
      </c>
      <c r="B41" s="1294">
        <v>422024</v>
      </c>
      <c r="C41" s="1306"/>
      <c r="D41" s="1294">
        <f t="shared" si="3"/>
        <v>300093</v>
      </c>
      <c r="E41" s="1299"/>
      <c r="F41" s="1294"/>
      <c r="G41" s="1299"/>
      <c r="H41" s="1294"/>
      <c r="I41" s="1299"/>
      <c r="J41" s="1294"/>
      <c r="K41" s="1299"/>
      <c r="L41" s="1294"/>
      <c r="M41" s="1301"/>
      <c r="N41" s="1294"/>
      <c r="O41" s="1299"/>
      <c r="P41" s="1299"/>
      <c r="Q41" s="1299"/>
      <c r="R41" s="1299"/>
      <c r="S41" s="1299"/>
      <c r="T41" s="1299"/>
      <c r="U41" s="1299"/>
      <c r="V41" s="1299"/>
      <c r="W41" s="1299"/>
      <c r="X41" s="1299"/>
      <c r="Y41" s="1299"/>
      <c r="Z41" s="1299">
        <v>722117</v>
      </c>
    </row>
    <row r="42" spans="1:28" ht="15.75">
      <c r="A42" s="498" t="s">
        <v>479</v>
      </c>
      <c r="B42" s="1820">
        <f>ROUND(SUM(B36:B41),0)</f>
        <v>422024</v>
      </c>
      <c r="C42" s="1297"/>
      <c r="D42" s="1820">
        <f>ROUND(SUM(D36:D41),0)</f>
        <v>301331</v>
      </c>
      <c r="E42" s="1294"/>
      <c r="F42" s="1820">
        <f>ROUND(SUM(F36:F41),0)</f>
        <v>0</v>
      </c>
      <c r="G42" s="1294"/>
      <c r="H42" s="1820">
        <f>ROUND(SUM(H36:H41),0)</f>
        <v>0</v>
      </c>
      <c r="I42" s="1299"/>
      <c r="J42" s="1726">
        <f>ROUND(SUM(J36:J41),0)</f>
        <v>0</v>
      </c>
      <c r="K42" s="1299"/>
      <c r="L42" s="1726">
        <f>ROUND(SUM(L36:L41),0)</f>
        <v>0</v>
      </c>
      <c r="M42" s="1301"/>
      <c r="N42" s="1726">
        <f>ROUND(SUM(N36:N41),0)</f>
        <v>0</v>
      </c>
      <c r="O42" s="1299"/>
      <c r="P42" s="1726">
        <f>ROUND(SUM(P36:P41),0)</f>
        <v>0</v>
      </c>
      <c r="Q42" s="1299"/>
      <c r="R42" s="1726">
        <f>ROUND(SUM(R36:R41),0)</f>
        <v>0</v>
      </c>
      <c r="S42" s="1299"/>
      <c r="T42" s="1726">
        <f>ROUND(SUM(T36:T41),0)</f>
        <v>0</v>
      </c>
      <c r="U42" s="1299"/>
      <c r="V42" s="1726">
        <f>ROUND(SUM(V36:V41),0)</f>
        <v>0</v>
      </c>
      <c r="W42" s="1299"/>
      <c r="X42" s="1726">
        <f>ROUND(SUM(X36:X41),0)</f>
        <v>0</v>
      </c>
      <c r="Y42" s="1299"/>
      <c r="Z42" s="1727">
        <f>ROUND(SUM(Z36:Z41),0)</f>
        <v>723355</v>
      </c>
    </row>
    <row r="43" spans="1:28">
      <c r="B43" s="1821"/>
      <c r="C43" s="1297"/>
      <c r="D43" s="1821"/>
      <c r="E43" s="1294"/>
      <c r="F43" s="1822"/>
      <c r="G43" s="1294"/>
      <c r="H43" s="1821"/>
      <c r="I43" s="1299"/>
      <c r="J43" s="1728"/>
      <c r="K43" s="1299"/>
      <c r="L43" s="1728"/>
      <c r="M43" s="1301"/>
      <c r="N43" s="1728"/>
      <c r="O43" s="1299"/>
      <c r="P43" s="1728"/>
      <c r="Q43" s="1299"/>
      <c r="R43" s="1728"/>
      <c r="S43" s="1299"/>
      <c r="T43" s="1728"/>
      <c r="U43" s="1299"/>
      <c r="V43" s="1728"/>
      <c r="W43" s="1299"/>
      <c r="X43" s="1728"/>
      <c r="Y43" s="1299"/>
      <c r="Z43" s="1729"/>
    </row>
    <row r="44" spans="1:28" s="1718" customFormat="1" ht="15.75">
      <c r="A44" s="498" t="s">
        <v>480</v>
      </c>
      <c r="B44" s="1307">
        <f>ROUND(B33+B42,0)</f>
        <v>469445948</v>
      </c>
      <c r="C44" s="494"/>
      <c r="D44" s="1307">
        <f>ROUND(D33+D42,0)</f>
        <v>469358353</v>
      </c>
      <c r="E44" s="495"/>
      <c r="F44" s="1307">
        <f>ROUND(F33+F42,0)</f>
        <v>0</v>
      </c>
      <c r="G44" s="495"/>
      <c r="H44" s="1307">
        <f>ROUND(H33+H42,0)</f>
        <v>0</v>
      </c>
      <c r="I44" s="1722"/>
      <c r="J44" s="1730">
        <f>ROUND(J33+J42,0)</f>
        <v>0</v>
      </c>
      <c r="K44" s="497"/>
      <c r="L44" s="1730">
        <f>ROUND(L33+L42,0)</f>
        <v>0</v>
      </c>
      <c r="M44" s="500"/>
      <c r="N44" s="1730">
        <f>ROUND(N33+N42,0)</f>
        <v>0</v>
      </c>
      <c r="O44" s="1722"/>
      <c r="P44" s="1730">
        <f>ROUND(P33+P42,0)</f>
        <v>0</v>
      </c>
      <c r="Q44" s="1722"/>
      <c r="R44" s="1730">
        <f>ROUND(R33+R42,0)</f>
        <v>0</v>
      </c>
      <c r="S44" s="1722"/>
      <c r="T44" s="1730">
        <f>ROUND(T33+T42,0)</f>
        <v>0</v>
      </c>
      <c r="U44" s="1722"/>
      <c r="V44" s="1730">
        <f>ROUND(V33+V42,0)</f>
        <v>0</v>
      </c>
      <c r="W44" s="1722"/>
      <c r="X44" s="1730">
        <f>ROUND(X33+X42,0)</f>
        <v>0</v>
      </c>
      <c r="Y44" s="1722"/>
      <c r="Z44" s="1730">
        <f>ROUND(Z33+Z42,0)</f>
        <v>938804301</v>
      </c>
      <c r="AA44" s="3334"/>
      <c r="AB44" s="1723"/>
    </row>
    <row r="45" spans="1:28">
      <c r="A45" s="1719"/>
      <c r="B45" s="1292"/>
      <c r="C45" s="1292"/>
      <c r="D45" s="1292"/>
      <c r="E45" s="1291"/>
      <c r="F45" s="1292"/>
      <c r="G45" s="1291"/>
      <c r="H45" s="1292"/>
      <c r="I45" s="1301"/>
      <c r="J45" s="1720"/>
      <c r="K45" s="1720"/>
      <c r="L45" s="1720"/>
      <c r="M45" s="1301"/>
      <c r="N45" s="1720"/>
      <c r="O45" s="1301"/>
      <c r="P45" s="1720"/>
      <c r="Q45" s="1301"/>
      <c r="R45" s="1720"/>
      <c r="S45" s="1301"/>
      <c r="T45" s="1720"/>
      <c r="U45" s="1301"/>
      <c r="V45" s="1720"/>
      <c r="W45" s="1301"/>
      <c r="X45" s="1720"/>
      <c r="Y45" s="1301"/>
      <c r="Z45" s="1731"/>
    </row>
    <row r="46" spans="1:28" s="1718" customFormat="1" ht="16.5" thickBot="1">
      <c r="A46" s="499" t="s">
        <v>481</v>
      </c>
      <c r="B46" s="1523">
        <f>ROUND(B12+B25-B44,0)</f>
        <v>141088217</v>
      </c>
      <c r="C46" s="489"/>
      <c r="D46" s="1523">
        <f>ROUND(D12+D25-D44,0)</f>
        <v>182670540</v>
      </c>
      <c r="E46" s="1289"/>
      <c r="F46" s="1523">
        <f>ROUND(F12+F25-F44,0)</f>
        <v>0</v>
      </c>
      <c r="G46" s="1289"/>
      <c r="H46" s="1523">
        <f>ROUND(H12+H25-H44,0)</f>
        <v>0</v>
      </c>
      <c r="I46" s="1717"/>
      <c r="J46" s="1732">
        <f>ROUND(J12+J25-J44,0)</f>
        <v>0</v>
      </c>
      <c r="K46" s="490"/>
      <c r="L46" s="1732">
        <f>ROUND(L12+L25-L44,0)</f>
        <v>0</v>
      </c>
      <c r="M46" s="500"/>
      <c r="N46" s="1732">
        <f>ROUND(N12+N25-N44,0)</f>
        <v>0</v>
      </c>
      <c r="O46" s="501"/>
      <c r="P46" s="1732">
        <f>ROUND(P12+P25-P44,0)</f>
        <v>0</v>
      </c>
      <c r="Q46" s="501"/>
      <c r="R46" s="1732">
        <f>ROUND(R12+R25-R44,0)</f>
        <v>0</v>
      </c>
      <c r="S46" s="501"/>
      <c r="T46" s="1732">
        <f>ROUND(T12+T25-T44,0)</f>
        <v>0</v>
      </c>
      <c r="U46" s="501"/>
      <c r="V46" s="1732">
        <f>ROUND(V12+V25-V44,0)</f>
        <v>0</v>
      </c>
      <c r="W46" s="501"/>
      <c r="X46" s="1732">
        <f>ROUND(X12+X25-X44,0)</f>
        <v>0</v>
      </c>
      <c r="Y46" s="501"/>
      <c r="Z46" s="2908">
        <f>ROUND(Z12+Z25-Z44,0)</f>
        <v>182670540</v>
      </c>
      <c r="AA46" s="3334"/>
    </row>
    <row r="47" spans="1:28" ht="15.75" thickTop="1">
      <c r="A47" s="1719"/>
      <c r="B47" s="1287"/>
      <c r="C47" s="1287"/>
      <c r="D47" s="1287"/>
      <c r="E47" s="1309"/>
      <c r="F47" s="1287"/>
      <c r="G47" s="1309"/>
      <c r="H47" s="1287"/>
      <c r="I47" s="1733"/>
      <c r="J47" s="1713"/>
      <c r="K47" s="1713"/>
      <c r="L47" s="1713"/>
      <c r="M47" s="1733"/>
      <c r="N47" s="1713"/>
      <c r="O47" s="1733"/>
      <c r="P47" s="1713"/>
      <c r="Q47" s="1733"/>
      <c r="R47" s="1713"/>
      <c r="S47" s="1733"/>
      <c r="T47" s="1713"/>
      <c r="U47" s="1733"/>
      <c r="V47" s="1713"/>
      <c r="W47" s="1733"/>
      <c r="X47" s="1713"/>
      <c r="Y47" s="1733"/>
      <c r="Z47" s="1731"/>
    </row>
    <row r="48" spans="1:28">
      <c r="A48" s="1734"/>
      <c r="B48" s="1310"/>
      <c r="C48" s="1310"/>
      <c r="D48" s="1310"/>
      <c r="E48" s="1288"/>
      <c r="F48" s="1310"/>
      <c r="G48" s="1288"/>
      <c r="H48" s="1310"/>
      <c r="I48" s="1714"/>
      <c r="J48" s="1735"/>
      <c r="K48" s="1735"/>
      <c r="L48" s="1735"/>
      <c r="M48" s="1714"/>
      <c r="N48" s="1735"/>
      <c r="O48" s="1714"/>
      <c r="P48" s="1735"/>
      <c r="Q48" s="1714"/>
      <c r="R48" s="1735"/>
      <c r="S48" s="1714"/>
      <c r="T48" s="1735"/>
      <c r="U48" s="1714"/>
      <c r="V48" s="1735"/>
      <c r="W48" s="1714"/>
      <c r="X48" s="1735"/>
      <c r="Y48" s="1714"/>
      <c r="Z48" s="1718"/>
    </row>
    <row r="50" spans="1:26" ht="18">
      <c r="A50" s="1736"/>
      <c r="B50" s="1283"/>
      <c r="C50" s="1283"/>
      <c r="D50" s="1283"/>
      <c r="E50" s="470"/>
      <c r="F50" s="1283"/>
      <c r="G50" s="470"/>
      <c r="H50" s="1283"/>
      <c r="I50" s="1692"/>
      <c r="J50" s="1696"/>
      <c r="K50" s="1696"/>
      <c r="L50" s="1696"/>
      <c r="M50" s="1714"/>
      <c r="N50" s="1696"/>
      <c r="O50" s="1692"/>
      <c r="P50" s="1696"/>
      <c r="Q50" s="1692"/>
      <c r="R50" s="1696"/>
      <c r="S50" s="1692"/>
      <c r="T50" s="1696"/>
      <c r="U50" s="1692"/>
      <c r="V50" s="1696"/>
      <c r="W50" s="1692"/>
      <c r="X50" s="1696"/>
      <c r="Y50" s="1692"/>
      <c r="Z50" s="1698"/>
    </row>
    <row r="51" spans="1:26">
      <c r="A51" s="1706"/>
      <c r="B51" s="1310"/>
      <c r="C51" s="1310"/>
      <c r="D51" s="1310"/>
      <c r="E51" s="1288"/>
      <c r="F51" s="1310"/>
      <c r="G51" s="1288"/>
      <c r="H51" s="1310"/>
      <c r="I51" s="1714"/>
      <c r="J51" s="1735"/>
      <c r="K51" s="1735"/>
      <c r="L51" s="1735"/>
      <c r="M51" s="1714"/>
      <c r="N51" s="1735"/>
      <c r="O51" s="1714"/>
      <c r="P51" s="1735"/>
      <c r="Q51" s="1714"/>
      <c r="R51" s="1735"/>
      <c r="S51" s="1714"/>
      <c r="T51" s="1735"/>
      <c r="U51" s="1714"/>
      <c r="V51" s="1735"/>
      <c r="W51" s="1714"/>
      <c r="X51" s="1735"/>
      <c r="Y51" s="1714"/>
      <c r="Z51" s="1721"/>
    </row>
    <row r="52" spans="1:26">
      <c r="A52" s="1706"/>
      <c r="B52" s="1310"/>
      <c r="C52" s="1310"/>
      <c r="D52" s="1310"/>
      <c r="E52" s="1288"/>
      <c r="F52" s="1310"/>
      <c r="G52" s="1288"/>
      <c r="H52" s="1310"/>
      <c r="I52" s="1714"/>
      <c r="J52" s="1735"/>
      <c r="K52" s="1735"/>
      <c r="L52" s="1735"/>
      <c r="M52" s="1714"/>
      <c r="N52" s="1735"/>
      <c r="O52" s="1714"/>
      <c r="P52" s="1735"/>
      <c r="Q52" s="1714"/>
      <c r="R52" s="1735"/>
      <c r="S52" s="1714"/>
      <c r="T52" s="1735"/>
      <c r="U52" s="1714"/>
      <c r="V52" s="1735"/>
      <c r="W52" s="1714"/>
      <c r="X52" s="1735"/>
      <c r="Y52" s="1714"/>
      <c r="Z52" s="1721"/>
    </row>
    <row r="53" spans="1:26">
      <c r="A53" s="1703"/>
      <c r="B53" s="469"/>
      <c r="C53" s="469"/>
      <c r="D53" s="469"/>
      <c r="E53" s="470"/>
      <c r="F53" s="469"/>
      <c r="G53" s="470"/>
      <c r="H53" s="469"/>
      <c r="I53" s="1692"/>
      <c r="J53" s="1691"/>
      <c r="K53" s="1691"/>
      <c r="L53" s="1691"/>
      <c r="M53" s="1692"/>
      <c r="N53" s="1691"/>
      <c r="O53" s="1692"/>
      <c r="P53" s="1691"/>
      <c r="Q53" s="1692"/>
      <c r="R53" s="1691"/>
      <c r="S53" s="1692"/>
      <c r="T53" s="1691"/>
      <c r="U53" s="1692"/>
      <c r="V53" s="1691"/>
      <c r="W53" s="1692"/>
      <c r="X53" s="1691"/>
      <c r="Y53" s="1692"/>
      <c r="Z53" s="1737"/>
    </row>
    <row r="54" spans="1:26">
      <c r="A54" s="1703"/>
      <c r="B54" s="469"/>
      <c r="C54" s="469"/>
      <c r="D54" s="469"/>
      <c r="E54" s="470"/>
      <c r="F54" s="469"/>
      <c r="G54" s="470"/>
      <c r="H54" s="469"/>
      <c r="I54" s="1692"/>
      <c r="J54" s="1691"/>
      <c r="K54" s="1691"/>
      <c r="L54" s="1691"/>
      <c r="M54" s="1692"/>
      <c r="N54" s="1691"/>
      <c r="O54" s="1692"/>
      <c r="P54" s="1691"/>
      <c r="Q54" s="1692"/>
      <c r="R54" s="1691"/>
      <c r="S54" s="1692"/>
      <c r="T54" s="1691"/>
      <c r="U54" s="1692"/>
      <c r="V54" s="1691"/>
      <c r="W54" s="1692"/>
      <c r="X54" s="1691"/>
      <c r="Y54" s="1692"/>
      <c r="Z54" s="1737"/>
    </row>
    <row r="55" spans="1:26">
      <c r="A55" s="1703"/>
      <c r="B55" s="469"/>
      <c r="C55" s="469"/>
      <c r="D55" s="469"/>
      <c r="E55" s="470"/>
      <c r="F55" s="469"/>
      <c r="G55" s="470"/>
      <c r="H55" s="469"/>
      <c r="I55" s="1692"/>
      <c r="J55" s="1691"/>
      <c r="K55" s="1691"/>
      <c r="L55" s="1691"/>
      <c r="M55" s="1692"/>
      <c r="N55" s="1691"/>
      <c r="O55" s="1692"/>
      <c r="P55" s="1691"/>
      <c r="Q55" s="1692"/>
      <c r="R55" s="1691"/>
      <c r="S55" s="1692"/>
      <c r="T55" s="1691"/>
      <c r="U55" s="1692"/>
      <c r="V55" s="1691"/>
      <c r="W55" s="1692"/>
      <c r="X55" s="1691"/>
      <c r="Y55" s="1692"/>
      <c r="Z55" s="1737"/>
    </row>
    <row r="56" spans="1:26">
      <c r="A56" s="1703"/>
      <c r="B56" s="469"/>
      <c r="C56" s="469"/>
      <c r="D56" s="469"/>
      <c r="E56" s="470"/>
      <c r="F56" s="469"/>
      <c r="G56" s="470"/>
      <c r="H56" s="469"/>
      <c r="I56" s="1692"/>
      <c r="J56" s="1691"/>
      <c r="K56" s="1691"/>
      <c r="L56" s="1691"/>
      <c r="M56" s="1692"/>
      <c r="N56" s="1691"/>
      <c r="O56" s="1692"/>
      <c r="P56" s="1691"/>
      <c r="Q56" s="1692"/>
      <c r="R56" s="1691"/>
      <c r="S56" s="1692"/>
      <c r="T56" s="1691"/>
      <c r="U56" s="1692"/>
      <c r="V56" s="1691"/>
      <c r="W56" s="1692"/>
      <c r="X56" s="1691"/>
      <c r="Y56" s="1692"/>
      <c r="Z56" s="1737"/>
    </row>
    <row r="57" spans="1:26">
      <c r="A57" s="1703"/>
      <c r="B57" s="469"/>
      <c r="C57" s="469"/>
      <c r="D57" s="469"/>
      <c r="E57" s="470"/>
      <c r="F57" s="469"/>
      <c r="G57" s="470"/>
      <c r="H57" s="469"/>
      <c r="I57" s="1692"/>
      <c r="J57" s="1691"/>
      <c r="K57" s="1691"/>
      <c r="L57" s="1691"/>
      <c r="M57" s="1692"/>
      <c r="N57" s="1691"/>
      <c r="O57" s="1692"/>
      <c r="P57" s="1691"/>
      <c r="Q57" s="1692"/>
      <c r="R57" s="1691"/>
      <c r="S57" s="1692"/>
      <c r="T57" s="1691"/>
      <c r="U57" s="1692"/>
      <c r="V57" s="1691"/>
      <c r="W57" s="1692"/>
      <c r="X57" s="1691"/>
      <c r="Y57" s="1692"/>
      <c r="Z57" s="1737"/>
    </row>
    <row r="58" spans="1:26">
      <c r="A58" s="1703"/>
      <c r="B58" s="469"/>
      <c r="C58" s="469"/>
      <c r="D58" s="469"/>
      <c r="E58" s="470"/>
      <c r="F58" s="469"/>
      <c r="G58" s="470"/>
      <c r="H58" s="469"/>
      <c r="I58" s="1692"/>
      <c r="J58" s="1691"/>
      <c r="K58" s="1691"/>
      <c r="L58" s="1691"/>
      <c r="M58" s="1692"/>
      <c r="N58" s="1691"/>
      <c r="O58" s="1692"/>
      <c r="P58" s="1691"/>
      <c r="Q58" s="1692"/>
      <c r="R58" s="1691"/>
      <c r="S58" s="1692"/>
      <c r="T58" s="1691"/>
      <c r="U58" s="1692"/>
      <c r="V58" s="1691"/>
      <c r="W58" s="1692"/>
      <c r="X58" s="1691"/>
      <c r="Y58" s="1692"/>
      <c r="Z58" s="1737"/>
    </row>
    <row r="59" spans="1:26">
      <c r="A59" s="1703"/>
      <c r="B59" s="469"/>
      <c r="C59" s="469"/>
      <c r="D59" s="469"/>
      <c r="E59" s="470"/>
      <c r="F59" s="469"/>
      <c r="G59" s="470"/>
      <c r="H59" s="469"/>
      <c r="I59" s="1692"/>
      <c r="J59" s="1691"/>
      <c r="K59" s="1691"/>
      <c r="L59" s="1691"/>
      <c r="M59" s="1692"/>
      <c r="N59" s="1691"/>
      <c r="O59" s="1692"/>
      <c r="P59" s="1691"/>
      <c r="Q59" s="1692"/>
      <c r="R59" s="1691"/>
      <c r="S59" s="1692"/>
      <c r="T59" s="1691"/>
      <c r="U59" s="1692"/>
      <c r="V59" s="1691"/>
      <c r="W59" s="1692"/>
      <c r="X59" s="1691"/>
      <c r="Y59" s="1692"/>
      <c r="Z59" s="1737"/>
    </row>
    <row r="60" spans="1:26">
      <c r="A60" s="1703"/>
      <c r="B60" s="469"/>
      <c r="C60" s="469"/>
      <c r="D60" s="469"/>
      <c r="E60" s="470"/>
      <c r="F60" s="469"/>
      <c r="G60" s="470"/>
      <c r="H60" s="469"/>
      <c r="I60" s="1692"/>
      <c r="J60" s="1691"/>
      <c r="K60" s="1691"/>
      <c r="L60" s="1691"/>
      <c r="M60" s="1692"/>
      <c r="N60" s="1691"/>
      <c r="O60" s="1692"/>
      <c r="P60" s="1691"/>
      <c r="Q60" s="1692"/>
      <c r="R60" s="1691"/>
      <c r="S60" s="1692"/>
      <c r="T60" s="1691"/>
      <c r="U60" s="1692"/>
      <c r="V60" s="1691"/>
      <c r="W60" s="1692"/>
      <c r="X60" s="1691"/>
      <c r="Y60" s="1692"/>
      <c r="Z60" s="1737"/>
    </row>
    <row r="61" spans="1:26">
      <c r="A61" s="1703"/>
      <c r="B61" s="469"/>
      <c r="C61" s="469"/>
      <c r="D61" s="469"/>
      <c r="E61" s="470"/>
      <c r="F61" s="469"/>
      <c r="G61" s="470"/>
      <c r="H61" s="469"/>
      <c r="I61" s="1692"/>
      <c r="J61" s="1691"/>
      <c r="K61" s="1691"/>
      <c r="L61" s="1691"/>
      <c r="M61" s="1692"/>
      <c r="N61" s="1691"/>
      <c r="O61" s="1692"/>
      <c r="P61" s="1691"/>
      <c r="Q61" s="1692"/>
      <c r="R61" s="1691"/>
      <c r="S61" s="1692"/>
      <c r="T61" s="1691"/>
      <c r="U61" s="1692"/>
      <c r="V61" s="1691"/>
      <c r="W61" s="1692"/>
      <c r="X61" s="1691"/>
      <c r="Y61" s="1692"/>
      <c r="Z61" s="1737"/>
    </row>
    <row r="62" spans="1:26">
      <c r="A62" s="1703"/>
      <c r="B62" s="469"/>
      <c r="C62" s="469"/>
      <c r="D62" s="469"/>
      <c r="E62" s="470"/>
      <c r="F62" s="469"/>
      <c r="G62" s="470"/>
      <c r="H62" s="469"/>
      <c r="I62" s="1692"/>
      <c r="J62" s="1691"/>
      <c r="K62" s="1691"/>
      <c r="L62" s="1691"/>
      <c r="M62" s="1692"/>
      <c r="N62" s="1691"/>
      <c r="O62" s="1692"/>
      <c r="P62" s="1691"/>
      <c r="Q62" s="1692"/>
      <c r="R62" s="1691"/>
      <c r="S62" s="1692"/>
      <c r="T62" s="1691"/>
      <c r="U62" s="1692"/>
      <c r="V62" s="1691"/>
      <c r="W62" s="1692"/>
      <c r="X62" s="1691"/>
      <c r="Y62" s="1692"/>
      <c r="Z62" s="1737"/>
    </row>
    <row r="63" spans="1:26">
      <c r="A63" s="1703"/>
      <c r="B63" s="469"/>
      <c r="C63" s="469"/>
      <c r="D63" s="469"/>
      <c r="E63" s="470"/>
      <c r="F63" s="469"/>
      <c r="G63" s="470"/>
      <c r="H63" s="469"/>
      <c r="I63" s="1692"/>
      <c r="J63" s="1691"/>
      <c r="K63" s="1691"/>
      <c r="L63" s="1691"/>
      <c r="M63" s="1692"/>
      <c r="N63" s="1691"/>
      <c r="O63" s="1692"/>
      <c r="P63" s="1691"/>
      <c r="Q63" s="1692"/>
      <c r="R63" s="1691"/>
      <c r="S63" s="1692"/>
      <c r="T63" s="1691"/>
      <c r="U63" s="1692"/>
      <c r="V63" s="1691"/>
      <c r="W63" s="1692"/>
      <c r="X63" s="1691"/>
      <c r="Y63" s="1692"/>
      <c r="Z63" s="1737"/>
    </row>
    <row r="64" spans="1:26">
      <c r="A64" s="1703"/>
      <c r="B64" s="469"/>
      <c r="C64" s="469"/>
      <c r="D64" s="469"/>
      <c r="E64" s="470"/>
      <c r="F64" s="469"/>
      <c r="G64" s="470"/>
      <c r="H64" s="469"/>
      <c r="I64" s="1692"/>
      <c r="J64" s="1691"/>
      <c r="K64" s="1691"/>
      <c r="L64" s="1691"/>
      <c r="M64" s="1692"/>
      <c r="N64" s="1691"/>
      <c r="O64" s="1692"/>
      <c r="P64" s="1691"/>
      <c r="Q64" s="1692"/>
      <c r="R64" s="1691"/>
      <c r="S64" s="1692"/>
      <c r="T64" s="1691"/>
      <c r="U64" s="1692"/>
      <c r="V64" s="1691"/>
      <c r="W64" s="1692"/>
      <c r="X64" s="1691"/>
      <c r="Y64" s="1692"/>
      <c r="Z64" s="1737"/>
    </row>
    <row r="65" spans="1:26">
      <c r="A65" s="1703"/>
      <c r="B65" s="469"/>
      <c r="C65" s="469"/>
      <c r="D65" s="469"/>
      <c r="E65" s="470"/>
      <c r="F65" s="469"/>
      <c r="G65" s="470"/>
      <c r="H65" s="469"/>
      <c r="I65" s="1692"/>
      <c r="J65" s="1691"/>
      <c r="K65" s="1691"/>
      <c r="L65" s="1691"/>
      <c r="M65" s="1692"/>
      <c r="N65" s="1691"/>
      <c r="O65" s="1692"/>
      <c r="P65" s="1691"/>
      <c r="Q65" s="1692"/>
      <c r="R65" s="1691"/>
      <c r="S65" s="1692"/>
      <c r="T65" s="1691"/>
      <c r="U65" s="1692"/>
      <c r="V65" s="1691"/>
      <c r="W65" s="1692"/>
      <c r="X65" s="1691"/>
      <c r="Y65" s="1692"/>
      <c r="Z65" s="1737"/>
    </row>
    <row r="66" spans="1:26">
      <c r="A66" s="1703"/>
      <c r="B66" s="469"/>
      <c r="C66" s="469"/>
      <c r="D66" s="469"/>
      <c r="E66" s="470"/>
      <c r="F66" s="469"/>
      <c r="G66" s="470"/>
      <c r="H66" s="469"/>
      <c r="I66" s="1692"/>
      <c r="J66" s="1691"/>
      <c r="K66" s="1691"/>
      <c r="L66" s="1691"/>
      <c r="M66" s="1692"/>
      <c r="N66" s="1691"/>
      <c r="O66" s="1692"/>
      <c r="P66" s="1691"/>
      <c r="Q66" s="1692"/>
      <c r="R66" s="1691"/>
      <c r="S66" s="1692"/>
      <c r="T66" s="1691"/>
      <c r="U66" s="1692"/>
      <c r="V66" s="1691"/>
      <c r="W66" s="1692"/>
      <c r="X66" s="1691"/>
      <c r="Y66" s="1692"/>
      <c r="Z66" s="1737"/>
    </row>
    <row r="67" spans="1:26">
      <c r="A67" s="1703"/>
      <c r="B67" s="469"/>
      <c r="C67" s="469"/>
      <c r="D67" s="469"/>
      <c r="E67" s="470"/>
      <c r="F67" s="469"/>
      <c r="G67" s="470"/>
      <c r="H67" s="469"/>
      <c r="I67" s="1692"/>
      <c r="J67" s="1691"/>
      <c r="K67" s="1691"/>
      <c r="L67" s="1691"/>
      <c r="M67" s="1692"/>
      <c r="N67" s="1691"/>
      <c r="O67" s="1692"/>
      <c r="P67" s="1691"/>
      <c r="Q67" s="1692"/>
      <c r="R67" s="1691"/>
      <c r="S67" s="1692"/>
      <c r="T67" s="1691"/>
      <c r="U67" s="1692"/>
      <c r="V67" s="1691"/>
      <c r="W67" s="1692"/>
      <c r="X67" s="1691"/>
      <c r="Y67" s="1692"/>
      <c r="Z67" s="1737"/>
    </row>
    <row r="68" spans="1:26">
      <c r="A68" s="1703"/>
      <c r="B68" s="469"/>
      <c r="C68" s="469"/>
      <c r="D68" s="469"/>
      <c r="E68" s="470"/>
      <c r="F68" s="469"/>
      <c r="G68" s="470"/>
      <c r="H68" s="469"/>
      <c r="I68" s="1692"/>
      <c r="J68" s="1691"/>
      <c r="K68" s="1691"/>
      <c r="L68" s="1691"/>
      <c r="M68" s="1692"/>
      <c r="N68" s="1691"/>
      <c r="O68" s="1692"/>
      <c r="P68" s="1691"/>
      <c r="Q68" s="1692"/>
      <c r="R68" s="1691"/>
      <c r="S68" s="1692"/>
      <c r="T68" s="1691"/>
      <c r="U68" s="1692"/>
      <c r="V68" s="1691"/>
      <c r="W68" s="1692"/>
      <c r="X68" s="1691"/>
      <c r="Y68" s="1692"/>
      <c r="Z68" s="1737"/>
    </row>
    <row r="69" spans="1:26">
      <c r="A69" s="1703"/>
      <c r="B69" s="469"/>
      <c r="C69" s="469"/>
      <c r="D69" s="469"/>
      <c r="E69" s="470"/>
      <c r="F69" s="469"/>
      <c r="G69" s="470"/>
      <c r="H69" s="469"/>
      <c r="I69" s="1692"/>
      <c r="J69" s="1691"/>
      <c r="K69" s="1691"/>
      <c r="L69" s="1691"/>
      <c r="M69" s="1692"/>
      <c r="N69" s="1691"/>
      <c r="O69" s="1692"/>
      <c r="P69" s="1691"/>
      <c r="Q69" s="1692"/>
      <c r="R69" s="1691"/>
      <c r="S69" s="1692"/>
      <c r="T69" s="1691"/>
      <c r="U69" s="1692"/>
      <c r="V69" s="1691"/>
      <c r="W69" s="1692"/>
      <c r="X69" s="1691"/>
      <c r="Y69" s="1692"/>
      <c r="Z69" s="1737"/>
    </row>
    <row r="70" spans="1:26">
      <c r="A70" s="1703"/>
      <c r="B70" s="469"/>
      <c r="C70" s="469"/>
      <c r="D70" s="469"/>
      <c r="E70" s="470"/>
      <c r="F70" s="469"/>
      <c r="G70" s="470"/>
      <c r="H70" s="469"/>
      <c r="I70" s="1692"/>
      <c r="J70" s="1691"/>
      <c r="K70" s="1691"/>
      <c r="L70" s="1691"/>
      <c r="M70" s="1692"/>
      <c r="N70" s="1691"/>
      <c r="O70" s="1692"/>
      <c r="P70" s="1691"/>
      <c r="Q70" s="1692"/>
      <c r="R70" s="1691"/>
      <c r="S70" s="1692"/>
      <c r="T70" s="1691"/>
      <c r="U70" s="1692"/>
      <c r="V70" s="1691"/>
      <c r="W70" s="1692"/>
      <c r="X70" s="1691"/>
      <c r="Y70" s="1692"/>
      <c r="Z70" s="1737"/>
    </row>
    <row r="71" spans="1:26">
      <c r="A71" s="1703"/>
      <c r="B71" s="469"/>
      <c r="C71" s="469"/>
      <c r="D71" s="469"/>
      <c r="E71" s="470"/>
      <c r="F71" s="469"/>
      <c r="G71" s="470"/>
      <c r="H71" s="469"/>
      <c r="I71" s="1692"/>
      <c r="J71" s="1691"/>
      <c r="K71" s="1691"/>
      <c r="L71" s="1691"/>
      <c r="M71" s="1692"/>
      <c r="N71" s="1691"/>
      <c r="O71" s="1692"/>
      <c r="P71" s="1691"/>
      <c r="Q71" s="1692"/>
      <c r="R71" s="1691"/>
      <c r="S71" s="1692"/>
      <c r="T71" s="1691"/>
      <c r="U71" s="1692"/>
      <c r="V71" s="1691"/>
      <c r="W71" s="1692"/>
      <c r="X71" s="1691"/>
      <c r="Y71" s="1692"/>
      <c r="Z71" s="1737"/>
    </row>
    <row r="72" spans="1:26">
      <c r="A72" s="1703"/>
      <c r="B72" s="469"/>
      <c r="C72" s="469"/>
      <c r="D72" s="469"/>
      <c r="E72" s="470"/>
      <c r="F72" s="469"/>
      <c r="G72" s="470"/>
      <c r="H72" s="469"/>
      <c r="I72" s="1692"/>
      <c r="J72" s="1691"/>
      <c r="K72" s="1691"/>
      <c r="L72" s="1691"/>
      <c r="M72" s="1692"/>
      <c r="N72" s="1691"/>
      <c r="O72" s="1692"/>
      <c r="P72" s="1691"/>
      <c r="Q72" s="1692"/>
      <c r="R72" s="1691"/>
      <c r="S72" s="1692"/>
      <c r="T72" s="1691"/>
      <c r="U72" s="1692"/>
      <c r="V72" s="1691"/>
      <c r="W72" s="1692"/>
      <c r="X72" s="1691"/>
      <c r="Y72" s="1692"/>
      <c r="Z72" s="1737"/>
    </row>
    <row r="73" spans="1:26">
      <c r="A73" s="1703"/>
      <c r="B73" s="469"/>
      <c r="C73" s="469"/>
      <c r="D73" s="469"/>
      <c r="E73" s="470"/>
      <c r="F73" s="469"/>
      <c r="G73" s="470"/>
      <c r="H73" s="469"/>
      <c r="I73" s="1692"/>
      <c r="J73" s="1691"/>
      <c r="K73" s="1691"/>
      <c r="L73" s="1691"/>
      <c r="M73" s="1692"/>
      <c r="N73" s="1691"/>
      <c r="O73" s="1692"/>
      <c r="P73" s="1691"/>
      <c r="Q73" s="1692"/>
      <c r="R73" s="1691"/>
      <c r="S73" s="1692"/>
      <c r="T73" s="1691"/>
      <c r="U73" s="1692"/>
      <c r="V73" s="1691"/>
      <c r="W73" s="1692"/>
      <c r="X73" s="1691"/>
      <c r="Y73" s="1692"/>
      <c r="Z73" s="1737"/>
    </row>
    <row r="74" spans="1:26">
      <c r="A74" s="1703"/>
      <c r="B74" s="469"/>
      <c r="C74" s="469"/>
      <c r="D74" s="469"/>
      <c r="E74" s="470"/>
      <c r="F74" s="469"/>
      <c r="G74" s="470"/>
      <c r="H74" s="469"/>
      <c r="I74" s="1692"/>
      <c r="J74" s="1691"/>
      <c r="K74" s="1691"/>
      <c r="L74" s="1691"/>
      <c r="M74" s="1692"/>
      <c r="N74" s="1691"/>
      <c r="O74" s="1692"/>
      <c r="P74" s="1691"/>
      <c r="Q74" s="1692"/>
      <c r="R74" s="1691"/>
      <c r="S74" s="1692"/>
      <c r="T74" s="1691"/>
      <c r="U74" s="1692"/>
      <c r="V74" s="1691"/>
      <c r="W74" s="1692"/>
      <c r="X74" s="1691"/>
      <c r="Y74" s="1692"/>
      <c r="Z74" s="1737"/>
    </row>
    <row r="75" spans="1:26">
      <c r="A75" s="1703"/>
      <c r="B75" s="469"/>
      <c r="C75" s="469"/>
      <c r="D75" s="469"/>
      <c r="E75" s="470"/>
      <c r="F75" s="469"/>
      <c r="G75" s="470"/>
      <c r="H75" s="469"/>
      <c r="I75" s="1692"/>
      <c r="J75" s="1691"/>
      <c r="K75" s="1691"/>
      <c r="L75" s="1691"/>
      <c r="M75" s="1692"/>
      <c r="N75" s="1691"/>
      <c r="O75" s="1692"/>
      <c r="P75" s="1691"/>
      <c r="Q75" s="1692"/>
      <c r="R75" s="1691"/>
      <c r="S75" s="1692"/>
      <c r="T75" s="1691"/>
      <c r="U75" s="1692"/>
      <c r="V75" s="1691"/>
      <c r="W75" s="1692"/>
      <c r="X75" s="1691"/>
      <c r="Y75" s="1692"/>
      <c r="Z75" s="1737"/>
    </row>
    <row r="76" spans="1:26">
      <c r="A76" s="1703"/>
      <c r="B76" s="469"/>
      <c r="C76" s="469"/>
      <c r="D76" s="469"/>
      <c r="E76" s="470"/>
      <c r="F76" s="469"/>
      <c r="G76" s="470"/>
      <c r="H76" s="469"/>
      <c r="I76" s="1692"/>
      <c r="J76" s="1691"/>
      <c r="K76" s="1691"/>
      <c r="L76" s="1691"/>
      <c r="M76" s="1692"/>
      <c r="N76" s="1691"/>
      <c r="O76" s="1692"/>
      <c r="P76" s="1691"/>
      <c r="Q76" s="1692"/>
      <c r="R76" s="1691"/>
      <c r="S76" s="1692"/>
      <c r="T76" s="1691"/>
      <c r="U76" s="1692"/>
      <c r="V76" s="1691"/>
      <c r="W76" s="1692"/>
      <c r="X76" s="1691"/>
      <c r="Y76" s="1692"/>
      <c r="Z76" s="1737"/>
    </row>
    <row r="77" spans="1:26">
      <c r="A77" s="1703"/>
      <c r="B77" s="469"/>
      <c r="C77" s="469"/>
      <c r="D77" s="469"/>
      <c r="E77" s="470"/>
      <c r="F77" s="469"/>
      <c r="G77" s="470"/>
      <c r="H77" s="469"/>
      <c r="I77" s="1692"/>
      <c r="J77" s="1691"/>
      <c r="K77" s="1691"/>
      <c r="L77" s="1691"/>
      <c r="M77" s="1692"/>
      <c r="N77" s="1691"/>
      <c r="O77" s="1692"/>
      <c r="P77" s="1691"/>
      <c r="Q77" s="1692"/>
      <c r="R77" s="1691"/>
      <c r="S77" s="1692"/>
      <c r="T77" s="1691"/>
      <c r="U77" s="1692"/>
      <c r="V77" s="1691"/>
      <c r="W77" s="1692"/>
      <c r="X77" s="1691"/>
      <c r="Y77" s="1692"/>
      <c r="Z77" s="1737"/>
    </row>
    <row r="78" spans="1:26">
      <c r="A78" s="1703"/>
      <c r="B78" s="469"/>
      <c r="C78" s="469"/>
      <c r="D78" s="469"/>
      <c r="E78" s="470"/>
      <c r="F78" s="469"/>
      <c r="G78" s="470"/>
      <c r="H78" s="469"/>
      <c r="I78" s="1692"/>
      <c r="J78" s="1691"/>
      <c r="K78" s="1691"/>
      <c r="L78" s="1691"/>
      <c r="M78" s="1692"/>
      <c r="N78" s="1691"/>
      <c r="O78" s="1692"/>
      <c r="P78" s="1691"/>
      <c r="Q78" s="1692"/>
      <c r="R78" s="1691"/>
      <c r="S78" s="1692"/>
      <c r="T78" s="1691"/>
      <c r="U78" s="1692"/>
      <c r="V78" s="1691"/>
      <c r="W78" s="1692"/>
      <c r="X78" s="1691"/>
      <c r="Y78" s="1692"/>
      <c r="Z78" s="1737"/>
    </row>
    <row r="79" spans="1:26">
      <c r="A79" s="1703"/>
      <c r="B79" s="469"/>
      <c r="C79" s="469"/>
      <c r="D79" s="469"/>
      <c r="E79" s="470"/>
      <c r="F79" s="469"/>
      <c r="G79" s="470"/>
      <c r="H79" s="469"/>
      <c r="I79" s="1692"/>
      <c r="J79" s="1691"/>
      <c r="K79" s="1691"/>
      <c r="L79" s="1691"/>
      <c r="M79" s="1692"/>
      <c r="N79" s="1691"/>
      <c r="O79" s="1692"/>
      <c r="P79" s="1691"/>
      <c r="Q79" s="1692"/>
      <c r="R79" s="1691"/>
      <c r="S79" s="1692"/>
      <c r="T79" s="1691"/>
      <c r="U79" s="1692"/>
      <c r="V79" s="1691"/>
      <c r="W79" s="1692"/>
      <c r="X79" s="1691"/>
      <c r="Y79" s="1692"/>
      <c r="Z79" s="1737"/>
    </row>
    <row r="80" spans="1:26">
      <c r="A80" s="1703"/>
      <c r="B80" s="469"/>
      <c r="C80" s="469"/>
      <c r="D80" s="469"/>
      <c r="E80" s="470"/>
      <c r="F80" s="469"/>
      <c r="G80" s="470"/>
      <c r="H80" s="469"/>
      <c r="I80" s="1692"/>
      <c r="J80" s="1691"/>
      <c r="K80" s="1691"/>
      <c r="L80" s="1691"/>
      <c r="M80" s="1692"/>
      <c r="N80" s="1691"/>
      <c r="O80" s="1692"/>
      <c r="P80" s="1691"/>
      <c r="Q80" s="1692"/>
      <c r="R80" s="1691"/>
      <c r="S80" s="1692"/>
      <c r="T80" s="1691"/>
      <c r="U80" s="1692"/>
      <c r="V80" s="1691"/>
      <c r="W80" s="1692"/>
      <c r="X80" s="1691"/>
      <c r="Y80" s="1692"/>
      <c r="Z80" s="1737"/>
    </row>
    <row r="81" spans="1:26">
      <c r="A81" s="1703"/>
      <c r="B81" s="469"/>
      <c r="C81" s="469"/>
      <c r="D81" s="469"/>
      <c r="E81" s="470"/>
      <c r="F81" s="469"/>
      <c r="G81" s="470"/>
      <c r="H81" s="469"/>
      <c r="I81" s="1692"/>
      <c r="J81" s="1691"/>
      <c r="K81" s="1691"/>
      <c r="L81" s="1691"/>
      <c r="M81" s="1692"/>
      <c r="N81" s="1691"/>
      <c r="O81" s="1692"/>
      <c r="P81" s="1691"/>
      <c r="Q81" s="1692"/>
      <c r="R81" s="1691"/>
      <c r="S81" s="1692"/>
      <c r="T81" s="1691"/>
      <c r="U81" s="1692"/>
      <c r="V81" s="1691"/>
      <c r="W81" s="1692"/>
      <c r="X81" s="1691"/>
      <c r="Y81" s="1692"/>
      <c r="Z81" s="1737"/>
    </row>
    <row r="82" spans="1:26">
      <c r="A82" s="1703"/>
      <c r="B82" s="469"/>
      <c r="C82" s="469"/>
      <c r="D82" s="469"/>
      <c r="E82" s="470"/>
      <c r="F82" s="469"/>
      <c r="G82" s="470"/>
      <c r="H82" s="469"/>
      <c r="I82" s="1692"/>
      <c r="J82" s="1691"/>
      <c r="K82" s="1691"/>
      <c r="L82" s="1691"/>
      <c r="M82" s="1692"/>
      <c r="N82" s="1691"/>
      <c r="O82" s="1692"/>
      <c r="P82" s="1691"/>
      <c r="Q82" s="1692"/>
      <c r="R82" s="1691"/>
      <c r="S82" s="1692"/>
      <c r="T82" s="1691"/>
      <c r="U82" s="1692"/>
      <c r="V82" s="1691"/>
      <c r="W82" s="1692"/>
      <c r="X82" s="1691"/>
      <c r="Y82" s="1692"/>
      <c r="Z82" s="1737"/>
    </row>
    <row r="83" spans="1:26">
      <c r="A83" s="1703"/>
      <c r="B83" s="469"/>
      <c r="C83" s="469"/>
      <c r="D83" s="469"/>
      <c r="E83" s="470"/>
      <c r="F83" s="469"/>
      <c r="G83" s="470"/>
      <c r="H83" s="469"/>
      <c r="I83" s="1692"/>
      <c r="J83" s="1691"/>
      <c r="K83" s="1691"/>
      <c r="L83" s="1691"/>
      <c r="M83" s="1692"/>
      <c r="N83" s="1691"/>
      <c r="O83" s="1692"/>
      <c r="P83" s="1691"/>
      <c r="Q83" s="1692"/>
      <c r="R83" s="1691"/>
      <c r="S83" s="1692"/>
      <c r="T83" s="1691"/>
      <c r="U83" s="1692"/>
      <c r="V83" s="1691"/>
      <c r="W83" s="1692"/>
      <c r="X83" s="1691"/>
      <c r="Y83" s="1692"/>
      <c r="Z83" s="1737"/>
    </row>
    <row r="84" spans="1:26">
      <c r="A84" s="1703"/>
      <c r="B84" s="469"/>
      <c r="C84" s="469"/>
      <c r="D84" s="469"/>
      <c r="E84" s="470"/>
      <c r="F84" s="469"/>
      <c r="G84" s="470"/>
      <c r="H84" s="469"/>
      <c r="I84" s="1692"/>
      <c r="J84" s="1691"/>
      <c r="K84" s="1691"/>
      <c r="L84" s="1691"/>
      <c r="M84" s="1692"/>
      <c r="N84" s="1691"/>
      <c r="O84" s="1692"/>
      <c r="P84" s="1691"/>
      <c r="Q84" s="1692"/>
      <c r="R84" s="1691"/>
      <c r="S84" s="1692"/>
      <c r="T84" s="1691"/>
      <c r="U84" s="1692"/>
      <c r="V84" s="1691"/>
      <c r="W84" s="1692"/>
      <c r="X84" s="1691"/>
      <c r="Y84" s="1692"/>
      <c r="Z84" s="1737"/>
    </row>
    <row r="85" spans="1:26">
      <c r="A85" s="1703"/>
      <c r="B85" s="469"/>
      <c r="C85" s="469"/>
      <c r="D85" s="469"/>
      <c r="E85" s="470"/>
      <c r="F85" s="469"/>
      <c r="G85" s="470"/>
      <c r="H85" s="469"/>
      <c r="I85" s="1692"/>
      <c r="J85" s="1691"/>
      <c r="K85" s="1691"/>
      <c r="L85" s="1691"/>
      <c r="M85" s="1692"/>
      <c r="N85" s="1691"/>
      <c r="O85" s="1692"/>
      <c r="P85" s="1691"/>
      <c r="Q85" s="1692"/>
      <c r="R85" s="1691"/>
      <c r="S85" s="1692"/>
      <c r="T85" s="1691"/>
      <c r="U85" s="1692"/>
      <c r="V85" s="1691"/>
      <c r="W85" s="1692"/>
      <c r="X85" s="1691"/>
      <c r="Y85" s="1692"/>
      <c r="Z85" s="1737"/>
    </row>
    <row r="86" spans="1:26">
      <c r="A86" s="1703"/>
      <c r="B86" s="469"/>
      <c r="C86" s="469"/>
      <c r="D86" s="469"/>
      <c r="E86" s="470"/>
      <c r="F86" s="469"/>
      <c r="G86" s="470"/>
      <c r="H86" s="469"/>
      <c r="I86" s="1692"/>
      <c r="J86" s="1691"/>
      <c r="K86" s="1691"/>
      <c r="L86" s="1691"/>
      <c r="M86" s="1692"/>
      <c r="N86" s="1691"/>
      <c r="O86" s="1692"/>
      <c r="P86" s="1691"/>
      <c r="Q86" s="1692"/>
      <c r="R86" s="1691"/>
      <c r="S86" s="1692"/>
      <c r="T86" s="1691"/>
      <c r="U86" s="1692"/>
      <c r="V86" s="1691"/>
      <c r="W86" s="1692"/>
      <c r="X86" s="1691"/>
      <c r="Y86" s="1692"/>
      <c r="Z86" s="1737"/>
    </row>
    <row r="87" spans="1:26">
      <c r="A87" s="1703"/>
      <c r="B87" s="469"/>
      <c r="C87" s="469"/>
      <c r="D87" s="469"/>
      <c r="E87" s="470"/>
      <c r="F87" s="469"/>
      <c r="G87" s="470"/>
      <c r="H87" s="469"/>
      <c r="I87" s="1692"/>
      <c r="J87" s="1691"/>
      <c r="K87" s="1691"/>
      <c r="L87" s="1691"/>
      <c r="M87" s="1692"/>
      <c r="N87" s="1691"/>
      <c r="O87" s="1692"/>
      <c r="P87" s="1691"/>
      <c r="Q87" s="1692"/>
      <c r="R87" s="1691"/>
      <c r="S87" s="1692"/>
      <c r="T87" s="1691"/>
      <c r="U87" s="1692"/>
      <c r="V87" s="1691"/>
      <c r="W87" s="1692"/>
      <c r="X87" s="1691"/>
      <c r="Y87" s="1692"/>
      <c r="Z87" s="1737"/>
    </row>
    <row r="88" spans="1:26">
      <c r="A88" s="1703"/>
      <c r="B88" s="469"/>
      <c r="C88" s="469"/>
      <c r="D88" s="469"/>
      <c r="E88" s="470"/>
      <c r="F88" s="469"/>
      <c r="G88" s="470"/>
      <c r="H88" s="469"/>
      <c r="I88" s="1692"/>
      <c r="J88" s="1691"/>
      <c r="K88" s="1691"/>
      <c r="L88" s="1691"/>
      <c r="M88" s="1692"/>
      <c r="N88" s="1691"/>
      <c r="O88" s="1692"/>
      <c r="P88" s="1691"/>
      <c r="Q88" s="1692"/>
      <c r="R88" s="1691"/>
      <c r="S88" s="1692"/>
      <c r="T88" s="1691"/>
      <c r="U88" s="1692"/>
      <c r="V88" s="1691"/>
      <c r="W88" s="1692"/>
      <c r="X88" s="1691"/>
      <c r="Y88" s="1692"/>
      <c r="Z88" s="1737"/>
    </row>
    <row r="89" spans="1:26">
      <c r="A89" s="1703"/>
      <c r="B89" s="469"/>
      <c r="C89" s="469"/>
      <c r="D89" s="469"/>
      <c r="E89" s="470"/>
      <c r="F89" s="469"/>
      <c r="G89" s="470"/>
      <c r="H89" s="469"/>
      <c r="I89" s="1692"/>
      <c r="J89" s="1691"/>
      <c r="K89" s="1691"/>
      <c r="L89" s="1691"/>
      <c r="M89" s="1692"/>
      <c r="N89" s="1691"/>
      <c r="O89" s="1692"/>
      <c r="P89" s="1691"/>
      <c r="Q89" s="1692"/>
      <c r="R89" s="1691"/>
      <c r="S89" s="1692"/>
      <c r="T89" s="1691"/>
      <c r="U89" s="1692"/>
      <c r="V89" s="1691"/>
      <c r="W89" s="1692"/>
      <c r="X89" s="1691"/>
      <c r="Y89" s="1692"/>
      <c r="Z89" s="1737"/>
    </row>
    <row r="90" spans="1:26">
      <c r="A90" s="1703"/>
      <c r="B90" s="469"/>
      <c r="C90" s="469"/>
      <c r="D90" s="469"/>
      <c r="E90" s="470"/>
      <c r="F90" s="469"/>
      <c r="G90" s="470"/>
      <c r="H90" s="469"/>
      <c r="I90" s="1692"/>
      <c r="J90" s="1691"/>
      <c r="K90" s="1691"/>
      <c r="L90" s="1691"/>
      <c r="M90" s="1692"/>
      <c r="N90" s="1691"/>
      <c r="O90" s="1692"/>
      <c r="P90" s="1691"/>
      <c r="Q90" s="1692"/>
      <c r="R90" s="1691"/>
      <c r="S90" s="1692"/>
      <c r="T90" s="1691"/>
      <c r="U90" s="1692"/>
      <c r="V90" s="1691"/>
      <c r="W90" s="1692"/>
      <c r="X90" s="1691"/>
      <c r="Y90" s="1692"/>
      <c r="Z90" s="1737"/>
    </row>
    <row r="91" spans="1:26">
      <c r="A91" s="1703"/>
      <c r="B91" s="469"/>
      <c r="C91" s="469"/>
      <c r="D91" s="469"/>
      <c r="E91" s="470"/>
      <c r="F91" s="469"/>
      <c r="G91" s="470"/>
      <c r="H91" s="469"/>
      <c r="I91" s="1692"/>
      <c r="J91" s="1691"/>
      <c r="K91" s="1691"/>
      <c r="L91" s="1691"/>
      <c r="M91" s="1692"/>
      <c r="N91" s="1691"/>
      <c r="O91" s="1692"/>
      <c r="P91" s="1691"/>
      <c r="Q91" s="1692"/>
      <c r="R91" s="1691"/>
      <c r="S91" s="1692"/>
      <c r="T91" s="1691"/>
      <c r="U91" s="1692"/>
      <c r="V91" s="1691"/>
      <c r="W91" s="1692"/>
      <c r="X91" s="1691"/>
      <c r="Y91" s="1692"/>
      <c r="Z91" s="1737"/>
    </row>
    <row r="92" spans="1:26">
      <c r="A92" s="1703"/>
      <c r="B92" s="469"/>
      <c r="C92" s="469"/>
      <c r="D92" s="469"/>
      <c r="E92" s="470"/>
      <c r="F92" s="469"/>
      <c r="G92" s="470"/>
      <c r="H92" s="469"/>
      <c r="I92" s="1692"/>
      <c r="J92" s="1691"/>
      <c r="K92" s="1691"/>
      <c r="L92" s="1691"/>
      <c r="M92" s="1692"/>
      <c r="N92" s="1691"/>
      <c r="O92" s="1692"/>
      <c r="P92" s="1691"/>
      <c r="Q92" s="1692"/>
      <c r="R92" s="1691"/>
      <c r="S92" s="1692"/>
      <c r="T92" s="1691"/>
      <c r="U92" s="1692"/>
      <c r="V92" s="1691"/>
      <c r="W92" s="1692"/>
      <c r="X92" s="1691"/>
      <c r="Y92" s="1692"/>
      <c r="Z92" s="1737"/>
    </row>
    <row r="93" spans="1:26">
      <c r="A93" s="1703"/>
      <c r="B93" s="469"/>
      <c r="C93" s="469"/>
      <c r="D93" s="469"/>
      <c r="E93" s="470"/>
      <c r="F93" s="469"/>
      <c r="G93" s="470"/>
      <c r="H93" s="469"/>
      <c r="I93" s="1692"/>
      <c r="J93" s="1691"/>
      <c r="K93" s="1691"/>
      <c r="L93" s="1691"/>
      <c r="M93" s="1692"/>
      <c r="N93" s="1691"/>
      <c r="O93" s="1692"/>
      <c r="P93" s="1691"/>
      <c r="Q93" s="1692"/>
      <c r="R93" s="1691"/>
      <c r="S93" s="1692"/>
      <c r="T93" s="1691"/>
      <c r="U93" s="1692"/>
      <c r="V93" s="1691"/>
      <c r="W93" s="1692"/>
      <c r="X93" s="1691"/>
      <c r="Y93" s="1692"/>
      <c r="Z93" s="1737"/>
    </row>
    <row r="94" spans="1:26">
      <c r="A94" s="1703"/>
      <c r="B94" s="469"/>
      <c r="C94" s="469"/>
      <c r="D94" s="469"/>
      <c r="E94" s="470"/>
      <c r="F94" s="469"/>
      <c r="G94" s="470"/>
      <c r="H94" s="469"/>
      <c r="I94" s="1692"/>
      <c r="J94" s="1691"/>
      <c r="K94" s="1691"/>
      <c r="L94" s="1691"/>
      <c r="M94" s="1692"/>
      <c r="N94" s="1691"/>
      <c r="O94" s="1692"/>
      <c r="P94" s="1691"/>
      <c r="Q94" s="1692"/>
      <c r="R94" s="1691"/>
      <c r="S94" s="1692"/>
      <c r="T94" s="1691"/>
      <c r="U94" s="1692"/>
      <c r="V94" s="1691"/>
      <c r="W94" s="1692"/>
      <c r="X94" s="1691"/>
      <c r="Y94" s="1692"/>
      <c r="Z94" s="1737"/>
    </row>
    <row r="95" spans="1:26">
      <c r="A95" s="1703"/>
      <c r="B95" s="469"/>
      <c r="C95" s="469"/>
      <c r="D95" s="469"/>
      <c r="E95" s="470"/>
      <c r="F95" s="469"/>
      <c r="G95" s="470"/>
      <c r="H95" s="469"/>
      <c r="I95" s="1692"/>
      <c r="J95" s="1691"/>
      <c r="K95" s="1691"/>
      <c r="L95" s="1691"/>
      <c r="M95" s="1692"/>
      <c r="N95" s="1691"/>
      <c r="O95" s="1692"/>
      <c r="P95" s="1691"/>
      <c r="Q95" s="1692"/>
      <c r="R95" s="1691"/>
      <c r="S95" s="1692"/>
      <c r="T95" s="1691"/>
      <c r="U95" s="1692"/>
      <c r="V95" s="1691"/>
      <c r="W95" s="1692"/>
      <c r="X95" s="1691"/>
      <c r="Y95" s="1692"/>
      <c r="Z95" s="1737"/>
    </row>
  </sheetData>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6640625" defaultRowHeight="12.75"/>
  <cols>
    <col min="1" max="1" width="54.6640625" style="888" customWidth="1"/>
    <col min="2" max="2" width="22.109375" style="888" customWidth="1"/>
    <col min="3" max="3" width="24.6640625" style="888" customWidth="1"/>
    <col min="4" max="4" width="30.6640625" style="888" customWidth="1"/>
    <col min="5" max="5" width="2" style="890" customWidth="1"/>
    <col min="6" max="6" width="13" style="1898" bestFit="1" customWidth="1"/>
    <col min="7" max="7" width="8.6640625" style="890"/>
    <col min="8" max="16384" width="8.6640625" style="888"/>
  </cols>
  <sheetData>
    <row r="1" spans="1:7">
      <c r="A1" s="2959" t="s">
        <v>870</v>
      </c>
      <c r="B1" s="1537"/>
      <c r="C1" s="1537"/>
      <c r="D1" s="1537"/>
      <c r="E1" s="889"/>
    </row>
    <row r="2" spans="1:7">
      <c r="A2" s="2960"/>
      <c r="B2" s="1537"/>
      <c r="C2" s="1537"/>
      <c r="D2" s="1459"/>
      <c r="E2" s="889"/>
    </row>
    <row r="3" spans="1:7" s="895" customFormat="1" ht="15">
      <c r="A3" s="1503" t="s">
        <v>482</v>
      </c>
      <c r="B3" s="1537"/>
      <c r="C3" s="1537"/>
      <c r="D3" s="3307" t="s">
        <v>483</v>
      </c>
      <c r="E3" s="2931"/>
      <c r="F3" s="1899"/>
      <c r="G3" s="606"/>
    </row>
    <row r="4" spans="1:7" s="895" customFormat="1" ht="15">
      <c r="A4" s="1503" t="s">
        <v>484</v>
      </c>
      <c r="B4" s="1537"/>
      <c r="C4" s="1537"/>
      <c r="D4" s="1537"/>
      <c r="E4" s="2931"/>
      <c r="F4" s="1899"/>
      <c r="G4" s="606"/>
    </row>
    <row r="5" spans="1:7" s="895" customFormat="1" ht="15">
      <c r="A5" s="1503" t="s">
        <v>485</v>
      </c>
      <c r="B5" s="1537"/>
      <c r="C5" s="1537"/>
      <c r="D5" s="1537"/>
      <c r="E5" s="2931"/>
      <c r="F5" s="1899"/>
      <c r="G5" s="606"/>
    </row>
    <row r="6" spans="1:7" s="895" customFormat="1" ht="15">
      <c r="A6" s="1504" t="str">
        <f>'HCRA '!A6</f>
        <v xml:space="preserve">FISCAL YEAR 2022-2023   </v>
      </c>
      <c r="B6" s="1537"/>
      <c r="C6" s="1537"/>
      <c r="D6" s="1537"/>
      <c r="E6" s="2931"/>
      <c r="F6" s="1899"/>
      <c r="G6" s="606"/>
    </row>
    <row r="7" spans="1:7">
      <c r="A7" s="1504"/>
      <c r="B7" s="1537"/>
      <c r="C7" s="1537"/>
      <c r="D7" s="1537"/>
      <c r="E7" s="889"/>
    </row>
    <row r="8" spans="1:7" ht="27" customHeight="1">
      <c r="A8" s="3446" t="s">
        <v>486</v>
      </c>
      <c r="B8" s="3446" t="s">
        <v>1201</v>
      </c>
      <c r="C8" s="3446" t="s">
        <v>1521</v>
      </c>
      <c r="D8" s="3447" t="s">
        <v>1516</v>
      </c>
      <c r="E8" s="2932"/>
    </row>
    <row r="9" spans="1:7" s="895" customFormat="1">
      <c r="A9" s="3490" t="s">
        <v>487</v>
      </c>
      <c r="B9" s="3528">
        <v>8145000</v>
      </c>
      <c r="C9" s="3528">
        <v>247471.33000000002</v>
      </c>
      <c r="D9" s="3528">
        <v>490335.92999999993</v>
      </c>
      <c r="E9" s="1598"/>
      <c r="F9" s="1899"/>
      <c r="G9" s="606"/>
    </row>
    <row r="10" spans="1:7" s="895" customFormat="1" ht="15">
      <c r="A10" s="3454" t="s">
        <v>1202</v>
      </c>
      <c r="B10" s="3455">
        <v>8145000</v>
      </c>
      <c r="C10" s="3455">
        <v>247471.33000000002</v>
      </c>
      <c r="D10" s="3455">
        <v>490335.92999999993</v>
      </c>
      <c r="E10" s="2933"/>
      <c r="F10" s="1899"/>
      <c r="G10" s="606"/>
    </row>
    <row r="11" spans="1:7" s="895" customFormat="1">
      <c r="A11" s="3490" t="s">
        <v>488</v>
      </c>
      <c r="B11" s="3491">
        <v>2207380000</v>
      </c>
      <c r="C11" s="3491">
        <v>32597640.93</v>
      </c>
      <c r="D11" s="3491">
        <v>80860375.150000006</v>
      </c>
      <c r="E11" s="1598"/>
      <c r="F11" s="1899"/>
      <c r="G11" s="606"/>
    </row>
    <row r="12" spans="1:7" s="895" customFormat="1">
      <c r="A12" s="3454" t="s">
        <v>1203</v>
      </c>
      <c r="B12" s="3455">
        <v>2207380000</v>
      </c>
      <c r="C12" s="3455">
        <v>32597640.93</v>
      </c>
      <c r="D12" s="3455">
        <v>80860375.150000006</v>
      </c>
      <c r="E12" s="1598"/>
      <c r="F12" s="1899"/>
      <c r="G12" s="606"/>
    </row>
    <row r="13" spans="1:7" s="895" customFormat="1">
      <c r="A13" s="3490" t="s">
        <v>1103</v>
      </c>
      <c r="B13" s="3491">
        <v>327547000</v>
      </c>
      <c r="C13" s="3491">
        <v>8026482.04</v>
      </c>
      <c r="D13" s="3491">
        <v>11856635.27</v>
      </c>
      <c r="E13" s="1598"/>
      <c r="F13" s="1899"/>
      <c r="G13" s="606"/>
    </row>
    <row r="14" spans="1:7" s="895" customFormat="1">
      <c r="A14" s="3454" t="s">
        <v>1204</v>
      </c>
      <c r="B14" s="3455">
        <v>327547000</v>
      </c>
      <c r="C14" s="3455">
        <v>8026482.04</v>
      </c>
      <c r="D14" s="3455">
        <v>11856635.27</v>
      </c>
      <c r="E14" s="1598"/>
      <c r="F14" s="1899"/>
      <c r="G14" s="606"/>
    </row>
    <row r="15" spans="1:7" s="895" customFormat="1">
      <c r="A15" s="3490" t="s">
        <v>489</v>
      </c>
      <c r="B15" s="3491">
        <v>1611111059.03</v>
      </c>
      <c r="C15" s="3491">
        <v>22137009.490000002</v>
      </c>
      <c r="D15" s="3491">
        <v>36271365.810000002</v>
      </c>
      <c r="E15" s="1598"/>
      <c r="F15" s="1899"/>
      <c r="G15" s="606"/>
    </row>
    <row r="16" spans="1:7" s="895" customFormat="1">
      <c r="A16" s="3454" t="s">
        <v>1205</v>
      </c>
      <c r="B16" s="3455">
        <v>123150000</v>
      </c>
      <c r="C16" s="3455">
        <v>0</v>
      </c>
      <c r="D16" s="3455">
        <v>0</v>
      </c>
      <c r="E16" s="1598"/>
      <c r="F16" s="1899"/>
      <c r="G16" s="606"/>
    </row>
    <row r="17" spans="1:7" s="895" customFormat="1">
      <c r="A17" s="3490" t="s">
        <v>1206</v>
      </c>
      <c r="B17" s="3491">
        <v>3537000</v>
      </c>
      <c r="C17" s="3491">
        <v>0</v>
      </c>
      <c r="D17" s="3491">
        <v>0</v>
      </c>
      <c r="E17" s="1598"/>
      <c r="F17" s="1899"/>
      <c r="G17" s="606"/>
    </row>
    <row r="18" spans="1:7" s="895" customFormat="1">
      <c r="A18" s="3454" t="s">
        <v>1207</v>
      </c>
      <c r="B18" s="3455">
        <v>3862000</v>
      </c>
      <c r="C18" s="3455">
        <v>0</v>
      </c>
      <c r="D18" s="3455">
        <v>0</v>
      </c>
      <c r="E18" s="1598"/>
      <c r="F18" s="1899"/>
      <c r="G18" s="606"/>
    </row>
    <row r="19" spans="1:7" s="895" customFormat="1">
      <c r="A19" s="3454" t="s">
        <v>1208</v>
      </c>
      <c r="B19" s="3455">
        <v>33700000</v>
      </c>
      <c r="C19" s="3455">
        <v>0</v>
      </c>
      <c r="D19" s="3455">
        <v>0</v>
      </c>
      <c r="E19" s="1598"/>
      <c r="F19" s="1899"/>
      <c r="G19" s="606"/>
    </row>
    <row r="20" spans="1:7" s="895" customFormat="1">
      <c r="A20" s="3454" t="s">
        <v>1209</v>
      </c>
      <c r="B20" s="3455">
        <v>108800000</v>
      </c>
      <c r="C20" s="3455">
        <v>0</v>
      </c>
      <c r="D20" s="3455">
        <v>0</v>
      </c>
      <c r="E20" s="1598"/>
      <c r="F20" s="1899"/>
      <c r="G20" s="606"/>
    </row>
    <row r="21" spans="1:7" s="895" customFormat="1">
      <c r="A21" s="3454" t="s">
        <v>1210</v>
      </c>
      <c r="B21" s="3455">
        <v>5560000</v>
      </c>
      <c r="C21" s="3455">
        <v>0</v>
      </c>
      <c r="D21" s="3455">
        <v>0</v>
      </c>
      <c r="E21" s="1598"/>
      <c r="F21" s="1899"/>
      <c r="G21" s="606"/>
    </row>
    <row r="22" spans="1:7" s="895" customFormat="1">
      <c r="A22" s="3454" t="s">
        <v>1211</v>
      </c>
      <c r="B22" s="3455">
        <v>10335000</v>
      </c>
      <c r="C22" s="3455">
        <v>0</v>
      </c>
      <c r="D22" s="3455">
        <v>0</v>
      </c>
      <c r="E22" s="1598"/>
      <c r="F22" s="1899"/>
      <c r="G22" s="606"/>
    </row>
    <row r="23" spans="1:7" s="895" customFormat="1">
      <c r="A23" s="3454" t="s">
        <v>1212</v>
      </c>
      <c r="B23" s="3455">
        <v>14160000</v>
      </c>
      <c r="C23" s="3455">
        <v>332378.42000000004</v>
      </c>
      <c r="D23" s="3455">
        <v>332378.42000000004</v>
      </c>
      <c r="E23" s="1598"/>
      <c r="F23" s="1899"/>
      <c r="G23" s="606"/>
    </row>
    <row r="24" spans="1:7" s="895" customFormat="1">
      <c r="A24" s="3454" t="s">
        <v>1213</v>
      </c>
      <c r="B24" s="3455">
        <v>58800000</v>
      </c>
      <c r="C24" s="3455">
        <v>19600000</v>
      </c>
      <c r="D24" s="3455">
        <v>19600000</v>
      </c>
      <c r="E24" s="1598"/>
      <c r="F24" s="1899"/>
      <c r="G24" s="606"/>
    </row>
    <row r="25" spans="1:7" s="895" customFormat="1">
      <c r="A25" s="3454" t="s">
        <v>1214</v>
      </c>
      <c r="B25" s="3455">
        <v>18320000</v>
      </c>
      <c r="C25" s="3455">
        <v>0</v>
      </c>
      <c r="D25" s="3455">
        <v>0</v>
      </c>
      <c r="E25" s="1598"/>
      <c r="F25" s="1899"/>
      <c r="G25" s="606"/>
    </row>
    <row r="26" spans="1:7" s="895" customFormat="1">
      <c r="A26" s="3454" t="s">
        <v>1215</v>
      </c>
      <c r="B26" s="3455">
        <v>7644000</v>
      </c>
      <c r="C26" s="3455">
        <v>0</v>
      </c>
      <c r="D26" s="3455">
        <v>0</v>
      </c>
      <c r="E26" s="1598"/>
      <c r="F26" s="1899"/>
      <c r="G26" s="606"/>
    </row>
    <row r="27" spans="1:7" s="895" customFormat="1">
      <c r="A27" s="3454" t="s">
        <v>1216</v>
      </c>
      <c r="B27" s="3455">
        <v>104000000</v>
      </c>
      <c r="C27" s="3455">
        <v>0</v>
      </c>
      <c r="D27" s="3455">
        <v>0</v>
      </c>
      <c r="E27" s="889"/>
      <c r="F27" s="1899"/>
      <c r="G27" s="606"/>
    </row>
    <row r="28" spans="1:7" s="895" customFormat="1">
      <c r="A28" s="3454" t="s">
        <v>1491</v>
      </c>
      <c r="B28" s="3455">
        <v>2500000</v>
      </c>
      <c r="C28" s="3455">
        <v>0</v>
      </c>
      <c r="D28" s="3455">
        <v>0</v>
      </c>
      <c r="E28" s="889"/>
      <c r="F28" s="1899"/>
      <c r="G28" s="606"/>
    </row>
    <row r="29" spans="1:7">
      <c r="A29" s="3454" t="s">
        <v>1492</v>
      </c>
      <c r="B29" s="3455">
        <v>20000000</v>
      </c>
      <c r="C29" s="3455">
        <v>0</v>
      </c>
      <c r="D29" s="3455">
        <v>0</v>
      </c>
      <c r="E29" s="889"/>
    </row>
    <row r="30" spans="1:7">
      <c r="A30" s="3454" t="s">
        <v>1217</v>
      </c>
      <c r="B30" s="3455">
        <v>3300000</v>
      </c>
      <c r="C30" s="3455">
        <v>0</v>
      </c>
      <c r="D30" s="3455">
        <v>0</v>
      </c>
      <c r="E30" s="889"/>
    </row>
    <row r="31" spans="1:7">
      <c r="A31" s="3454" t="s">
        <v>1218</v>
      </c>
      <c r="B31" s="3455">
        <v>309300000</v>
      </c>
      <c r="C31" s="3455">
        <v>0</v>
      </c>
      <c r="D31" s="3455">
        <v>0</v>
      </c>
      <c r="E31" s="889"/>
    </row>
    <row r="32" spans="1:7">
      <c r="A32" s="3454" t="s">
        <v>1219</v>
      </c>
      <c r="B32" s="3455">
        <v>52122000</v>
      </c>
      <c r="C32" s="3455">
        <v>53000.740000000005</v>
      </c>
      <c r="D32" s="3455">
        <v>77000.740000000005</v>
      </c>
      <c r="E32" s="889"/>
    </row>
    <row r="33" spans="1:5">
      <c r="A33" s="3454" t="s">
        <v>1220</v>
      </c>
      <c r="B33" s="3455">
        <v>1461000</v>
      </c>
      <c r="C33" s="3455">
        <v>0</v>
      </c>
      <c r="D33" s="3455">
        <v>0</v>
      </c>
      <c r="E33" s="2934"/>
    </row>
    <row r="34" spans="1:5">
      <c r="A34" s="3454" t="s">
        <v>1221</v>
      </c>
      <c r="B34" s="3455">
        <v>11120000</v>
      </c>
      <c r="C34" s="3455">
        <v>0</v>
      </c>
      <c r="D34" s="3455">
        <v>0</v>
      </c>
      <c r="E34" s="889"/>
    </row>
    <row r="35" spans="1:5">
      <c r="A35" s="3454" t="s">
        <v>1222</v>
      </c>
      <c r="B35" s="3455">
        <v>7950000</v>
      </c>
      <c r="C35" s="3455">
        <v>579915.46</v>
      </c>
      <c r="D35" s="3455">
        <v>579915.46</v>
      </c>
      <c r="E35" s="889"/>
    </row>
    <row r="36" spans="1:5">
      <c r="A36" s="3454" t="s">
        <v>1223</v>
      </c>
      <c r="B36" s="3455">
        <v>144889000</v>
      </c>
      <c r="C36" s="3455">
        <v>0</v>
      </c>
      <c r="D36" s="3455">
        <v>13865750</v>
      </c>
      <c r="E36" s="889"/>
    </row>
    <row r="37" spans="1:5">
      <c r="A37" s="3454" t="s">
        <v>1262</v>
      </c>
      <c r="B37" s="3455">
        <v>50000</v>
      </c>
      <c r="C37" s="3455">
        <v>0</v>
      </c>
      <c r="D37" s="3455">
        <v>0</v>
      </c>
      <c r="E37" s="889"/>
    </row>
    <row r="38" spans="1:5">
      <c r="A38" s="3454" t="s">
        <v>1224</v>
      </c>
      <c r="B38" s="3455">
        <v>15950000</v>
      </c>
      <c r="C38" s="3455">
        <v>0</v>
      </c>
      <c r="D38" s="3455">
        <v>0</v>
      </c>
      <c r="E38" s="889"/>
    </row>
    <row r="39" spans="1:5">
      <c r="A39" s="3454" t="s">
        <v>1334</v>
      </c>
      <c r="B39" s="3455">
        <v>28229600</v>
      </c>
      <c r="C39" s="3455">
        <v>1369437.71</v>
      </c>
      <c r="D39" s="3455">
        <v>1614044.03</v>
      </c>
      <c r="E39" s="889"/>
    </row>
    <row r="40" spans="1:5">
      <c r="A40" s="3454" t="s">
        <v>1342</v>
      </c>
      <c r="B40" s="3455">
        <v>2200400</v>
      </c>
      <c r="C40" s="3455">
        <v>202277.16</v>
      </c>
      <c r="D40" s="3455">
        <v>202277.16</v>
      </c>
      <c r="E40" s="889"/>
    </row>
    <row r="41" spans="1:5">
      <c r="A41" s="3454" t="s">
        <v>1225</v>
      </c>
      <c r="B41" s="3455">
        <v>11610000</v>
      </c>
      <c r="C41" s="3455">
        <v>0</v>
      </c>
      <c r="D41" s="3455">
        <v>0</v>
      </c>
      <c r="E41" s="889"/>
    </row>
    <row r="42" spans="1:5">
      <c r="A42" s="3454" t="s">
        <v>1226</v>
      </c>
      <c r="B42" s="3455">
        <v>6345000</v>
      </c>
      <c r="C42" s="3455">
        <v>0</v>
      </c>
      <c r="D42" s="3455">
        <v>0</v>
      </c>
      <c r="E42" s="889"/>
    </row>
    <row r="43" spans="1:5">
      <c r="A43" s="3454" t="s">
        <v>1227</v>
      </c>
      <c r="B43" s="3455">
        <v>12690000</v>
      </c>
      <c r="C43" s="3455">
        <v>0</v>
      </c>
      <c r="D43" s="3455">
        <v>0</v>
      </c>
      <c r="E43" s="889"/>
    </row>
    <row r="44" spans="1:5">
      <c r="A44" s="3454" t="s">
        <v>1228</v>
      </c>
      <c r="B44" s="3455">
        <v>489526059.02999997</v>
      </c>
      <c r="C44" s="3455">
        <v>0</v>
      </c>
      <c r="D44" s="3455">
        <v>0</v>
      </c>
      <c r="E44" s="889"/>
    </row>
    <row r="45" spans="1:5">
      <c r="A45" s="3490" t="s">
        <v>490</v>
      </c>
      <c r="B45" s="3491">
        <v>29490431000</v>
      </c>
      <c r="C45" s="3491">
        <v>402120610.23000002</v>
      </c>
      <c r="D45" s="3491">
        <v>804091053.68000007</v>
      </c>
      <c r="E45" s="889"/>
    </row>
    <row r="46" spans="1:5">
      <c r="A46" s="3454" t="s">
        <v>1229</v>
      </c>
      <c r="B46" s="3455">
        <v>300000000</v>
      </c>
      <c r="C46" s="3455">
        <v>0</v>
      </c>
      <c r="D46" s="3455">
        <v>0</v>
      </c>
      <c r="E46" s="889"/>
    </row>
    <row r="47" spans="1:5">
      <c r="A47" s="3454" t="s">
        <v>1230</v>
      </c>
      <c r="B47" s="3455">
        <v>4037400000</v>
      </c>
      <c r="C47" s="3455">
        <v>52120610.230000004</v>
      </c>
      <c r="D47" s="3455">
        <v>104091053.68000001</v>
      </c>
      <c r="E47" s="889"/>
    </row>
    <row r="48" spans="1:5">
      <c r="A48" s="3454" t="s">
        <v>1231</v>
      </c>
      <c r="B48" s="3455">
        <v>24169831000</v>
      </c>
      <c r="C48" s="3455">
        <v>350000000</v>
      </c>
      <c r="D48" s="3455">
        <v>700000000</v>
      </c>
      <c r="E48" s="889"/>
    </row>
    <row r="49" spans="1:6">
      <c r="A49" s="3454" t="s">
        <v>1232</v>
      </c>
      <c r="B49" s="3455">
        <v>916000000</v>
      </c>
      <c r="C49" s="3455">
        <v>0</v>
      </c>
      <c r="D49" s="3455">
        <v>0</v>
      </c>
      <c r="E49" s="889"/>
    </row>
    <row r="50" spans="1:6">
      <c r="A50" s="3454" t="s">
        <v>1233</v>
      </c>
      <c r="B50" s="3455">
        <v>67200000</v>
      </c>
      <c r="C50" s="3455">
        <v>0</v>
      </c>
      <c r="D50" s="3455">
        <v>0</v>
      </c>
      <c r="E50" s="889"/>
    </row>
    <row r="51" spans="1:6">
      <c r="A51" s="3490" t="s">
        <v>1248</v>
      </c>
      <c r="B51" s="3491">
        <v>80008000</v>
      </c>
      <c r="C51" s="3491">
        <v>3271504.16</v>
      </c>
      <c r="D51" s="3491">
        <v>3650708.5</v>
      </c>
      <c r="E51" s="889"/>
    </row>
    <row r="52" spans="1:6">
      <c r="A52" s="3454" t="s">
        <v>1249</v>
      </c>
      <c r="B52" s="3455">
        <v>80008000</v>
      </c>
      <c r="C52" s="3455">
        <v>3271504.16</v>
      </c>
      <c r="D52" s="3455">
        <v>3650708.5</v>
      </c>
      <c r="E52" s="889"/>
    </row>
    <row r="53" spans="1:6">
      <c r="A53" s="3490" t="s">
        <v>491</v>
      </c>
      <c r="B53" s="3491">
        <v>1834000</v>
      </c>
      <c r="C53" s="3491">
        <v>0</v>
      </c>
      <c r="D53" s="3491">
        <v>0</v>
      </c>
      <c r="E53" s="889"/>
    </row>
    <row r="54" spans="1:6">
      <c r="A54" s="3454" t="s">
        <v>1234</v>
      </c>
      <c r="B54" s="3455">
        <v>1834000</v>
      </c>
      <c r="C54" s="3455">
        <v>0</v>
      </c>
      <c r="D54" s="3455">
        <v>0</v>
      </c>
      <c r="E54" s="889"/>
    </row>
    <row r="55" spans="1:6">
      <c r="A55" s="3490" t="s">
        <v>492</v>
      </c>
      <c r="B55" s="3491">
        <v>46034055</v>
      </c>
      <c r="C55" s="3491">
        <v>957050.24000000011</v>
      </c>
      <c r="D55" s="3491">
        <v>1583077.06</v>
      </c>
      <c r="E55" s="889"/>
    </row>
    <row r="56" spans="1:6">
      <c r="A56" s="3454" t="s">
        <v>1235</v>
      </c>
      <c r="B56" s="3455">
        <v>46034055</v>
      </c>
      <c r="C56" s="3455">
        <v>957050.24000000011</v>
      </c>
      <c r="D56" s="3455">
        <v>1583077.06</v>
      </c>
      <c r="E56" s="889"/>
    </row>
    <row r="57" spans="1:6">
      <c r="A57" s="3490" t="s">
        <v>1142</v>
      </c>
      <c r="B57" s="3491">
        <v>8190000</v>
      </c>
      <c r="C57" s="3491">
        <v>0</v>
      </c>
      <c r="D57" s="3491">
        <v>0</v>
      </c>
      <c r="E57" s="889"/>
    </row>
    <row r="58" spans="1:6">
      <c r="A58" s="3454" t="s">
        <v>1142</v>
      </c>
      <c r="B58" s="3455">
        <v>8190000</v>
      </c>
      <c r="C58" s="3455">
        <v>0</v>
      </c>
      <c r="D58" s="3455">
        <v>0</v>
      </c>
      <c r="E58" s="889"/>
    </row>
    <row r="59" spans="1:6">
      <c r="A59" s="3642" t="s">
        <v>532</v>
      </c>
      <c r="B59" s="3644">
        <v>33780680114.029999</v>
      </c>
      <c r="C59" s="3644">
        <v>469357768.41999996</v>
      </c>
      <c r="D59" s="3644">
        <v>938803551.39999998</v>
      </c>
      <c r="E59" s="889"/>
    </row>
    <row r="60" spans="1:6" ht="15" customHeight="1">
      <c r="A60" s="3465" t="s">
        <v>493</v>
      </c>
      <c r="B60" s="3643"/>
      <c r="C60" s="3466">
        <v>-300092.32</v>
      </c>
      <c r="D60" s="3466">
        <v>-722116.51</v>
      </c>
      <c r="E60" s="889"/>
      <c r="F60" s="1898" t="s">
        <v>14</v>
      </c>
    </row>
    <row r="61" spans="1:6" ht="15.6" customHeight="1">
      <c r="A61" s="3465" t="s">
        <v>1187</v>
      </c>
      <c r="B61" s="3643"/>
      <c r="C61" s="3466">
        <v>0</v>
      </c>
      <c r="D61" s="3466">
        <v>0</v>
      </c>
      <c r="E61" s="889"/>
    </row>
    <row r="62" spans="1:6" ht="12.75" customHeight="1">
      <c r="A62" s="3465" t="s">
        <v>1188</v>
      </c>
      <c r="B62" s="3466"/>
      <c r="C62" s="3466">
        <v>0</v>
      </c>
      <c r="D62" s="3466">
        <v>0</v>
      </c>
      <c r="E62" s="2935"/>
    </row>
    <row r="63" spans="1:6">
      <c r="A63" s="3465" t="s">
        <v>494</v>
      </c>
      <c r="B63" s="3466"/>
      <c r="C63" s="3466">
        <v>-654.36</v>
      </c>
      <c r="D63" s="3466">
        <v>-489</v>
      </c>
      <c r="E63" s="889"/>
    </row>
    <row r="64" spans="1:6" ht="13.5" thickBot="1">
      <c r="A64" s="3449" t="s">
        <v>1236</v>
      </c>
      <c r="B64" s="3481">
        <v>33780680114.029999</v>
      </c>
      <c r="C64" s="3481">
        <v>469057021.73999995</v>
      </c>
      <c r="D64" s="3481">
        <v>938080945.88999999</v>
      </c>
      <c r="E64" s="889"/>
    </row>
    <row r="65" spans="1:5" ht="13.5" thickTop="1">
      <c r="A65" s="1537"/>
      <c r="B65" s="3448"/>
      <c r="C65" s="3448"/>
      <c r="D65" s="3448"/>
      <c r="E65" s="889"/>
    </row>
    <row r="66" spans="1:5">
      <c r="A66" s="3450" t="s">
        <v>1493</v>
      </c>
      <c r="B66" s="1537"/>
      <c r="C66" s="1537"/>
      <c r="D66" s="1537"/>
      <c r="E66" s="889"/>
    </row>
    <row r="67" spans="1:5">
      <c r="A67" s="3450" t="s">
        <v>869</v>
      </c>
      <c r="B67" s="1537"/>
      <c r="C67" s="1537"/>
      <c r="D67" s="1537"/>
      <c r="E67" s="889"/>
    </row>
    <row r="68" spans="1:5" ht="13.35" customHeight="1">
      <c r="A68" s="3451" t="s">
        <v>841</v>
      </c>
      <c r="B68" s="1537"/>
      <c r="C68" s="1537"/>
      <c r="D68" s="1537"/>
    </row>
    <row r="69" spans="1:5" ht="12.75" customHeight="1">
      <c r="A69" s="3452" t="s">
        <v>842</v>
      </c>
      <c r="B69" s="1537"/>
      <c r="C69" s="1537"/>
      <c r="D69" s="3453"/>
    </row>
    <row r="70" spans="1:5">
      <c r="A70" s="3452" t="s">
        <v>843</v>
      </c>
      <c r="B70" s="1537"/>
      <c r="C70" s="1537"/>
      <c r="D70" s="3448"/>
    </row>
    <row r="71" spans="1:5">
      <c r="B71" s="896"/>
      <c r="C71" s="1541"/>
      <c r="D71" s="893"/>
    </row>
    <row r="72" spans="1:5">
      <c r="A72" s="891"/>
      <c r="B72" s="892"/>
      <c r="C72" s="3734"/>
      <c r="D72" s="3734"/>
    </row>
    <row r="73" spans="1:5">
      <c r="A73" s="891"/>
      <c r="B73" s="892"/>
      <c r="C73" s="3734"/>
      <c r="D73" s="3734"/>
    </row>
    <row r="74" spans="1:5">
      <c r="C74" s="3448"/>
      <c r="D74" s="3448"/>
    </row>
    <row r="75" spans="1:5">
      <c r="A75" s="892"/>
      <c r="B75" s="894"/>
      <c r="C75" s="3735"/>
      <c r="D75" s="3735"/>
    </row>
    <row r="76" spans="1:5" ht="12.75" customHeight="1">
      <c r="A76" s="892"/>
      <c r="B76" s="894"/>
      <c r="C76" s="3646"/>
      <c r="D76" s="3646"/>
    </row>
    <row r="77" spans="1:5" ht="12.75" customHeight="1">
      <c r="A77" s="892"/>
      <c r="B77" s="894"/>
      <c r="C77" s="3646" t="s">
        <v>14</v>
      </c>
      <c r="D77" s="894"/>
    </row>
    <row r="78" spans="1:5" ht="12.75" customHeight="1">
      <c r="A78" s="892"/>
      <c r="B78" s="894"/>
      <c r="C78" s="894"/>
      <c r="D78" s="894"/>
    </row>
    <row r="79" spans="1:5">
      <c r="A79" s="892"/>
      <c r="B79" s="894"/>
      <c r="C79" s="894"/>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O55"/>
  <sheetViews>
    <sheetView showGridLines="0" zoomScale="90" zoomScaleNormal="70" workbookViewId="0"/>
  </sheetViews>
  <sheetFormatPr defaultColWidth="8.6640625" defaultRowHeight="15" customHeight="1"/>
  <cols>
    <col min="1" max="1" width="55.109375" style="1245" customWidth="1"/>
    <col min="2" max="2" width="4.6640625" style="1245" customWidth="1"/>
    <col min="3" max="3" width="1.6640625" style="1246" customWidth="1"/>
    <col min="4" max="4" width="21" style="1246" customWidth="1"/>
    <col min="5" max="5" width="1.6640625" style="1246" customWidth="1"/>
    <col min="6" max="6" width="21" style="1246" customWidth="1"/>
    <col min="7" max="7" width="1.6640625" style="1246" customWidth="1"/>
    <col min="8" max="8" width="1.6640625" style="1247" customWidth="1"/>
    <col min="9" max="9" width="20.109375" style="1247" customWidth="1"/>
    <col min="10" max="10" width="8.6640625" style="1246"/>
    <col min="11" max="11" width="14.5546875" style="1245" bestFit="1" customWidth="1"/>
    <col min="12" max="16384" width="8.6640625" style="1245"/>
  </cols>
  <sheetData>
    <row r="1" spans="1:11" ht="15" customHeight="1">
      <c r="A1" s="625" t="s">
        <v>870</v>
      </c>
    </row>
    <row r="2" spans="1:11" ht="15" customHeight="1">
      <c r="A2" s="1248"/>
    </row>
    <row r="3" spans="1:11" ht="15" customHeight="1">
      <c r="I3" s="1325" t="s">
        <v>495</v>
      </c>
    </row>
    <row r="4" spans="1:11" ht="19.5" customHeight="1">
      <c r="A4" s="1903" t="s">
        <v>482</v>
      </c>
      <c r="B4" s="1249"/>
      <c r="C4" s="1249"/>
      <c r="D4" s="1249"/>
      <c r="E4" s="1249"/>
      <c r="F4" s="1249"/>
      <c r="G4" s="1249"/>
      <c r="H4" s="1327"/>
      <c r="I4" s="1327"/>
    </row>
    <row r="5" spans="1:11" ht="19.5" customHeight="1">
      <c r="A5" s="1903" t="s">
        <v>786</v>
      </c>
      <c r="B5" s="1903"/>
      <c r="C5" s="1903"/>
      <c r="D5" s="1903"/>
      <c r="E5" s="1903"/>
      <c r="F5" s="1903"/>
      <c r="G5" s="1903"/>
      <c r="H5" s="1326"/>
      <c r="I5" s="1903"/>
    </row>
    <row r="6" spans="1:11" ht="19.5" customHeight="1">
      <c r="A6" s="1903" t="str">
        <f>'HCRA PROG DISB'!A6</f>
        <v xml:space="preserve">FISCAL YEAR 2022-2023   </v>
      </c>
      <c r="B6" s="1904"/>
      <c r="C6" s="1904"/>
      <c r="D6" s="1904"/>
      <c r="E6" s="1904"/>
      <c r="F6" s="1904"/>
      <c r="G6" s="1904"/>
      <c r="H6" s="1326"/>
      <c r="I6" s="1903"/>
    </row>
    <row r="7" spans="1:11" ht="15" customHeight="1">
      <c r="A7" s="1905"/>
      <c r="B7" s="1905"/>
      <c r="C7" s="1905"/>
      <c r="D7" s="1905"/>
      <c r="E7" s="1905"/>
      <c r="F7" s="1905"/>
      <c r="G7" s="1905"/>
      <c r="H7" s="1328"/>
      <c r="I7" s="1328"/>
    </row>
    <row r="8" spans="1:11" ht="15" customHeight="1">
      <c r="A8" s="1251"/>
      <c r="B8" s="1252"/>
      <c r="C8" s="1253"/>
      <c r="D8" s="1253"/>
      <c r="E8" s="1253"/>
      <c r="F8" s="1253"/>
      <c r="G8" s="1253"/>
      <c r="H8" s="1329"/>
      <c r="I8" s="1254"/>
    </row>
    <row r="9" spans="1:11" s="1257" customFormat="1" ht="15" customHeight="1">
      <c r="A9" s="1255"/>
      <c r="B9" s="1255"/>
      <c r="C9" s="1588"/>
      <c r="D9" s="1588">
        <v>2022</v>
      </c>
      <c r="E9" s="1588"/>
      <c r="F9" s="1588">
        <v>2022</v>
      </c>
      <c r="G9" s="1588"/>
      <c r="H9" s="1256"/>
      <c r="I9" s="1256"/>
      <c r="J9" s="1244"/>
    </row>
    <row r="10" spans="1:11" ht="15" customHeight="1">
      <c r="A10" s="1258"/>
      <c r="B10" s="1258"/>
      <c r="C10" s="1254"/>
      <c r="D10" s="2168" t="s">
        <v>122</v>
      </c>
      <c r="E10" s="1254"/>
      <c r="F10" s="2168" t="s">
        <v>123</v>
      </c>
      <c r="G10" s="1254"/>
      <c r="H10" s="1250"/>
      <c r="I10" s="1259" t="s">
        <v>1476</v>
      </c>
    </row>
    <row r="11" spans="1:11" ht="15" customHeight="1">
      <c r="A11" s="1258"/>
      <c r="B11" s="1258"/>
      <c r="C11" s="1250"/>
      <c r="D11" s="1250"/>
      <c r="E11" s="1250"/>
      <c r="F11" s="1250"/>
      <c r="G11" s="1250"/>
      <c r="H11" s="1250"/>
      <c r="I11" s="1844"/>
    </row>
    <row r="12" spans="1:11" s="1257" customFormat="1" ht="15" customHeight="1">
      <c r="A12" s="1261" t="s">
        <v>460</v>
      </c>
      <c r="B12" s="1261"/>
      <c r="C12" s="1262"/>
      <c r="D12" s="1262">
        <v>374482519.06</v>
      </c>
      <c r="E12" s="1262"/>
      <c r="F12" s="1262">
        <f>D52</f>
        <v>216565226.63</v>
      </c>
      <c r="G12" s="1262"/>
      <c r="H12" s="1263"/>
      <c r="I12" s="1330">
        <f>D12</f>
        <v>374482519.06</v>
      </c>
      <c r="J12" s="1244"/>
    </row>
    <row r="13" spans="1:11" ht="15" customHeight="1">
      <c r="A13" s="1261"/>
      <c r="B13" s="1258"/>
      <c r="C13" s="1260"/>
      <c r="D13" s="1260"/>
      <c r="E13" s="1260"/>
      <c r="F13" s="1260"/>
      <c r="G13" s="1260"/>
      <c r="H13" s="1264"/>
      <c r="I13" s="1267"/>
    </row>
    <row r="14" spans="1:11" ht="15" customHeight="1">
      <c r="A14" s="1261" t="s">
        <v>13</v>
      </c>
      <c r="B14" s="1258"/>
      <c r="C14" s="1265"/>
      <c r="D14" s="1265"/>
      <c r="E14" s="1265"/>
      <c r="F14" s="1265"/>
      <c r="G14" s="1265"/>
      <c r="H14" s="1266"/>
      <c r="I14" s="1267"/>
    </row>
    <row r="15" spans="1:11" ht="15" customHeight="1">
      <c r="A15" s="1258" t="s">
        <v>497</v>
      </c>
      <c r="B15" s="1258"/>
      <c r="C15" s="1234"/>
      <c r="D15" s="1234">
        <v>179553243.49000001</v>
      </c>
      <c r="E15" s="1234"/>
      <c r="F15" s="1234">
        <v>461335751.75</v>
      </c>
      <c r="G15" s="1234"/>
      <c r="H15" s="1266"/>
      <c r="I15" s="1267">
        <f t="shared" ref="I15:I21" si="0">SUM(C15:H15)</f>
        <v>640888995.24000001</v>
      </c>
      <c r="K15" s="1276"/>
    </row>
    <row r="16" spans="1:11" ht="15" customHeight="1">
      <c r="A16" s="1258" t="s">
        <v>498</v>
      </c>
      <c r="B16" s="1258"/>
      <c r="C16" s="1234"/>
      <c r="D16" s="1234">
        <v>36114800.439999998</v>
      </c>
      <c r="E16" s="1234"/>
      <c r="F16" s="1234">
        <v>131369489.59</v>
      </c>
      <c r="G16" s="1234"/>
      <c r="H16" s="1266"/>
      <c r="I16" s="1267">
        <f t="shared" si="0"/>
        <v>167484290.03</v>
      </c>
      <c r="K16" s="1276"/>
    </row>
    <row r="17" spans="1:15" ht="15" customHeight="1">
      <c r="A17" s="1258" t="s">
        <v>499</v>
      </c>
      <c r="B17" s="1258"/>
      <c r="C17" s="1234"/>
      <c r="D17" s="1234">
        <v>6990468.5599999996</v>
      </c>
      <c r="E17" s="1234"/>
      <c r="F17" s="1234">
        <v>11498732.970000001</v>
      </c>
      <c r="G17" s="1234"/>
      <c r="H17" s="1266"/>
      <c r="I17" s="1267">
        <f t="shared" si="0"/>
        <v>18489201.530000001</v>
      </c>
      <c r="K17" s="1276"/>
    </row>
    <row r="18" spans="1:15" ht="15" customHeight="1">
      <c r="A18" s="1258" t="s">
        <v>500</v>
      </c>
      <c r="B18" s="1258"/>
      <c r="C18" s="1234"/>
      <c r="D18" s="1234">
        <v>39280833</v>
      </c>
      <c r="E18" s="1234"/>
      <c r="F18" s="1234">
        <v>42678832</v>
      </c>
      <c r="G18" s="1234"/>
      <c r="H18" s="1266"/>
      <c r="I18" s="1267">
        <f t="shared" si="0"/>
        <v>81959665</v>
      </c>
      <c r="K18" s="1276"/>
    </row>
    <row r="19" spans="1:15" s="1445" customFormat="1">
      <c r="A19" s="1446" t="s">
        <v>501</v>
      </c>
      <c r="B19" s="1258"/>
      <c r="C19" s="769"/>
      <c r="D19" s="769">
        <v>0</v>
      </c>
      <c r="E19" s="769"/>
      <c r="F19" s="769">
        <v>0</v>
      </c>
      <c r="G19" s="769"/>
      <c r="H19" s="1266"/>
      <c r="I19" s="1267">
        <f t="shared" si="0"/>
        <v>0</v>
      </c>
      <c r="J19" s="1246"/>
      <c r="K19" s="1276"/>
    </row>
    <row r="20" spans="1:15" ht="15" customHeight="1">
      <c r="A20" s="1258" t="s">
        <v>502</v>
      </c>
      <c r="B20" s="1258"/>
      <c r="C20" s="1234"/>
      <c r="D20" s="1234">
        <v>974.64</v>
      </c>
      <c r="E20" s="1234"/>
      <c r="F20" s="1234">
        <v>6895.4</v>
      </c>
      <c r="G20" s="1234"/>
      <c r="H20" s="1266"/>
      <c r="I20" s="1267">
        <f t="shared" si="0"/>
        <v>7870.04</v>
      </c>
      <c r="K20" s="1276"/>
    </row>
    <row r="21" spans="1:15" ht="15" customHeight="1">
      <c r="A21" s="1258" t="s">
        <v>503</v>
      </c>
      <c r="B21" s="1258"/>
      <c r="C21" s="1237"/>
      <c r="D21" s="1910">
        <v>36348460.320000008</v>
      </c>
      <c r="E21" s="1237"/>
      <c r="F21" s="1910">
        <v>-36676656.490000002</v>
      </c>
      <c r="G21" s="1237"/>
      <c r="H21" s="1268"/>
      <c r="I21" s="1267">
        <f t="shared" si="0"/>
        <v>-328196.16999999434</v>
      </c>
      <c r="K21" s="1276"/>
    </row>
    <row r="22" spans="1:15" s="1257" customFormat="1" ht="15.75">
      <c r="A22" s="1261" t="s">
        <v>147</v>
      </c>
      <c r="B22" s="1261"/>
      <c r="C22" s="1270"/>
      <c r="D22" s="1911">
        <f>ROUND(SUM(D15:D21),2)</f>
        <v>298288780.44999999</v>
      </c>
      <c r="E22" s="1270"/>
      <c r="F22" s="1911">
        <f>ROUND(SUM(F15:F21),2)</f>
        <v>610213045.22000003</v>
      </c>
      <c r="G22" s="1270"/>
      <c r="H22" s="1269"/>
      <c r="I22" s="1845">
        <f>ROUND(SUM(I15:I21),2)</f>
        <v>908501825.66999996</v>
      </c>
      <c r="J22" s="1246"/>
      <c r="K22" s="1276"/>
    </row>
    <row r="23" spans="1:15" ht="15" customHeight="1">
      <c r="A23" s="1258"/>
      <c r="B23" s="1258"/>
      <c r="C23" s="1265"/>
      <c r="D23" s="1265"/>
      <c r="E23" s="1265"/>
      <c r="F23" s="1265"/>
      <c r="G23" s="1265"/>
      <c r="H23" s="1266"/>
      <c r="I23" s="1267"/>
      <c r="K23" s="1276"/>
    </row>
    <row r="24" spans="1:15" ht="15" customHeight="1">
      <c r="A24" s="1261" t="s">
        <v>837</v>
      </c>
      <c r="B24" s="1258"/>
      <c r="C24" s="1272"/>
      <c r="D24" s="1272"/>
      <c r="E24" s="1272"/>
      <c r="F24" s="1272"/>
      <c r="G24" s="1272"/>
      <c r="H24" s="1266"/>
      <c r="I24" s="1267"/>
      <c r="K24" s="1276"/>
    </row>
    <row r="25" spans="1:15" ht="15" customHeight="1">
      <c r="A25" s="1273" t="s">
        <v>504</v>
      </c>
      <c r="B25" s="1258"/>
      <c r="C25" s="1265"/>
      <c r="D25" s="1265">
        <v>0</v>
      </c>
      <c r="E25" s="1265"/>
      <c r="F25" s="1265">
        <v>0</v>
      </c>
      <c r="G25" s="1265"/>
      <c r="H25" s="1266"/>
      <c r="I25" s="1267">
        <f>SUM(C25:H25)</f>
        <v>0</v>
      </c>
      <c r="K25" s="1276"/>
    </row>
    <row r="26" spans="1:15" ht="15" customHeight="1">
      <c r="A26" s="1273" t="s">
        <v>505</v>
      </c>
      <c r="B26" s="1258"/>
      <c r="C26" s="1265"/>
      <c r="D26" s="1265">
        <v>0</v>
      </c>
      <c r="E26" s="1265"/>
      <c r="F26" s="1265">
        <v>0</v>
      </c>
      <c r="G26" s="1265"/>
      <c r="H26" s="1266"/>
      <c r="I26" s="1267">
        <f>SUM(C26:H26)</f>
        <v>0</v>
      </c>
      <c r="K26" s="1276"/>
    </row>
    <row r="27" spans="1:15" ht="15" customHeight="1">
      <c r="A27" s="1273" t="s">
        <v>506</v>
      </c>
      <c r="B27" s="1258"/>
      <c r="C27" s="1265"/>
      <c r="D27" s="1265">
        <v>0</v>
      </c>
      <c r="E27" s="1265"/>
      <c r="F27" s="1265">
        <v>0</v>
      </c>
      <c r="G27" s="1265"/>
      <c r="H27" s="1268"/>
      <c r="I27" s="1267">
        <f>SUM(C27:H27)</f>
        <v>0</v>
      </c>
      <c r="K27" s="1276"/>
    </row>
    <row r="28" spans="1:15" ht="15.75">
      <c r="A28" s="1249" t="s">
        <v>875</v>
      </c>
      <c r="B28" s="1261"/>
      <c r="C28" s="1270"/>
      <c r="D28" s="1845">
        <f>ROUND(SUM(D25:D27),2)</f>
        <v>0</v>
      </c>
      <c r="E28" s="1270"/>
      <c r="F28" s="1845">
        <f>ROUND(SUM(F25:F27),2)</f>
        <v>0</v>
      </c>
      <c r="G28" s="1270"/>
      <c r="H28" s="1269"/>
      <c r="I28" s="1845">
        <f>ROUND(SUM(I25:I27),2)</f>
        <v>0</v>
      </c>
      <c r="K28" s="1276"/>
    </row>
    <row r="29" spans="1:15" ht="15" customHeight="1">
      <c r="A29" s="1258"/>
      <c r="B29" s="1258"/>
      <c r="C29" s="1265"/>
      <c r="D29" s="1265"/>
      <c r="E29" s="1265"/>
      <c r="F29" s="1265"/>
      <c r="G29" s="1265"/>
      <c r="H29" s="1266"/>
      <c r="I29" s="1267"/>
      <c r="K29" s="1276"/>
    </row>
    <row r="30" spans="1:15" ht="15" customHeight="1">
      <c r="A30" s="1261" t="s">
        <v>507</v>
      </c>
      <c r="B30" s="1261"/>
      <c r="C30" s="1270"/>
      <c r="D30" s="2170">
        <f>ROUND(+D22+D28,2)</f>
        <v>298288780.44999999</v>
      </c>
      <c r="E30" s="1270"/>
      <c r="F30" s="2170">
        <f>ROUND(+F22+F28,2)</f>
        <v>610213045.22000003</v>
      </c>
      <c r="G30" s="1270"/>
      <c r="H30" s="1274"/>
      <c r="I30" s="1270">
        <f>ROUND(+I22+I28,2)</f>
        <v>908501825.66999996</v>
      </c>
      <c r="K30" s="1276"/>
    </row>
    <row r="31" spans="1:15" ht="15" customHeight="1">
      <c r="A31" s="1258"/>
      <c r="B31" s="1258"/>
      <c r="C31" s="1267"/>
      <c r="D31" s="1267"/>
      <c r="E31" s="1267"/>
      <c r="F31" s="1267"/>
      <c r="G31" s="1267"/>
      <c r="H31" s="1266"/>
      <c r="I31" s="1846"/>
      <c r="J31" s="1247"/>
      <c r="K31" s="1276"/>
      <c r="L31" s="1275"/>
      <c r="M31" s="1275"/>
      <c r="N31" s="1275"/>
      <c r="O31" s="1275"/>
    </row>
    <row r="32" spans="1:15" ht="15" customHeight="1">
      <c r="A32" s="1261" t="s">
        <v>45</v>
      </c>
      <c r="B32" s="1258"/>
      <c r="C32" s="1267"/>
      <c r="D32" s="1267"/>
      <c r="E32" s="1267"/>
      <c r="F32" s="1267"/>
      <c r="G32" s="1267"/>
      <c r="H32" s="1266"/>
      <c r="I32" s="1267"/>
      <c r="J32" s="1247"/>
      <c r="K32" s="1276"/>
      <c r="L32" s="1275"/>
      <c r="M32" s="1275"/>
      <c r="N32" s="1275"/>
      <c r="O32" s="1275"/>
    </row>
    <row r="33" spans="1:15" ht="15" customHeight="1">
      <c r="A33" s="1261" t="s">
        <v>787</v>
      </c>
      <c r="B33" s="1258"/>
      <c r="C33" s="1267"/>
      <c r="D33" s="1267"/>
      <c r="E33" s="1267"/>
      <c r="F33" s="1267"/>
      <c r="G33" s="1267"/>
      <c r="H33" s="1266"/>
      <c r="I33" s="1267"/>
      <c r="J33" s="1247"/>
      <c r="K33" s="1276"/>
      <c r="L33" s="1275"/>
      <c r="M33" s="1275"/>
      <c r="N33" s="1275"/>
      <c r="O33" s="1275"/>
    </row>
    <row r="34" spans="1:15" ht="15" customHeight="1">
      <c r="A34" s="1258" t="s">
        <v>508</v>
      </c>
      <c r="B34" s="1258"/>
      <c r="C34" s="1234"/>
      <c r="D34" s="1234">
        <v>0</v>
      </c>
      <c r="E34" s="1234"/>
      <c r="F34" s="1234">
        <v>0</v>
      </c>
      <c r="G34" s="1234"/>
      <c r="H34" s="1266"/>
      <c r="I34" s="1267">
        <f>SUM(C34:H34)</f>
        <v>0</v>
      </c>
      <c r="J34" s="1247"/>
      <c r="K34" s="1276"/>
      <c r="L34" s="1275"/>
      <c r="M34" s="1275"/>
      <c r="N34" s="1275"/>
      <c r="O34" s="1275"/>
    </row>
    <row r="35" spans="1:15" ht="15" customHeight="1">
      <c r="A35" s="1273" t="s">
        <v>509</v>
      </c>
      <c r="B35" s="1258"/>
      <c r="C35" s="1234"/>
      <c r="D35" s="1234">
        <v>4588850</v>
      </c>
      <c r="E35" s="1234"/>
      <c r="F35" s="1234">
        <v>4775217</v>
      </c>
      <c r="G35" s="1234"/>
      <c r="H35" s="1266"/>
      <c r="I35" s="1267">
        <f>SUM(C35:H35)</f>
        <v>9364067</v>
      </c>
      <c r="J35" s="1247"/>
      <c r="K35" s="1276"/>
      <c r="L35" s="1275"/>
      <c r="M35" s="1275"/>
      <c r="N35" s="1275"/>
      <c r="O35" s="1275"/>
    </row>
    <row r="36" spans="1:15" ht="15" customHeight="1">
      <c r="A36" s="1261" t="s">
        <v>510</v>
      </c>
      <c r="B36" s="1258"/>
      <c r="C36" s="1267"/>
      <c r="D36" s="1267"/>
      <c r="E36" s="1267"/>
      <c r="F36" s="1267"/>
      <c r="G36" s="1267"/>
      <c r="H36" s="1266"/>
      <c r="I36" s="1267"/>
      <c r="J36" s="1247"/>
      <c r="K36" s="1276"/>
      <c r="L36" s="1275"/>
      <c r="M36" s="1275"/>
      <c r="N36" s="1275"/>
      <c r="O36" s="1275"/>
    </row>
    <row r="37" spans="1:15" ht="15" customHeight="1">
      <c r="A37" s="1227" t="s">
        <v>511</v>
      </c>
      <c r="B37" s="1258"/>
      <c r="C37" s="1276"/>
      <c r="D37" s="1276">
        <v>0</v>
      </c>
      <c r="E37" s="1276"/>
      <c r="F37" s="1276">
        <v>0</v>
      </c>
      <c r="G37" s="1276"/>
      <c r="H37" s="1266"/>
      <c r="I37" s="1267">
        <f>SUM(C37:H37)</f>
        <v>0</v>
      </c>
      <c r="J37" s="1247"/>
      <c r="K37" s="1276"/>
      <c r="L37" s="1275"/>
      <c r="M37" s="1275"/>
      <c r="N37" s="1275"/>
      <c r="O37" s="1275"/>
    </row>
    <row r="38" spans="1:15" s="1257" customFormat="1" ht="15.75">
      <c r="A38" s="1261" t="s">
        <v>512</v>
      </c>
      <c r="B38" s="1261"/>
      <c r="C38" s="1270"/>
      <c r="D38" s="1845">
        <f>ROUND(SUM(D34:D37),2)</f>
        <v>4588850</v>
      </c>
      <c r="E38" s="1270"/>
      <c r="F38" s="1845">
        <f>ROUND(SUM(F34:F37),2)</f>
        <v>4775217</v>
      </c>
      <c r="G38" s="1270"/>
      <c r="H38" s="1269"/>
      <c r="I38" s="1845">
        <f>ROUND(SUM(I34:I37),2)</f>
        <v>9364067</v>
      </c>
      <c r="J38" s="1271"/>
      <c r="K38" s="1276"/>
      <c r="L38" s="1277"/>
      <c r="M38" s="1277"/>
      <c r="N38" s="1277"/>
      <c r="O38" s="1277"/>
    </row>
    <row r="39" spans="1:15" ht="15" customHeight="1">
      <c r="A39" s="1258"/>
      <c r="B39" s="1258"/>
      <c r="C39" s="1265"/>
      <c r="D39" s="1265"/>
      <c r="E39" s="1265"/>
      <c r="F39" s="1265"/>
      <c r="G39" s="1265"/>
      <c r="H39" s="1266"/>
      <c r="I39" s="1267"/>
      <c r="J39" s="1247"/>
      <c r="K39" s="1276"/>
      <c r="L39" s="1275"/>
      <c r="M39" s="1275"/>
      <c r="N39" s="1275"/>
      <c r="O39" s="1275"/>
    </row>
    <row r="40" spans="1:15" ht="15" customHeight="1">
      <c r="A40" s="1261" t="s">
        <v>838</v>
      </c>
      <c r="B40" s="1258"/>
      <c r="C40" s="1265"/>
      <c r="D40" s="1265"/>
      <c r="E40" s="1265"/>
      <c r="F40" s="1265"/>
      <c r="G40" s="1265"/>
      <c r="H40" s="1266"/>
      <c r="I40" s="1267"/>
      <c r="J40" s="1247"/>
      <c r="K40" s="1276"/>
      <c r="L40" s="1275"/>
      <c r="M40" s="1275"/>
      <c r="N40" s="1275"/>
      <c r="O40" s="1275"/>
    </row>
    <row r="41" spans="1:15" ht="15" customHeight="1">
      <c r="A41" s="1258" t="s">
        <v>508</v>
      </c>
      <c r="B41" s="1258"/>
      <c r="C41" s="1228"/>
      <c r="D41" s="1228">
        <v>0</v>
      </c>
      <c r="E41" s="1228"/>
      <c r="F41" s="1228">
        <v>0</v>
      </c>
      <c r="G41" s="1228"/>
      <c r="H41" s="1266"/>
      <c r="I41" s="1267">
        <f>SUM(C41:H41)</f>
        <v>0</v>
      </c>
      <c r="J41" s="1247"/>
      <c r="K41" s="1276"/>
      <c r="L41" s="1275"/>
      <c r="M41" s="1275"/>
      <c r="N41" s="1275"/>
      <c r="O41" s="1275"/>
    </row>
    <row r="42" spans="1:15" ht="15" customHeight="1">
      <c r="A42" s="1258" t="s">
        <v>513</v>
      </c>
      <c r="B42" s="1258"/>
      <c r="C42" s="1265"/>
      <c r="D42" s="1265">
        <v>0</v>
      </c>
      <c r="E42" s="1265"/>
      <c r="F42" s="1265">
        <v>0</v>
      </c>
      <c r="G42" s="1265"/>
      <c r="H42" s="1266"/>
      <c r="I42" s="1267">
        <f>SUM(C42:H42)</f>
        <v>0</v>
      </c>
      <c r="J42" s="1247"/>
      <c r="K42" s="1276"/>
      <c r="L42" s="1275"/>
      <c r="M42" s="1275"/>
      <c r="N42" s="1275"/>
      <c r="O42" s="1275"/>
    </row>
    <row r="43" spans="1:15" ht="15" customHeight="1">
      <c r="A43" s="1261" t="s">
        <v>839</v>
      </c>
      <c r="B43" s="1258"/>
      <c r="C43" s="1265"/>
      <c r="D43" s="1265"/>
      <c r="E43" s="1265"/>
      <c r="F43" s="1265"/>
      <c r="G43" s="1265"/>
      <c r="H43" s="1266"/>
      <c r="I43" s="1267"/>
      <c r="J43" s="1247"/>
      <c r="K43" s="1276"/>
      <c r="L43" s="1275"/>
      <c r="M43" s="1275"/>
      <c r="N43" s="1275"/>
      <c r="O43" s="1275"/>
    </row>
    <row r="44" spans="1:15" ht="15" customHeight="1">
      <c r="A44" s="1273" t="s">
        <v>511</v>
      </c>
      <c r="B44" s="1258"/>
      <c r="C44" s="1234"/>
      <c r="D44" s="1234">
        <v>-460794922.88</v>
      </c>
      <c r="E44" s="1234"/>
      <c r="F44" s="1234">
        <v>-457110370.50999999</v>
      </c>
      <c r="G44" s="1234"/>
      <c r="H44" s="1266"/>
      <c r="I44" s="1267">
        <f>SUM(C44:H44)</f>
        <v>-917905293.38999999</v>
      </c>
      <c r="J44" s="1247"/>
      <c r="K44" s="1276"/>
      <c r="L44" s="1275"/>
      <c r="M44" s="1275"/>
      <c r="N44" s="1275"/>
      <c r="O44" s="1275"/>
    </row>
    <row r="45" spans="1:15" ht="15" customHeight="1">
      <c r="A45" s="1258" t="s">
        <v>1177</v>
      </c>
      <c r="B45" s="1258"/>
      <c r="C45" s="1234"/>
      <c r="D45" s="1234">
        <v>0</v>
      </c>
      <c r="E45" s="1234"/>
      <c r="F45" s="1234">
        <v>0</v>
      </c>
      <c r="G45" s="1234"/>
      <c r="H45" s="1266"/>
      <c r="I45" s="1267">
        <f>SUM(C45:H45)</f>
        <v>0</v>
      </c>
      <c r="J45" s="1247"/>
      <c r="K45" s="1276"/>
      <c r="L45" s="1275"/>
      <c r="M45" s="1275"/>
      <c r="N45" s="1275"/>
      <c r="O45" s="1275"/>
    </row>
    <row r="46" spans="1:15" ht="15" customHeight="1">
      <c r="A46" s="1258" t="s">
        <v>1178</v>
      </c>
      <c r="B46" s="1258"/>
      <c r="C46" s="1267"/>
      <c r="D46" s="1912">
        <v>0</v>
      </c>
      <c r="E46" s="1267"/>
      <c r="F46" s="1912">
        <v>0</v>
      </c>
      <c r="G46" s="1267"/>
      <c r="H46" s="1266"/>
      <c r="I46" s="1267">
        <f>SUM(C46:H46)</f>
        <v>0</v>
      </c>
      <c r="J46" s="1247"/>
      <c r="K46" s="1276"/>
      <c r="L46" s="1275"/>
      <c r="M46" s="1275"/>
      <c r="N46" s="1275"/>
      <c r="O46" s="1275"/>
    </row>
    <row r="47" spans="1:15" ht="15.75">
      <c r="A47" s="1261" t="s">
        <v>514</v>
      </c>
      <c r="B47" s="1261"/>
      <c r="C47" s="1270"/>
      <c r="D47" s="1845">
        <f>ROUND(SUM(D41:D46),2)</f>
        <v>-460794922.88</v>
      </c>
      <c r="E47" s="1270"/>
      <c r="F47" s="1845">
        <f>ROUND(SUM(F41:F46),2)</f>
        <v>-457110370.50999999</v>
      </c>
      <c r="G47" s="1270"/>
      <c r="H47" s="1269"/>
      <c r="I47" s="1845">
        <f>ROUND(SUM(I41:I46),2)</f>
        <v>-917905293.38999999</v>
      </c>
      <c r="J47" s="1247"/>
      <c r="K47" s="1276"/>
      <c r="L47" s="1275"/>
      <c r="M47" s="1275"/>
      <c r="N47" s="1275"/>
      <c r="O47" s="1275"/>
    </row>
    <row r="48" spans="1:15" ht="15" customHeight="1">
      <c r="A48" s="1258"/>
      <c r="B48" s="1258"/>
      <c r="C48" s="1265"/>
      <c r="D48" s="1265"/>
      <c r="E48" s="1265"/>
      <c r="F48" s="1265"/>
      <c r="G48" s="1265"/>
      <c r="H48" s="1266"/>
      <c r="I48" s="1267"/>
      <c r="J48" s="1247"/>
      <c r="K48" s="1276"/>
      <c r="L48" s="1275"/>
      <c r="M48" s="1275"/>
      <c r="N48" s="1275"/>
      <c r="O48" s="1275"/>
    </row>
    <row r="49" spans="1:15" ht="15" customHeight="1">
      <c r="A49" s="1261" t="s">
        <v>515</v>
      </c>
      <c r="B49" s="1258"/>
      <c r="C49" s="1265"/>
      <c r="D49" s="1265"/>
      <c r="E49" s="1265"/>
      <c r="F49" s="1265"/>
      <c r="G49" s="1265"/>
      <c r="H49" s="1266"/>
      <c r="I49" s="1267"/>
      <c r="J49" s="1247"/>
      <c r="K49" s="1276"/>
      <c r="L49" s="1275"/>
      <c r="M49" s="1275"/>
      <c r="N49" s="1275"/>
      <c r="O49" s="1275"/>
    </row>
    <row r="50" spans="1:15" ht="15" customHeight="1">
      <c r="A50" s="1261" t="s">
        <v>516</v>
      </c>
      <c r="B50" s="1258"/>
      <c r="C50" s="1270"/>
      <c r="D50" s="1911">
        <f>ROUND(+D30+D38+D47,2)</f>
        <v>-157917292.43000001</v>
      </c>
      <c r="E50" s="1270"/>
      <c r="F50" s="1911">
        <f>ROUND(+F30+F38+F47,2)</f>
        <v>157877891.71000001</v>
      </c>
      <c r="G50" s="1270"/>
      <c r="H50" s="1274"/>
      <c r="I50" s="1911">
        <f>ROUND(+I30+I38+I47,2)</f>
        <v>-39400.720000000001</v>
      </c>
      <c r="J50" s="1247"/>
      <c r="K50" s="1276"/>
      <c r="L50" s="1275"/>
      <c r="M50" s="1275"/>
      <c r="N50" s="1275"/>
      <c r="O50" s="1275"/>
    </row>
    <row r="51" spans="1:15" ht="15" customHeight="1">
      <c r="A51" s="1258"/>
      <c r="B51" s="1258"/>
      <c r="C51" s="1260"/>
      <c r="D51" s="1260"/>
      <c r="E51" s="1260"/>
      <c r="F51" s="1260"/>
      <c r="G51" s="1260"/>
      <c r="H51" s="1278"/>
      <c r="I51" s="1267"/>
      <c r="J51" s="1247"/>
      <c r="K51" s="1276"/>
      <c r="L51" s="1275"/>
      <c r="M51" s="1275"/>
      <c r="N51" s="1275"/>
      <c r="O51" s="1275"/>
    </row>
    <row r="52" spans="1:15" s="1257" customFormat="1" ht="21" customHeight="1" thickBot="1">
      <c r="A52" s="1261" t="s">
        <v>517</v>
      </c>
      <c r="B52" s="1261"/>
      <c r="C52" s="1330"/>
      <c r="D52" s="2169">
        <f>ROUND(D12+D50,2)</f>
        <v>216565226.63</v>
      </c>
      <c r="E52" s="1330"/>
      <c r="F52" s="2169">
        <f>ROUND(F12+F50,2)</f>
        <v>374443118.33999997</v>
      </c>
      <c r="G52" s="1330"/>
      <c r="H52" s="1279"/>
      <c r="I52" s="1330">
        <f>ROUND(I12+I50,2)</f>
        <v>374443118.33999997</v>
      </c>
      <c r="J52" s="1244"/>
      <c r="K52" s="1276"/>
    </row>
    <row r="53" spans="1:15" ht="15" customHeight="1" thickTop="1">
      <c r="A53" s="1258" t="s">
        <v>14</v>
      </c>
      <c r="B53" s="1258"/>
      <c r="C53" s="1250"/>
      <c r="D53" s="1250"/>
      <c r="E53" s="1250"/>
      <c r="F53" s="1250"/>
      <c r="G53" s="1250"/>
      <c r="H53" s="1250"/>
      <c r="I53" s="1280"/>
      <c r="K53" s="1276"/>
    </row>
    <row r="54" spans="1:15" ht="15" customHeight="1">
      <c r="A54" s="1241" t="s">
        <v>518</v>
      </c>
      <c r="K54" s="1276"/>
    </row>
    <row r="55" spans="1:15" ht="15" customHeight="1">
      <c r="A55" s="1281"/>
      <c r="K55" s="1276"/>
    </row>
  </sheetData>
  <printOptions horizontalCentered="1"/>
  <pageMargins left="0.24" right="0.24" top="0.5" bottom="0.5" header="0.18" footer="0.25"/>
  <pageSetup scale="59"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fitToPage="1"/>
  </sheetPr>
  <dimension ref="A1:U128"/>
  <sheetViews>
    <sheetView showGridLines="0" zoomScale="90" zoomScaleNormal="90" workbookViewId="0"/>
  </sheetViews>
  <sheetFormatPr defaultColWidth="8.6640625" defaultRowHeight="15.75"/>
  <cols>
    <col min="1" max="1" width="3.5546875" style="1455" customWidth="1"/>
    <col min="2" max="2" width="8.44140625" style="1456" customWidth="1"/>
    <col min="3" max="3" width="12.109375" style="1456" customWidth="1"/>
    <col min="4" max="4" width="15" style="1457" customWidth="1"/>
    <col min="5" max="5" width="15.109375" style="1454" customWidth="1"/>
    <col min="6" max="6" width="10.44140625" style="1455" customWidth="1"/>
    <col min="7" max="7" width="10.109375" style="1455" customWidth="1"/>
    <col min="8" max="8" width="9.109375" style="1512" customWidth="1"/>
    <col min="9" max="9" width="5.5546875" style="1453" customWidth="1"/>
    <col min="10" max="10" width="9.109375" style="1453" customWidth="1"/>
    <col min="11" max="11" width="8.109375" style="1454" customWidth="1"/>
    <col min="12" max="12" width="16" style="1454" customWidth="1"/>
    <col min="13" max="13" width="12.109375" style="1454" customWidth="1"/>
    <col min="14" max="14" width="7.6640625" style="1454" customWidth="1"/>
    <col min="15" max="15" width="18.6640625" style="1514" customWidth="1"/>
    <col min="16" max="16" width="4.6640625" style="1514" customWidth="1"/>
    <col min="17" max="17" width="8" style="1514" customWidth="1"/>
    <col min="18" max="18" width="3.6640625" style="1514" customWidth="1"/>
    <col min="19" max="19" width="13.109375" style="1514" customWidth="1"/>
    <col min="20" max="21" width="12.109375" style="1514" customWidth="1"/>
    <col min="22" max="16384" width="8.6640625" style="1514"/>
  </cols>
  <sheetData>
    <row r="1" spans="1:20">
      <c r="A1" s="625" t="s">
        <v>870</v>
      </c>
    </row>
    <row r="2" spans="1:20">
      <c r="A2" s="535" t="s">
        <v>695</v>
      </c>
      <c r="B2" s="536"/>
      <c r="C2" s="537"/>
      <c r="D2" s="538"/>
      <c r="E2" s="1512"/>
      <c r="F2" s="1512"/>
      <c r="G2" s="1512"/>
      <c r="I2" s="539"/>
      <c r="J2" s="539"/>
      <c r="K2" s="1512"/>
      <c r="L2" s="1512"/>
      <c r="M2" s="1512"/>
      <c r="N2" s="540"/>
      <c r="O2" s="861" t="s">
        <v>866</v>
      </c>
      <c r="Q2" s="542"/>
      <c r="R2" s="542"/>
      <c r="S2" s="543"/>
      <c r="T2" s="544"/>
    </row>
    <row r="3" spans="1:20" ht="13.35" customHeight="1">
      <c r="A3" s="536"/>
      <c r="B3" s="536"/>
      <c r="C3" s="537"/>
      <c r="D3" s="538"/>
      <c r="E3" s="1512"/>
      <c r="F3" s="1512"/>
      <c r="G3" s="1512"/>
      <c r="I3" s="1456"/>
      <c r="J3" s="1456"/>
      <c r="K3" s="1457"/>
      <c r="M3" s="1455"/>
      <c r="N3" s="1455"/>
      <c r="O3" s="862" t="s">
        <v>1508</v>
      </c>
      <c r="T3" s="544"/>
    </row>
    <row r="4" spans="1:20" ht="9" customHeight="1">
      <c r="B4" s="1577"/>
      <c r="C4" s="1577"/>
      <c r="D4" s="1572"/>
      <c r="E4" s="1573"/>
      <c r="F4" s="1574"/>
      <c r="G4" s="1574"/>
      <c r="H4" s="552"/>
      <c r="I4" s="647"/>
      <c r="J4" s="647"/>
      <c r="K4" s="1573"/>
      <c r="L4" s="1573"/>
      <c r="M4" s="1573"/>
      <c r="N4" s="1573"/>
      <c r="O4" s="1579"/>
      <c r="P4" s="1579"/>
      <c r="T4" s="544"/>
    </row>
    <row r="5" spans="1:20" ht="13.5" customHeight="1">
      <c r="T5" s="544"/>
    </row>
    <row r="6" spans="1:20" ht="13.5" customHeight="1">
      <c r="A6" s="545" t="s">
        <v>696</v>
      </c>
      <c r="B6" s="1513" t="s">
        <v>697</v>
      </c>
      <c r="C6" s="1513"/>
      <c r="D6" s="1513"/>
      <c r="E6" s="552"/>
      <c r="F6" s="552"/>
      <c r="G6" s="552"/>
      <c r="H6" s="547"/>
      <c r="J6" s="3893" t="s">
        <v>1494</v>
      </c>
      <c r="K6" s="3894"/>
      <c r="L6" s="3892"/>
      <c r="M6" s="3892"/>
      <c r="N6" s="3895"/>
    </row>
    <row r="7" spans="1:20" ht="13.5" customHeight="1">
      <c r="A7" s="545"/>
      <c r="B7" s="1513" t="s">
        <v>698</v>
      </c>
      <c r="C7" s="1513"/>
      <c r="D7" s="1513"/>
      <c r="E7" s="552"/>
      <c r="F7" s="552"/>
      <c r="G7" s="552"/>
      <c r="H7" s="1455"/>
      <c r="J7" s="3892" t="s">
        <v>1530</v>
      </c>
      <c r="K7" s="3894"/>
      <c r="L7" s="3896"/>
      <c r="M7" s="3896"/>
      <c r="N7" s="3895"/>
    </row>
    <row r="8" spans="1:20" ht="13.35" customHeight="1">
      <c r="A8" s="545"/>
      <c r="B8" s="1513" t="s">
        <v>699</v>
      </c>
      <c r="C8" s="1513"/>
      <c r="D8" s="1513"/>
      <c r="E8" s="552"/>
      <c r="F8" s="552"/>
      <c r="G8" s="552"/>
      <c r="H8" s="1455"/>
      <c r="J8" s="3892" t="s">
        <v>1495</v>
      </c>
      <c r="K8" s="3897"/>
      <c r="L8" s="3896"/>
      <c r="M8" s="3896"/>
      <c r="N8" s="3896"/>
    </row>
    <row r="9" spans="1:20" ht="12.75" customHeight="1">
      <c r="A9" s="545"/>
      <c r="B9" s="1513" t="s">
        <v>700</v>
      </c>
      <c r="C9" s="1513"/>
      <c r="D9" s="1513"/>
      <c r="E9" s="552"/>
      <c r="F9" s="552"/>
      <c r="G9" s="552"/>
      <c r="H9" s="1584"/>
      <c r="J9" s="3892" t="s">
        <v>1531</v>
      </c>
      <c r="K9" s="3784"/>
      <c r="L9" s="3887"/>
      <c r="M9" s="1512"/>
      <c r="N9" s="1576"/>
    </row>
    <row r="10" spans="1:20" ht="12.75" customHeight="1">
      <c r="B10" s="1577"/>
      <c r="C10" s="1577"/>
      <c r="D10" s="1572"/>
      <c r="E10" s="1573"/>
      <c r="F10" s="1581"/>
      <c r="G10" s="1574"/>
      <c r="H10" s="552"/>
    </row>
    <row r="11" spans="1:20" ht="12.75" customHeight="1">
      <c r="A11" s="1512"/>
      <c r="B11" s="1513"/>
      <c r="C11" s="1580" t="s">
        <v>746</v>
      </c>
      <c r="D11" s="1575"/>
      <c r="E11" s="552"/>
      <c r="F11" s="1575">
        <v>278.8</v>
      </c>
      <c r="G11" s="552" t="s">
        <v>701</v>
      </c>
      <c r="H11" s="1586" t="s">
        <v>14</v>
      </c>
      <c r="I11" s="1455"/>
      <c r="J11" s="3892" t="s">
        <v>1532</v>
      </c>
    </row>
    <row r="12" spans="1:20" ht="12.75" customHeight="1">
      <c r="A12" s="1512"/>
      <c r="B12" s="1580"/>
      <c r="C12" s="1580" t="s">
        <v>895</v>
      </c>
      <c r="D12" s="1582"/>
      <c r="E12" s="552"/>
      <c r="F12" s="3772">
        <v>17.2</v>
      </c>
      <c r="G12" s="552"/>
      <c r="H12" s="552" t="s">
        <v>14</v>
      </c>
      <c r="I12" s="1455"/>
    </row>
    <row r="13" spans="1:20" ht="12.75" customHeight="1">
      <c r="A13" s="1512"/>
      <c r="B13" s="1580"/>
      <c r="C13" s="1580" t="s">
        <v>702</v>
      </c>
      <c r="D13" s="1582"/>
      <c r="E13" s="552"/>
      <c r="F13" s="3820">
        <v>504.3</v>
      </c>
      <c r="G13" s="552"/>
      <c r="H13" s="1579" t="s">
        <v>14</v>
      </c>
      <c r="I13" s="1455"/>
      <c r="K13" s="3628" t="s">
        <v>1533</v>
      </c>
      <c r="N13" s="3911">
        <v>1</v>
      </c>
      <c r="O13" s="1512" t="s">
        <v>701</v>
      </c>
      <c r="T13" s="1512"/>
    </row>
    <row r="14" spans="1:20" ht="12.75" customHeight="1">
      <c r="A14" s="1512"/>
      <c r="B14" s="1580"/>
      <c r="C14" s="1580" t="s">
        <v>703</v>
      </c>
      <c r="D14" s="1582"/>
      <c r="E14" s="552"/>
      <c r="F14" s="3820">
        <v>12.9</v>
      </c>
      <c r="G14" s="1574"/>
      <c r="H14" s="1455" t="s">
        <v>14</v>
      </c>
      <c r="I14" s="1455"/>
      <c r="K14" s="3912" t="s">
        <v>1534</v>
      </c>
      <c r="N14" s="3629">
        <v>1.2</v>
      </c>
      <c r="O14" s="1512"/>
      <c r="T14" s="546"/>
    </row>
    <row r="15" spans="1:20" ht="12.75" customHeight="1">
      <c r="A15" s="1512"/>
      <c r="B15" s="1580"/>
      <c r="C15" s="1580" t="s">
        <v>896</v>
      </c>
      <c r="D15" s="1582"/>
      <c r="E15" s="552"/>
      <c r="F15" s="3820">
        <v>442.8</v>
      </c>
      <c r="G15" s="552"/>
      <c r="H15" s="1584" t="s">
        <v>14</v>
      </c>
      <c r="I15" s="1455"/>
      <c r="T15" s="546"/>
    </row>
    <row r="16" spans="1:20" ht="12.75" customHeight="1">
      <c r="C16" s="539" t="s">
        <v>1496</v>
      </c>
      <c r="F16" s="3629">
        <v>811.4</v>
      </c>
      <c r="I16" s="1455"/>
      <c r="R16" s="1512"/>
    </row>
    <row r="17" spans="1:16" ht="12.75" customHeight="1">
      <c r="A17" s="1512"/>
      <c r="B17" s="1580"/>
      <c r="C17" s="1580" t="s">
        <v>704</v>
      </c>
      <c r="D17" s="1583"/>
      <c r="E17" s="552"/>
      <c r="F17" s="3772">
        <v>463.7</v>
      </c>
      <c r="G17" s="552"/>
      <c r="I17" s="1455"/>
      <c r="J17" s="1601" t="s">
        <v>1356</v>
      </c>
      <c r="K17" s="1601"/>
      <c r="L17" s="552"/>
      <c r="M17" s="552"/>
      <c r="N17" s="552"/>
      <c r="O17" s="1454"/>
    </row>
    <row r="18" spans="1:16" ht="12.75" customHeight="1">
      <c r="A18" s="1512"/>
      <c r="B18" s="1580"/>
      <c r="C18" s="1580" t="s">
        <v>1143</v>
      </c>
      <c r="D18" s="1583"/>
      <c r="E18" s="552"/>
      <c r="F18" s="3820">
        <v>218.6</v>
      </c>
      <c r="G18" s="552"/>
      <c r="H18" s="552"/>
      <c r="I18" s="1455"/>
      <c r="J18" s="647"/>
      <c r="K18" s="647"/>
      <c r="L18" s="1573"/>
      <c r="M18" s="1573"/>
      <c r="N18" s="1573"/>
      <c r="O18" s="1455"/>
    </row>
    <row r="19" spans="1:16" ht="12.75" customHeight="1">
      <c r="A19" s="1512"/>
      <c r="B19" s="1580"/>
      <c r="G19" s="552"/>
      <c r="I19" s="1455"/>
      <c r="J19" s="1580"/>
      <c r="K19" s="1580" t="s">
        <v>707</v>
      </c>
      <c r="L19" s="1575"/>
      <c r="M19" s="552"/>
      <c r="N19" s="1602">
        <v>8755.2999999999993</v>
      </c>
      <c r="O19" s="552" t="s">
        <v>701</v>
      </c>
    </row>
    <row r="20" spans="1:16" ht="13.35" customHeight="1">
      <c r="A20" s="1586" t="s">
        <v>705</v>
      </c>
      <c r="B20" s="1513" t="s">
        <v>877</v>
      </c>
      <c r="C20" s="1513"/>
      <c r="D20" s="1513"/>
      <c r="E20" s="552"/>
      <c r="F20" s="552"/>
      <c r="G20" s="552"/>
      <c r="H20" s="1586"/>
      <c r="J20" s="1580"/>
      <c r="K20" s="1580" t="s">
        <v>708</v>
      </c>
      <c r="L20" s="1575"/>
      <c r="M20" s="552"/>
      <c r="N20" s="1576">
        <v>637.9</v>
      </c>
      <c r="O20" s="1573"/>
    </row>
    <row r="21" spans="1:16" ht="12.75" customHeight="1">
      <c r="A21" s="1586"/>
      <c r="B21" s="1513" t="s">
        <v>1259</v>
      </c>
      <c r="C21" s="1513"/>
      <c r="D21" s="1513"/>
      <c r="E21" s="552"/>
      <c r="F21" s="552"/>
      <c r="G21" s="552"/>
      <c r="I21" s="1585"/>
      <c r="J21" s="1580"/>
      <c r="K21" s="1580" t="s">
        <v>709</v>
      </c>
      <c r="L21" s="1575"/>
      <c r="M21" s="552"/>
      <c r="N21" s="1576">
        <v>1033.4000000000001</v>
      </c>
      <c r="O21" s="552"/>
    </row>
    <row r="22" spans="1:16" ht="14.1" customHeight="1">
      <c r="A22" s="1586"/>
      <c r="B22" s="1513"/>
      <c r="C22" s="1513"/>
      <c r="D22" s="1513"/>
      <c r="E22" s="552"/>
      <c r="F22" s="552"/>
      <c r="G22" s="552"/>
      <c r="J22" s="647"/>
      <c r="K22" s="1580" t="s">
        <v>710</v>
      </c>
      <c r="L22" s="1575"/>
      <c r="M22" s="552"/>
      <c r="N22" s="1576">
        <v>272.39999999999998</v>
      </c>
    </row>
    <row r="23" spans="1:16" ht="12.75" customHeight="1">
      <c r="A23" s="552"/>
      <c r="B23" s="1585" t="s">
        <v>1357</v>
      </c>
      <c r="C23" s="1585"/>
      <c r="D23" s="1513"/>
      <c r="E23" s="552"/>
      <c r="F23" s="552"/>
      <c r="G23" s="552"/>
      <c r="K23" s="539" t="s">
        <v>1196</v>
      </c>
      <c r="L23" s="2106"/>
      <c r="M23" s="1512"/>
      <c r="N23" s="1578">
        <v>360.9</v>
      </c>
    </row>
    <row r="24" spans="1:16" ht="12.75" customHeight="1">
      <c r="A24" s="1574"/>
      <c r="B24" s="1577"/>
      <c r="C24" s="1577"/>
      <c r="D24" s="1572"/>
      <c r="E24" s="1573"/>
      <c r="F24" s="1574"/>
      <c r="G24" s="552"/>
      <c r="J24" s="647"/>
      <c r="K24" s="1580"/>
      <c r="L24" s="1573"/>
      <c r="M24" s="1573"/>
      <c r="N24" s="1573"/>
    </row>
    <row r="25" spans="1:16" ht="13.35" customHeight="1">
      <c r="A25" s="1574"/>
      <c r="B25" s="1577"/>
      <c r="C25" s="1580" t="s">
        <v>1116</v>
      </c>
      <c r="D25" s="1572"/>
      <c r="E25" s="1573"/>
      <c r="F25" s="1602">
        <v>-835.9</v>
      </c>
      <c r="G25" s="552" t="s">
        <v>701</v>
      </c>
      <c r="J25" s="552" t="s">
        <v>893</v>
      </c>
      <c r="K25" s="1580"/>
      <c r="L25" s="552"/>
      <c r="M25" s="552"/>
      <c r="N25" s="552"/>
    </row>
    <row r="26" spans="1:16" ht="12.75" customHeight="1">
      <c r="A26" s="1574"/>
      <c r="B26" s="1577"/>
      <c r="C26" s="1580" t="s">
        <v>706</v>
      </c>
      <c r="D26" s="1575"/>
      <c r="E26" s="552"/>
      <c r="F26" s="1576">
        <v>112.4</v>
      </c>
      <c r="G26" s="1579"/>
      <c r="H26" s="1455"/>
      <c r="J26" s="552" t="s">
        <v>1261</v>
      </c>
      <c r="K26" s="1580"/>
      <c r="L26" s="552"/>
      <c r="M26" s="552"/>
      <c r="N26" s="552"/>
      <c r="O26" s="1573"/>
      <c r="P26" s="552"/>
    </row>
    <row r="27" spans="1:16" ht="12.75" customHeight="1">
      <c r="A27" s="1574"/>
      <c r="B27" s="1577"/>
      <c r="C27" s="1580" t="s">
        <v>1097</v>
      </c>
      <c r="D27" s="1575"/>
      <c r="E27" s="552"/>
      <c r="F27" s="1576">
        <v>5.6</v>
      </c>
      <c r="G27" s="552"/>
      <c r="J27" s="552" t="s">
        <v>1535</v>
      </c>
      <c r="K27" s="1580"/>
      <c r="L27" s="552"/>
      <c r="M27" s="552"/>
      <c r="N27" s="552"/>
      <c r="O27" s="552"/>
    </row>
    <row r="28" spans="1:16" ht="12.75" customHeight="1">
      <c r="C28" s="3783" t="s">
        <v>1256</v>
      </c>
      <c r="D28" s="1575"/>
      <c r="E28" s="552"/>
      <c r="F28" s="1576">
        <v>60.2</v>
      </c>
      <c r="H28" s="1586"/>
      <c r="J28" s="1580"/>
      <c r="K28" s="1457"/>
      <c r="M28" s="1455"/>
      <c r="N28" s="1455"/>
    </row>
    <row r="29" spans="1:16" ht="13.35" customHeight="1">
      <c r="C29" s="3784" t="s">
        <v>1527</v>
      </c>
      <c r="F29" s="1576">
        <v>48.1</v>
      </c>
      <c r="J29" s="1601" t="s">
        <v>1536</v>
      </c>
      <c r="K29" s="1457"/>
      <c r="M29" s="1455"/>
      <c r="N29" s="1455"/>
    </row>
    <row r="30" spans="1:16" ht="12.75" customHeight="1">
      <c r="C30" s="3784" t="s">
        <v>1346</v>
      </c>
      <c r="D30" s="1575"/>
      <c r="E30" s="552"/>
      <c r="F30" s="1576">
        <v>48.9</v>
      </c>
      <c r="J30" s="3819" t="s">
        <v>1537</v>
      </c>
      <c r="K30" s="1457"/>
      <c r="M30" s="1455"/>
      <c r="N30" s="1455"/>
    </row>
    <row r="31" spans="1:16" ht="12.75" customHeight="1">
      <c r="C31" s="3784" t="s">
        <v>1344</v>
      </c>
      <c r="D31" s="1575"/>
      <c r="E31" s="552"/>
      <c r="F31" s="1576">
        <v>7.2</v>
      </c>
    </row>
    <row r="32" spans="1:16" ht="12.75" customHeight="1">
      <c r="C32" s="3784" t="s">
        <v>1449</v>
      </c>
      <c r="D32" s="3887"/>
      <c r="E32" s="1512"/>
      <c r="F32" s="1576">
        <v>5.5</v>
      </c>
    </row>
    <row r="33" spans="2:20" ht="12.75" customHeight="1">
      <c r="C33" s="3784" t="s">
        <v>1343</v>
      </c>
      <c r="D33" s="1575"/>
      <c r="E33" s="552"/>
      <c r="F33" s="1576">
        <v>25.5</v>
      </c>
    </row>
    <row r="34" spans="2:20" ht="13.35" customHeight="1">
      <c r="C34" s="3784" t="s">
        <v>1341</v>
      </c>
      <c r="D34" s="1575"/>
      <c r="E34" s="552"/>
      <c r="F34" s="1576">
        <v>2.4</v>
      </c>
      <c r="J34" s="1513"/>
      <c r="K34" s="1453"/>
      <c r="N34" s="1573"/>
      <c r="O34" s="1454"/>
    </row>
    <row r="35" spans="2:20" ht="12.75" customHeight="1">
      <c r="C35" s="3628" t="s">
        <v>1497</v>
      </c>
      <c r="D35" s="3887"/>
      <c r="E35" s="1512"/>
      <c r="F35" s="1578">
        <v>50</v>
      </c>
      <c r="K35" s="1580"/>
      <c r="N35" s="3470"/>
      <c r="O35" s="1512"/>
    </row>
    <row r="36" spans="2:20" ht="12.75" customHeight="1">
      <c r="C36" s="3784" t="s">
        <v>1439</v>
      </c>
      <c r="D36" s="1575"/>
      <c r="E36" s="552"/>
      <c r="F36" s="1576">
        <v>2.6</v>
      </c>
      <c r="K36" s="3848"/>
      <c r="N36" s="1578"/>
      <c r="R36" s="1512"/>
    </row>
    <row r="37" spans="2:20" ht="12.75" customHeight="1">
      <c r="C37" s="3784" t="s">
        <v>1347</v>
      </c>
      <c r="D37" s="552"/>
      <c r="F37" s="1576">
        <v>3</v>
      </c>
      <c r="K37" s="3785"/>
      <c r="L37" s="1575"/>
      <c r="M37" s="552"/>
      <c r="N37" s="1576"/>
      <c r="R37" s="546"/>
    </row>
    <row r="38" spans="2:20" ht="12.75" customHeight="1">
      <c r="C38" s="3784" t="s">
        <v>1348</v>
      </c>
      <c r="D38" s="552"/>
      <c r="F38" s="1576">
        <v>508.1</v>
      </c>
      <c r="K38" s="1580"/>
      <c r="L38" s="1575"/>
      <c r="M38" s="552"/>
      <c r="N38" s="1576"/>
      <c r="R38" s="546"/>
      <c r="T38" s="643"/>
    </row>
    <row r="39" spans="2:20" ht="12.75" customHeight="1">
      <c r="C39" s="539"/>
      <c r="D39" s="3887"/>
      <c r="E39" s="1512"/>
      <c r="F39" s="1578"/>
      <c r="K39" s="3848"/>
      <c r="N39" s="1578"/>
      <c r="T39" s="643"/>
    </row>
    <row r="40" spans="2:20" ht="13.35" customHeight="1">
      <c r="C40" s="1580"/>
      <c r="D40" s="1575"/>
      <c r="E40" s="552"/>
      <c r="F40" s="1576"/>
      <c r="G40" s="1514"/>
      <c r="K40" s="1580"/>
      <c r="L40" s="1575"/>
      <c r="M40" s="552"/>
      <c r="N40" s="1576"/>
      <c r="T40" s="643"/>
    </row>
    <row r="41" spans="2:20" ht="12.75" customHeight="1">
      <c r="B41" s="1580" t="s">
        <v>711</v>
      </c>
      <c r="C41" s="1457"/>
      <c r="D41" s="1454"/>
      <c r="E41" s="1455"/>
      <c r="G41" s="1514"/>
      <c r="K41" s="1580"/>
      <c r="N41" s="1576"/>
      <c r="T41" s="643"/>
    </row>
    <row r="42" spans="2:20" ht="12.75" customHeight="1">
      <c r="B42" s="552" t="s">
        <v>1528</v>
      </c>
      <c r="C42" s="1457"/>
      <c r="D42" s="1454"/>
      <c r="E42" s="1455"/>
      <c r="G42" s="1514"/>
      <c r="K42" s="1580"/>
      <c r="L42" s="1575"/>
      <c r="M42" s="552"/>
      <c r="N42" s="1576"/>
      <c r="T42" s="643"/>
    </row>
    <row r="43" spans="2:20" ht="12.75" customHeight="1">
      <c r="B43" s="552" t="s">
        <v>1529</v>
      </c>
      <c r="C43" s="1457"/>
      <c r="D43" s="1454"/>
      <c r="E43" s="1455"/>
      <c r="G43" s="1574" t="s">
        <v>14</v>
      </c>
      <c r="K43" s="3785"/>
      <c r="L43" s="1575"/>
      <c r="M43" s="552"/>
      <c r="N43" s="1576"/>
      <c r="T43" s="643"/>
    </row>
    <row r="44" spans="2:20" ht="12.75" customHeight="1">
      <c r="C44" s="3786"/>
      <c r="D44" s="1575"/>
      <c r="E44" s="552"/>
      <c r="F44" s="1576"/>
      <c r="K44" s="3785"/>
      <c r="N44" s="1576"/>
      <c r="P44" s="1579"/>
      <c r="T44" s="643"/>
    </row>
    <row r="45" spans="2:20" ht="12.75" customHeight="1">
      <c r="B45" s="3819" t="s">
        <v>878</v>
      </c>
      <c r="C45" s="3628"/>
      <c r="F45" s="3629"/>
      <c r="G45" s="1454"/>
      <c r="K45" s="3848"/>
      <c r="N45" s="1576"/>
      <c r="P45" s="1579"/>
      <c r="S45" s="3821"/>
      <c r="T45" s="643"/>
    </row>
    <row r="46" spans="2:20" ht="13.5" customHeight="1">
      <c r="B46" s="3819" t="s">
        <v>879</v>
      </c>
      <c r="C46" s="3786"/>
      <c r="D46" s="3887"/>
      <c r="E46" s="1512"/>
      <c r="F46" s="1578"/>
      <c r="G46" s="1454"/>
      <c r="K46" s="1580"/>
      <c r="L46" s="1575"/>
      <c r="M46" s="552"/>
      <c r="N46" s="1576"/>
      <c r="P46" s="552"/>
      <c r="S46" s="3821"/>
    </row>
    <row r="47" spans="2:20" ht="12.75" customHeight="1">
      <c r="B47" s="3819" t="s">
        <v>1525</v>
      </c>
      <c r="C47" s="539"/>
      <c r="D47" s="3887"/>
      <c r="E47" s="1512"/>
      <c r="F47" s="1578"/>
      <c r="G47" s="1454"/>
      <c r="I47" s="1456"/>
      <c r="K47" s="1580"/>
      <c r="N47" s="1576"/>
    </row>
    <row r="48" spans="2:20" ht="12.75" customHeight="1">
      <c r="B48" s="3892" t="s">
        <v>1526</v>
      </c>
      <c r="C48" s="1580"/>
      <c r="D48" s="1575"/>
      <c r="E48" s="552"/>
      <c r="F48" s="1576"/>
      <c r="G48" s="1454"/>
      <c r="K48" s="3785"/>
      <c r="L48" s="1575"/>
      <c r="M48" s="552"/>
      <c r="N48" s="1576"/>
    </row>
    <row r="49" spans="2:21" ht="13.35" customHeight="1">
      <c r="B49" s="552"/>
      <c r="C49" s="539"/>
      <c r="D49" s="3887"/>
      <c r="E49" s="1512"/>
      <c r="F49" s="1578"/>
      <c r="G49" s="1454"/>
      <c r="K49" s="3848"/>
      <c r="N49" s="1578"/>
    </row>
    <row r="50" spans="2:21" ht="12.75" customHeight="1">
      <c r="C50" s="3894"/>
      <c r="D50" s="3892"/>
      <c r="E50" s="3892"/>
      <c r="F50" s="3895"/>
      <c r="G50" s="1454"/>
      <c r="K50" s="3848"/>
      <c r="N50" s="1578"/>
      <c r="S50" s="537"/>
      <c r="T50" s="643"/>
      <c r="U50" s="643"/>
    </row>
    <row r="51" spans="2:21" ht="12.75" customHeight="1">
      <c r="G51" s="1454"/>
      <c r="K51" s="3783"/>
      <c r="L51" s="1575"/>
      <c r="M51" s="552"/>
      <c r="N51" s="1576"/>
      <c r="S51" s="549"/>
      <c r="T51" s="643"/>
      <c r="U51" s="643"/>
    </row>
    <row r="52" spans="2:21" ht="12.75" customHeight="1">
      <c r="G52" s="1454"/>
      <c r="K52" s="3848"/>
      <c r="N52" s="1576"/>
      <c r="O52" s="1512"/>
      <c r="S52" s="549"/>
      <c r="T52" s="643"/>
      <c r="U52" s="643"/>
    </row>
    <row r="53" spans="2:21" ht="12.75" customHeight="1">
      <c r="G53" s="1454"/>
      <c r="K53" s="3848"/>
      <c r="N53" s="1576"/>
      <c r="O53" s="3783"/>
      <c r="P53" s="1575"/>
      <c r="Q53" s="552"/>
      <c r="R53" s="1576"/>
      <c r="S53" s="550"/>
      <c r="T53" s="643"/>
      <c r="U53" s="643"/>
    </row>
    <row r="54" spans="2:21" ht="12.75" customHeight="1">
      <c r="G54" s="1455" t="s">
        <v>14</v>
      </c>
      <c r="K54" s="3848"/>
      <c r="N54" s="1578"/>
      <c r="O54" s="1454"/>
      <c r="R54" s="541"/>
    </row>
    <row r="55" spans="2:21" ht="12.75" customHeight="1">
      <c r="C55" s="3784"/>
      <c r="D55" s="1575"/>
      <c r="E55" s="552"/>
      <c r="F55" s="1576"/>
      <c r="K55" s="3848"/>
      <c r="N55" s="1578"/>
      <c r="R55" s="541"/>
    </row>
    <row r="56" spans="2:21" ht="12.75" customHeight="1">
      <c r="C56" s="3784"/>
      <c r="D56" s="1575"/>
      <c r="E56" s="552"/>
      <c r="F56" s="1576"/>
      <c r="K56" s="1580"/>
      <c r="L56" s="1575"/>
      <c r="M56" s="552"/>
      <c r="N56" s="1576"/>
      <c r="R56" s="1458"/>
    </row>
    <row r="57" spans="2:21" ht="12.75" customHeight="1">
      <c r="C57" s="3628"/>
      <c r="D57" s="3887"/>
      <c r="E57" s="1512"/>
      <c r="F57" s="1578"/>
      <c r="G57" s="1574"/>
      <c r="K57" s="1580"/>
      <c r="L57" s="1575"/>
      <c r="M57" s="552"/>
      <c r="N57" s="1576"/>
      <c r="R57" s="1458"/>
    </row>
    <row r="58" spans="2:21" ht="12.75" customHeight="1">
      <c r="C58" s="3628"/>
      <c r="D58" s="3887"/>
      <c r="E58" s="1512"/>
      <c r="F58" s="1578"/>
      <c r="K58" s="3848"/>
      <c r="N58" s="1578"/>
      <c r="O58" s="1454"/>
      <c r="R58" s="1458"/>
    </row>
    <row r="59" spans="2:21" ht="12.75" customHeight="1">
      <c r="C59" s="3784"/>
      <c r="D59" s="1575"/>
      <c r="E59" s="552"/>
      <c r="F59" s="1576"/>
      <c r="K59" s="3871"/>
      <c r="N59" s="1578"/>
      <c r="R59" s="1458"/>
    </row>
    <row r="60" spans="2:21" ht="12.75" customHeight="1">
      <c r="C60" s="1577"/>
      <c r="G60" s="3739" t="s">
        <v>14</v>
      </c>
      <c r="H60" s="1578"/>
      <c r="R60" s="1458"/>
    </row>
    <row r="61" spans="2:21" ht="12.75" customHeight="1">
      <c r="B61" s="1455"/>
      <c r="G61" s="3740" t="s">
        <v>14</v>
      </c>
      <c r="R61" s="1458"/>
    </row>
    <row r="62" spans="2:21" ht="12.75" customHeight="1">
      <c r="P62" s="1512"/>
      <c r="R62" s="1458"/>
    </row>
    <row r="63" spans="2:21" ht="12.75" customHeight="1">
      <c r="B63" s="3888"/>
      <c r="H63" s="1514"/>
      <c r="I63" s="538"/>
      <c r="P63" s="1512"/>
      <c r="R63" s="1458"/>
    </row>
    <row r="64" spans="2:21" ht="12.75" customHeight="1">
      <c r="H64" s="1514"/>
      <c r="I64" s="1514"/>
      <c r="N64" s="1578"/>
      <c r="R64" s="1458"/>
    </row>
    <row r="65" spans="1:19" s="547" customFormat="1" ht="12.75" customHeight="1">
      <c r="C65" s="1580"/>
      <c r="D65" s="1575"/>
      <c r="E65" s="552"/>
      <c r="F65" s="1576"/>
      <c r="H65" s="1514"/>
      <c r="I65" s="1514"/>
      <c r="J65" s="1580"/>
      <c r="K65" s="1513"/>
      <c r="L65" s="552"/>
      <c r="M65" s="552"/>
      <c r="N65" s="552"/>
      <c r="O65" s="552"/>
      <c r="P65" s="1514"/>
      <c r="R65" s="1458"/>
    </row>
    <row r="66" spans="1:19" s="547" customFormat="1" ht="12.75" customHeight="1">
      <c r="C66" s="1580"/>
      <c r="D66" s="1575"/>
      <c r="E66" s="552"/>
      <c r="F66" s="1576"/>
      <c r="H66" s="1514"/>
      <c r="I66" s="1514"/>
      <c r="J66" s="1580"/>
      <c r="K66" s="552"/>
      <c r="L66" s="552"/>
      <c r="M66" s="552"/>
      <c r="N66" s="552"/>
      <c r="O66" s="552"/>
      <c r="P66" s="1514"/>
      <c r="R66" s="1458"/>
    </row>
    <row r="67" spans="1:19" ht="12.75" customHeight="1">
      <c r="C67" s="1580"/>
      <c r="D67" s="1575"/>
      <c r="E67" s="552"/>
      <c r="F67" s="1576"/>
      <c r="H67" s="1514"/>
      <c r="I67" s="1514"/>
      <c r="J67" s="1580"/>
      <c r="K67" s="552"/>
      <c r="L67" s="552"/>
      <c r="M67" s="552"/>
      <c r="N67" s="552"/>
      <c r="O67" s="552"/>
      <c r="R67" s="551"/>
    </row>
    <row r="68" spans="1:19" ht="12.75" customHeight="1">
      <c r="C68" s="3783"/>
      <c r="D68" s="1575"/>
      <c r="E68" s="552"/>
      <c r="F68" s="1576"/>
      <c r="I68" s="1512"/>
      <c r="J68" s="1512"/>
      <c r="K68" s="1512"/>
      <c r="L68" s="1512"/>
      <c r="M68" s="1512"/>
      <c r="N68" s="1512"/>
      <c r="O68" s="1512"/>
      <c r="R68" s="1512"/>
      <c r="S68" s="1512"/>
    </row>
    <row r="69" spans="1:19" ht="12.75" customHeight="1">
      <c r="C69" s="3848"/>
      <c r="D69" s="1454"/>
      <c r="F69" s="1578"/>
      <c r="I69" s="1512"/>
      <c r="J69" s="1512"/>
      <c r="K69" s="1512"/>
      <c r="L69" s="1512"/>
      <c r="M69" s="1512"/>
      <c r="N69" s="1512"/>
      <c r="O69" s="1512"/>
      <c r="R69" s="1512"/>
      <c r="S69" s="1512"/>
    </row>
    <row r="70" spans="1:19" ht="12.75" customHeight="1">
      <c r="C70" s="1580"/>
      <c r="D70" s="1575"/>
      <c r="E70" s="552"/>
      <c r="F70" s="1576"/>
      <c r="H70" s="1514"/>
      <c r="I70" s="1512"/>
      <c r="J70" s="1512"/>
      <c r="K70" s="1512"/>
      <c r="L70" s="1512"/>
      <c r="M70" s="1512"/>
      <c r="N70" s="1512"/>
      <c r="O70" s="1512"/>
      <c r="R70" s="1512"/>
      <c r="S70" s="1512"/>
    </row>
    <row r="71" spans="1:19" ht="12.75" customHeight="1">
      <c r="C71" s="1580"/>
      <c r="D71" s="1575"/>
      <c r="E71" s="552"/>
      <c r="F71" s="1576"/>
      <c r="H71" s="1514"/>
      <c r="I71" s="1512"/>
      <c r="J71" s="1512"/>
      <c r="K71" s="1512"/>
      <c r="L71" s="1512"/>
      <c r="M71" s="1512"/>
      <c r="N71" s="1512"/>
      <c r="O71" s="1512"/>
      <c r="R71" s="1512"/>
      <c r="S71" s="1512"/>
    </row>
    <row r="72" spans="1:19" ht="12.75" customHeight="1">
      <c r="C72" s="1580"/>
      <c r="D72" s="1454"/>
      <c r="F72" s="1576"/>
      <c r="H72" s="1514"/>
      <c r="I72" s="1512"/>
      <c r="J72" s="1512"/>
      <c r="K72" s="1512"/>
      <c r="L72" s="1512"/>
      <c r="M72" s="1512"/>
      <c r="N72" s="1512"/>
      <c r="O72" s="1512"/>
      <c r="R72" s="1512"/>
    </row>
    <row r="73" spans="1:19" ht="12.75" customHeight="1">
      <c r="C73" s="1580"/>
      <c r="D73" s="1575"/>
      <c r="E73" s="552"/>
      <c r="F73" s="1576"/>
      <c r="H73" s="1514"/>
      <c r="I73" s="1512"/>
      <c r="J73" s="1512"/>
      <c r="K73" s="1512"/>
      <c r="L73" s="1512"/>
      <c r="M73" s="1512"/>
      <c r="N73" s="1512"/>
      <c r="O73" s="1512"/>
      <c r="R73" s="1512"/>
      <c r="S73" s="1512"/>
    </row>
    <row r="74" spans="1:19" ht="12.75" customHeight="1">
      <c r="H74" s="1514"/>
      <c r="L74" s="537"/>
      <c r="M74" s="537"/>
      <c r="N74" s="537"/>
      <c r="O74" s="537"/>
      <c r="R74" s="1512"/>
      <c r="S74" s="1512"/>
    </row>
    <row r="75" spans="1:19" ht="12.75" customHeight="1">
      <c r="A75" s="1453"/>
      <c r="H75" s="1514"/>
      <c r="L75" s="537"/>
      <c r="M75" s="537"/>
      <c r="N75" s="537"/>
      <c r="O75" s="537"/>
      <c r="R75" s="1512"/>
      <c r="S75" s="1512"/>
    </row>
    <row r="76" spans="1:19" ht="12.75" customHeight="1">
      <c r="A76" s="1453"/>
      <c r="H76" s="1514"/>
      <c r="M76" s="1514"/>
      <c r="N76" s="1514"/>
      <c r="R76" s="1512"/>
      <c r="S76" s="1512"/>
    </row>
    <row r="77" spans="1:19" ht="12.75" customHeight="1">
      <c r="A77" s="1453"/>
      <c r="H77" s="1514"/>
      <c r="I77" s="539"/>
      <c r="M77" s="553"/>
      <c r="N77" s="554"/>
      <c r="R77" s="1512"/>
      <c r="S77" s="1512"/>
    </row>
    <row r="78" spans="1:19" ht="12.75" customHeight="1">
      <c r="A78" s="1453"/>
      <c r="H78" s="1514"/>
      <c r="I78" s="539"/>
      <c r="M78" s="553"/>
      <c r="N78" s="554"/>
      <c r="P78" s="554"/>
      <c r="R78" s="1512"/>
      <c r="S78" s="558"/>
    </row>
    <row r="79" spans="1:19" ht="12.75" customHeight="1">
      <c r="A79" s="1453"/>
      <c r="H79" s="1514"/>
      <c r="I79" s="1514"/>
      <c r="M79" s="553"/>
      <c r="N79" s="554"/>
      <c r="P79" s="542"/>
      <c r="R79" s="558"/>
      <c r="S79" s="558"/>
    </row>
    <row r="80" spans="1:19" ht="12.75" customHeight="1">
      <c r="A80" s="1453"/>
      <c r="H80" s="1514"/>
      <c r="I80" s="1514"/>
      <c r="M80" s="553"/>
      <c r="N80" s="554"/>
      <c r="P80" s="542"/>
      <c r="R80" s="558"/>
      <c r="S80" s="1512"/>
    </row>
    <row r="81" spans="1:18" ht="12.75" customHeight="1">
      <c r="A81" s="1453"/>
      <c r="H81" s="3470"/>
      <c r="I81" s="1514"/>
      <c r="M81" s="553"/>
      <c r="N81" s="554"/>
      <c r="P81" s="542"/>
      <c r="R81" s="558"/>
    </row>
    <row r="82" spans="1:18" ht="12.75" customHeight="1">
      <c r="A82" s="1453"/>
      <c r="H82" s="1578"/>
      <c r="I82" s="1514"/>
      <c r="M82" s="553"/>
      <c r="N82" s="554"/>
      <c r="P82" s="542"/>
      <c r="R82" s="558"/>
    </row>
    <row r="83" spans="1:18" ht="12.75" customHeight="1">
      <c r="A83" s="1453"/>
      <c r="H83" s="1578"/>
      <c r="I83" s="1514"/>
      <c r="M83" s="553"/>
      <c r="N83" s="554"/>
      <c r="P83" s="542"/>
      <c r="R83" s="558"/>
    </row>
    <row r="84" spans="1:18" ht="12.75" customHeight="1">
      <c r="A84" s="1453"/>
      <c r="H84" s="1578"/>
      <c r="I84" s="1514"/>
      <c r="M84" s="553"/>
      <c r="N84" s="554"/>
      <c r="P84" s="542"/>
      <c r="R84" s="1512"/>
    </row>
    <row r="85" spans="1:18" ht="12.75" customHeight="1">
      <c r="A85" s="1453"/>
      <c r="H85" s="1578"/>
      <c r="I85" s="1514"/>
      <c r="M85" s="553"/>
      <c r="N85" s="554"/>
      <c r="P85" s="542"/>
      <c r="R85" s="1512"/>
    </row>
    <row r="86" spans="1:18" ht="12.6" customHeight="1">
      <c r="A86" s="1453"/>
      <c r="H86" s="1578"/>
      <c r="I86" s="1514"/>
      <c r="M86" s="553"/>
      <c r="N86" s="554"/>
      <c r="P86" s="542"/>
      <c r="R86" s="1512"/>
    </row>
    <row r="87" spans="1:18" ht="12.75" customHeight="1">
      <c r="A87" s="1453"/>
      <c r="C87" s="2056"/>
      <c r="D87" s="1454"/>
      <c r="F87" s="1454"/>
      <c r="G87" s="1454"/>
      <c r="H87" s="1578"/>
      <c r="I87" s="539"/>
      <c r="M87" s="553"/>
      <c r="N87" s="554"/>
      <c r="P87" s="542"/>
    </row>
    <row r="88" spans="1:18" ht="12.75" customHeight="1">
      <c r="A88" s="1453"/>
      <c r="C88" s="2056"/>
      <c r="D88" s="1454"/>
      <c r="F88" s="1454"/>
      <c r="G88" s="1454"/>
      <c r="H88" s="1578"/>
      <c r="I88" s="539"/>
      <c r="M88" s="553"/>
      <c r="N88" s="554"/>
      <c r="P88" s="542"/>
    </row>
    <row r="89" spans="1:18" ht="12.6" customHeight="1">
      <c r="I89" s="539"/>
      <c r="M89" s="553"/>
      <c r="N89" s="554"/>
      <c r="P89" s="542"/>
    </row>
    <row r="90" spans="1:18">
      <c r="B90" s="3819"/>
      <c r="C90" s="3628"/>
      <c r="D90" s="1454"/>
      <c r="E90" s="1514"/>
      <c r="F90" s="1514"/>
      <c r="G90" s="1514"/>
      <c r="I90" s="539"/>
      <c r="J90" s="539"/>
      <c r="K90" s="1512"/>
      <c r="L90" s="548"/>
      <c r="M90" s="555"/>
      <c r="N90" s="555"/>
      <c r="Q90" s="1512"/>
    </row>
    <row r="91" spans="1:18">
      <c r="B91" s="3819"/>
      <c r="E91" s="1514"/>
      <c r="F91" s="1514"/>
      <c r="G91" s="1514"/>
      <c r="I91" s="539"/>
      <c r="J91" s="539"/>
      <c r="K91" s="1512"/>
      <c r="L91" s="548"/>
      <c r="M91" s="555"/>
      <c r="N91" s="555"/>
      <c r="P91" s="542"/>
      <c r="Q91" s="1512"/>
    </row>
    <row r="92" spans="1:18">
      <c r="A92" s="547"/>
      <c r="B92" s="3819"/>
      <c r="E92" s="1514"/>
      <c r="F92" s="1514"/>
      <c r="G92" s="1514"/>
      <c r="I92" s="539"/>
      <c r="J92" s="539"/>
      <c r="K92" s="1512"/>
      <c r="L92" s="548"/>
      <c r="M92" s="555"/>
      <c r="N92" s="555"/>
      <c r="P92" s="542"/>
      <c r="Q92" s="1512"/>
    </row>
    <row r="93" spans="1:18">
      <c r="A93" s="1514"/>
      <c r="B93" s="1514"/>
      <c r="C93" s="1514"/>
      <c r="D93" s="1514"/>
      <c r="E93" s="1514"/>
      <c r="F93" s="1514"/>
      <c r="G93" s="1514"/>
      <c r="I93" s="539"/>
      <c r="J93" s="539"/>
      <c r="K93" s="1512"/>
      <c r="L93" s="548"/>
      <c r="M93" s="555"/>
      <c r="N93" s="555"/>
      <c r="P93" s="542"/>
      <c r="Q93" s="1512"/>
    </row>
    <row r="94" spans="1:18">
      <c r="A94" s="1514"/>
      <c r="B94" s="1514"/>
      <c r="C94" s="1514"/>
      <c r="D94" s="1514"/>
      <c r="E94" s="1514"/>
      <c r="F94" s="1514"/>
      <c r="G94" s="1514"/>
      <c r="J94" s="1456"/>
      <c r="K94" s="1512"/>
      <c r="L94" s="548"/>
      <c r="M94" s="555"/>
      <c r="N94" s="555"/>
      <c r="P94" s="542"/>
      <c r="Q94" s="1512"/>
    </row>
    <row r="95" spans="1:18">
      <c r="A95" s="1514"/>
      <c r="B95" s="1514"/>
      <c r="C95" s="1514"/>
      <c r="D95" s="1514"/>
      <c r="E95" s="1514"/>
      <c r="F95" s="1514"/>
      <c r="G95" s="1514"/>
      <c r="J95" s="1456"/>
      <c r="K95" s="1512"/>
      <c r="L95" s="548"/>
      <c r="M95" s="555"/>
      <c r="N95" s="555"/>
      <c r="P95" s="1512"/>
      <c r="Q95" s="1512"/>
    </row>
    <row r="96" spans="1:18">
      <c r="A96" s="1514"/>
      <c r="B96" s="1514"/>
      <c r="C96" s="1514"/>
      <c r="D96" s="1514"/>
      <c r="E96" s="1514"/>
      <c r="F96" s="1514"/>
      <c r="G96" s="1514"/>
      <c r="H96" s="557"/>
      <c r="P96" s="1512"/>
      <c r="Q96" s="1512"/>
    </row>
    <row r="97" spans="1:17">
      <c r="A97" s="1514"/>
      <c r="B97" s="1514"/>
      <c r="C97" s="1514"/>
      <c r="D97" s="1514"/>
      <c r="E97" s="1514"/>
      <c r="F97" s="1514"/>
      <c r="G97" s="1514"/>
      <c r="H97" s="557"/>
      <c r="P97" s="1512"/>
      <c r="Q97" s="1512"/>
    </row>
    <row r="98" spans="1:17">
      <c r="A98" s="1514"/>
      <c r="B98" s="1514"/>
      <c r="C98" s="1514"/>
      <c r="D98" s="1514"/>
      <c r="E98" s="1514"/>
      <c r="F98" s="1514"/>
      <c r="G98" s="1514"/>
      <c r="H98" s="557"/>
      <c r="P98" s="1512"/>
      <c r="Q98" s="1512"/>
    </row>
    <row r="99" spans="1:17">
      <c r="A99" s="1514"/>
      <c r="B99" s="1514"/>
      <c r="C99" s="1514"/>
      <c r="D99" s="1514"/>
      <c r="E99" s="1514"/>
      <c r="F99" s="1514"/>
      <c r="G99" s="1514"/>
      <c r="H99" s="557"/>
      <c r="P99" s="1512"/>
      <c r="Q99" s="1512"/>
    </row>
    <row r="100" spans="1:17">
      <c r="A100" s="1514"/>
      <c r="B100" s="1514"/>
      <c r="C100" s="1514"/>
      <c r="D100" s="1514"/>
      <c r="E100" s="1514"/>
      <c r="F100" s="1514"/>
      <c r="G100" s="1514"/>
      <c r="I100" s="542"/>
      <c r="J100" s="539"/>
      <c r="K100" s="1512"/>
      <c r="L100" s="1512"/>
      <c r="M100" s="1512"/>
      <c r="N100" s="1512"/>
      <c r="O100" s="1512"/>
      <c r="P100" s="1512"/>
      <c r="Q100" s="1512"/>
    </row>
    <row r="101" spans="1:17">
      <c r="A101" s="1514"/>
      <c r="B101" s="1514"/>
      <c r="C101" s="1514"/>
      <c r="D101" s="1514"/>
      <c r="E101" s="1514"/>
      <c r="F101" s="1514"/>
      <c r="G101" s="1514"/>
      <c r="I101" s="542"/>
      <c r="J101" s="539"/>
      <c r="K101" s="1512"/>
      <c r="L101" s="1512"/>
      <c r="M101" s="1512"/>
      <c r="N101" s="1512"/>
      <c r="O101" s="1512"/>
      <c r="P101" s="1512"/>
      <c r="Q101" s="1512"/>
    </row>
    <row r="102" spans="1:17">
      <c r="A102" s="1514"/>
      <c r="B102" s="1514"/>
      <c r="C102" s="1514"/>
      <c r="D102" s="1514"/>
      <c r="E102" s="1514"/>
      <c r="F102" s="1514"/>
      <c r="I102" s="542"/>
      <c r="J102" s="539"/>
      <c r="K102" s="1512"/>
      <c r="L102" s="1512"/>
      <c r="M102" s="1512"/>
      <c r="N102" s="1512"/>
      <c r="O102" s="1512"/>
      <c r="P102" s="1512"/>
      <c r="Q102" s="1512"/>
    </row>
    <row r="103" spans="1:17">
      <c r="A103" s="1514"/>
      <c r="I103" s="542"/>
      <c r="J103" s="539"/>
      <c r="K103" s="1512"/>
      <c r="L103" s="1512"/>
      <c r="M103" s="1512"/>
      <c r="N103" s="1512"/>
      <c r="O103" s="1512"/>
      <c r="Q103" s="1512"/>
    </row>
    <row r="104" spans="1:17">
      <c r="A104" s="1514"/>
      <c r="I104" s="542"/>
      <c r="J104" s="539"/>
      <c r="K104" s="1512"/>
      <c r="L104" s="1512"/>
      <c r="M104" s="1512"/>
      <c r="N104" s="1512"/>
      <c r="O104" s="1512"/>
      <c r="P104" s="1512"/>
      <c r="Q104" s="1512"/>
    </row>
    <row r="105" spans="1:17">
      <c r="A105" s="1514"/>
      <c r="G105" s="1514"/>
      <c r="I105" s="542"/>
      <c r="J105" s="539"/>
      <c r="K105" s="1512"/>
      <c r="L105" s="1512"/>
      <c r="M105" s="1512"/>
      <c r="N105" s="1512"/>
      <c r="O105" s="1512"/>
      <c r="P105" s="556"/>
      <c r="Q105" s="1512"/>
    </row>
    <row r="106" spans="1:17">
      <c r="B106" s="1514"/>
      <c r="C106" s="1514"/>
      <c r="D106" s="1514"/>
      <c r="E106" s="1514"/>
      <c r="F106" s="1514"/>
      <c r="G106" s="1514"/>
      <c r="I106" s="1514"/>
      <c r="J106" s="539"/>
      <c r="K106" s="1512"/>
      <c r="L106" s="1512"/>
      <c r="M106" s="1512"/>
      <c r="N106" s="1512"/>
      <c r="O106" s="1512"/>
      <c r="P106" s="1512"/>
      <c r="Q106" s="1512"/>
    </row>
    <row r="107" spans="1:17">
      <c r="B107" s="1514"/>
      <c r="C107" s="1514"/>
      <c r="D107" s="1514"/>
      <c r="E107" s="1514"/>
      <c r="F107" s="1514"/>
      <c r="G107" s="1514"/>
      <c r="I107" s="1512"/>
      <c r="J107" s="539"/>
      <c r="K107" s="1512"/>
      <c r="L107" s="1512"/>
      <c r="M107" s="1512"/>
      <c r="N107" s="1512"/>
      <c r="O107" s="1512"/>
      <c r="P107" s="559"/>
      <c r="Q107" s="1512"/>
    </row>
    <row r="108" spans="1:17">
      <c r="A108" s="1514"/>
      <c r="B108" s="1514"/>
      <c r="C108" s="1514"/>
      <c r="D108" s="1514"/>
      <c r="E108" s="1514"/>
      <c r="F108" s="1514"/>
      <c r="G108" s="1514"/>
      <c r="I108" s="539"/>
      <c r="J108" s="539"/>
      <c r="K108" s="1512"/>
      <c r="L108" s="1512"/>
      <c r="M108" s="1512"/>
      <c r="N108" s="1512"/>
      <c r="O108" s="1512"/>
      <c r="P108" s="1512"/>
      <c r="Q108" s="1512"/>
    </row>
    <row r="109" spans="1:17">
      <c r="A109" s="1514"/>
      <c r="B109" s="1514"/>
      <c r="C109" s="1514"/>
      <c r="D109" s="1514"/>
      <c r="E109" s="1514"/>
      <c r="F109" s="1514"/>
      <c r="G109" s="1514"/>
      <c r="I109" s="539"/>
      <c r="J109" s="539"/>
      <c r="K109" s="1512"/>
      <c r="L109" s="1512"/>
      <c r="M109" s="1512"/>
      <c r="N109" s="1512"/>
      <c r="O109" s="1512"/>
      <c r="P109" s="1512"/>
      <c r="Q109" s="1512"/>
    </row>
    <row r="110" spans="1:17">
      <c r="A110" s="1514"/>
      <c r="B110" s="1514"/>
      <c r="C110" s="1514"/>
      <c r="D110" s="1514"/>
      <c r="E110" s="1514"/>
      <c r="F110" s="1514"/>
      <c r="G110" s="1514"/>
      <c r="I110" s="539"/>
      <c r="J110" s="539"/>
      <c r="K110" s="1512"/>
      <c r="L110" s="1512"/>
      <c r="M110" s="1512"/>
      <c r="N110" s="1512"/>
      <c r="O110" s="1512"/>
      <c r="P110" s="1512"/>
    </row>
    <row r="111" spans="1:17">
      <c r="A111" s="1514"/>
      <c r="B111" s="1514"/>
      <c r="C111" s="1514"/>
      <c r="D111" s="1514"/>
      <c r="E111" s="1514"/>
      <c r="F111" s="1514"/>
      <c r="G111" s="1514"/>
      <c r="I111" s="539"/>
      <c r="J111" s="539"/>
      <c r="K111" s="1512"/>
      <c r="L111" s="1512"/>
      <c r="M111" s="1512"/>
      <c r="N111" s="1512"/>
      <c r="O111" s="1512"/>
      <c r="P111" s="1512"/>
      <c r="Q111" s="1512"/>
    </row>
    <row r="112" spans="1:17">
      <c r="A112" s="1514"/>
      <c r="B112" s="1514"/>
      <c r="C112" s="1514"/>
      <c r="D112" s="1514"/>
      <c r="E112" s="1514"/>
      <c r="F112" s="1514"/>
      <c r="G112" s="1514"/>
      <c r="I112" s="539"/>
      <c r="J112" s="539"/>
      <c r="K112" s="1512"/>
      <c r="L112" s="1512"/>
      <c r="M112" s="1512"/>
      <c r="N112" s="1512"/>
      <c r="P112" s="1512"/>
      <c r="Q112" s="556"/>
    </row>
    <row r="113" spans="1:17">
      <c r="A113" s="1514"/>
      <c r="B113" s="1514"/>
      <c r="C113" s="1514"/>
      <c r="D113" s="1514"/>
      <c r="E113" s="1514"/>
      <c r="F113" s="1514"/>
      <c r="G113" s="1514"/>
      <c r="I113" s="539"/>
      <c r="J113" s="539"/>
      <c r="K113" s="1512"/>
      <c r="L113" s="1512"/>
      <c r="M113" s="1512"/>
      <c r="N113" s="1512"/>
      <c r="O113" s="1512"/>
      <c r="P113" s="1512"/>
      <c r="Q113" s="1512"/>
    </row>
    <row r="114" spans="1:17">
      <c r="A114" s="1514"/>
      <c r="B114" s="1514"/>
      <c r="C114" s="1514"/>
      <c r="D114" s="1514"/>
      <c r="E114" s="1514"/>
      <c r="F114" s="1514"/>
      <c r="G114" s="1514"/>
      <c r="I114" s="539"/>
      <c r="J114" s="539"/>
      <c r="K114" s="1512"/>
      <c r="L114" s="1512"/>
      <c r="M114" s="1512"/>
      <c r="N114" s="1512"/>
      <c r="O114" s="1512"/>
      <c r="P114" s="558"/>
      <c r="Q114" s="1512"/>
    </row>
    <row r="115" spans="1:17">
      <c r="A115" s="1514"/>
      <c r="B115" s="1514"/>
      <c r="C115" s="1514"/>
      <c r="D115" s="1514"/>
      <c r="E115" s="1514"/>
      <c r="F115" s="1514"/>
      <c r="G115" s="1514"/>
      <c r="I115" s="539"/>
      <c r="J115" s="539"/>
      <c r="K115" s="1512"/>
      <c r="L115" s="560"/>
      <c r="O115" s="1512"/>
      <c r="Q115" s="1512"/>
    </row>
    <row r="116" spans="1:17">
      <c r="A116" s="1514"/>
      <c r="B116" s="1514"/>
      <c r="C116" s="1514"/>
      <c r="D116" s="1514"/>
      <c r="E116" s="1514"/>
      <c r="F116" s="1514"/>
      <c r="G116" s="1514"/>
      <c r="I116" s="539"/>
      <c r="J116" s="539"/>
      <c r="K116" s="1512"/>
      <c r="L116" s="560"/>
      <c r="M116" s="1512"/>
      <c r="N116" s="548"/>
      <c r="O116" s="1512"/>
    </row>
    <row r="117" spans="1:17">
      <c r="A117" s="1514"/>
      <c r="B117" s="1514"/>
      <c r="C117" s="1514"/>
      <c r="D117" s="1514"/>
      <c r="E117" s="1514"/>
      <c r="F117" s="1514"/>
      <c r="G117" s="1514"/>
      <c r="I117" s="1512"/>
      <c r="J117" s="1512"/>
      <c r="K117" s="560"/>
      <c r="L117" s="1514"/>
      <c r="M117" s="1514"/>
      <c r="N117" s="1514"/>
    </row>
    <row r="118" spans="1:17">
      <c r="A118" s="1514"/>
      <c r="B118" s="1514"/>
      <c r="C118" s="1514"/>
      <c r="D118" s="1514"/>
      <c r="E118" s="1514"/>
      <c r="F118" s="1514"/>
      <c r="I118" s="1512"/>
      <c r="J118" s="1512"/>
      <c r="K118" s="561"/>
      <c r="L118" s="1514"/>
      <c r="M118" s="1514"/>
      <c r="N118" s="1514"/>
    </row>
    <row r="119" spans="1:17">
      <c r="A119" s="1514"/>
      <c r="I119" s="1512"/>
      <c r="J119" s="1512"/>
      <c r="K119" s="1512"/>
      <c r="L119" s="1514"/>
      <c r="M119" s="1514"/>
      <c r="N119" s="1514"/>
    </row>
    <row r="120" spans="1:17">
      <c r="A120" s="1514"/>
      <c r="I120" s="1512"/>
      <c r="J120" s="1512"/>
      <c r="K120" s="1512"/>
      <c r="L120" s="1514"/>
      <c r="M120" s="1514"/>
      <c r="N120" s="1514"/>
    </row>
    <row r="121" spans="1:17">
      <c r="A121" s="1514"/>
      <c r="G121" s="1514"/>
      <c r="I121" s="1512"/>
      <c r="J121" s="1512"/>
      <c r="L121" s="1514"/>
      <c r="M121" s="1514"/>
      <c r="N121" s="1514"/>
    </row>
    <row r="122" spans="1:17">
      <c r="B122" s="1514"/>
      <c r="C122" s="1514"/>
      <c r="D122" s="1514"/>
      <c r="E122" s="1514"/>
      <c r="F122" s="1514"/>
      <c r="G122" s="1514"/>
    </row>
    <row r="123" spans="1:17">
      <c r="B123" s="1514"/>
      <c r="C123" s="1514"/>
      <c r="D123" s="1514"/>
      <c r="E123" s="1514"/>
      <c r="F123" s="1514"/>
      <c r="G123" s="1514"/>
    </row>
    <row r="124" spans="1:17">
      <c r="B124" s="1514"/>
      <c r="C124" s="1514"/>
      <c r="D124" s="1514"/>
      <c r="E124" s="1514"/>
      <c r="F124" s="1514"/>
      <c r="G124" s="1514"/>
    </row>
    <row r="125" spans="1:17">
      <c r="A125" s="1514"/>
      <c r="B125" s="1514"/>
      <c r="C125" s="1514"/>
      <c r="D125" s="1514"/>
      <c r="E125" s="1514"/>
      <c r="F125" s="1514"/>
      <c r="J125" s="1514"/>
      <c r="K125" s="1514"/>
      <c r="L125" s="1514"/>
      <c r="M125" s="1514"/>
      <c r="N125" s="1514"/>
    </row>
    <row r="126" spans="1:17">
      <c r="A126" s="1514"/>
      <c r="J126" s="1514"/>
      <c r="K126" s="1514"/>
      <c r="L126" s="1514"/>
      <c r="M126" s="1514"/>
      <c r="N126" s="1514"/>
    </row>
    <row r="127" spans="1:17">
      <c r="A127" s="1514"/>
      <c r="I127" s="1514"/>
      <c r="J127" s="1514"/>
      <c r="K127" s="1514"/>
      <c r="L127" s="1514"/>
      <c r="M127" s="1514"/>
      <c r="N127" s="1514"/>
    </row>
    <row r="128" spans="1:17">
      <c r="A128" s="1514"/>
      <c r="I128" s="1514"/>
      <c r="J128" s="1514"/>
      <c r="K128" s="1514"/>
      <c r="L128" s="1514"/>
      <c r="M128" s="1514"/>
      <c r="N128" s="1514"/>
    </row>
  </sheetData>
  <pageMargins left="0.6" right="0.25" top="0.6" bottom="0" header="0.5" footer="0.25"/>
  <pageSetup scale="67" firstPageNumber="4" orientation="landscape" useFirstPageNumber="1" r:id="rId1"/>
  <headerFooter scaleWithDoc="0" alignWithMargins="0">
    <oddFooter>&amp;C&amp;8&amp;P</oddFooter>
  </headerFooter>
  <rowBreaks count="1" manualBreakCount="1">
    <brk id="61" max="14" man="1"/>
  </rowBreaks>
  <ignoredErrors>
    <ignoredError sqref="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P61"/>
  <sheetViews>
    <sheetView showGridLines="0" zoomScale="90" zoomScaleNormal="85" workbookViewId="0">
      <selection activeCell="B1" sqref="B1"/>
    </sheetView>
  </sheetViews>
  <sheetFormatPr defaultColWidth="8.6640625" defaultRowHeight="15"/>
  <cols>
    <col min="1" max="1" width="1.6640625" style="1204" customWidth="1"/>
    <col min="2" max="2" width="48" style="1204" customWidth="1"/>
    <col min="3" max="3" width="4.5546875" style="1205" customWidth="1"/>
    <col min="4" max="4" width="20.6640625" style="1206" customWidth="1"/>
    <col min="5" max="5" width="1.6640625" style="1205" customWidth="1"/>
    <col min="6" max="6" width="20.6640625" style="1206" customWidth="1"/>
    <col min="7" max="7" width="1.6640625" style="1246" customWidth="1"/>
    <col min="8" max="8" width="1.6640625" style="1247" customWidth="1"/>
    <col min="9" max="9" width="19" style="1206" customWidth="1"/>
    <col min="10" max="11" width="8.6640625" style="1205"/>
    <col min="12" max="12" width="1.6640625" style="1205" customWidth="1"/>
    <col min="13" max="16384" width="8.6640625" style="1204"/>
  </cols>
  <sheetData>
    <row r="1" spans="1:37">
      <c r="B1" s="625" t="s">
        <v>870</v>
      </c>
    </row>
    <row r="3" spans="1:37" ht="18">
      <c r="I3" s="1331" t="s">
        <v>496</v>
      </c>
    </row>
    <row r="4" spans="1:37" s="1209" customFormat="1" ht="18.75" customHeight="1">
      <c r="A4" s="1207"/>
      <c r="B4" s="1906" t="s">
        <v>482</v>
      </c>
      <c r="C4" s="1332"/>
      <c r="D4" s="1332"/>
      <c r="E4" s="1332"/>
      <c r="F4" s="1332"/>
      <c r="G4" s="1249"/>
      <c r="H4" s="1327"/>
      <c r="I4" s="1332"/>
      <c r="J4" s="1208"/>
      <c r="K4" s="1208"/>
      <c r="L4" s="1208"/>
    </row>
    <row r="5" spans="1:37" s="1209" customFormat="1" ht="18.75" customHeight="1">
      <c r="A5" s="1207"/>
      <c r="B5" s="1906" t="s">
        <v>889</v>
      </c>
      <c r="C5" s="1210"/>
      <c r="D5" s="1210"/>
      <c r="E5" s="1210"/>
      <c r="F5" s="1210"/>
      <c r="G5" s="1903"/>
      <c r="H5" s="1326"/>
      <c r="I5" s="1227"/>
      <c r="J5" s="1208"/>
      <c r="K5" s="1208"/>
      <c r="L5" s="1208"/>
    </row>
    <row r="6" spans="1:37" s="1209" customFormat="1" ht="18.75" customHeight="1">
      <c r="A6" s="1207"/>
      <c r="B6" s="1906" t="str">
        <f>'Public Goods '!A6</f>
        <v xml:space="preserve">FISCAL YEAR 2022-2023   </v>
      </c>
      <c r="C6" s="1907"/>
      <c r="D6" s="1907"/>
      <c r="E6" s="1907"/>
      <c r="F6" s="1907"/>
      <c r="G6" s="1904"/>
      <c r="H6" s="1326"/>
      <c r="I6" s="1332"/>
      <c r="J6" s="1208"/>
      <c r="K6" s="1208"/>
      <c r="L6" s="1208"/>
    </row>
    <row r="7" spans="1:37" s="1209" customFormat="1" ht="18" customHeight="1">
      <c r="A7" s="1207"/>
      <c r="B7" s="1908"/>
      <c r="C7" s="1909"/>
      <c r="D7" s="1909"/>
      <c r="E7" s="1909"/>
      <c r="F7" s="1909"/>
      <c r="G7" s="1905"/>
      <c r="H7" s="1328"/>
      <c r="I7" s="1333"/>
      <c r="J7" s="1211"/>
      <c r="K7" s="1208"/>
      <c r="L7" s="1208"/>
    </row>
    <row r="8" spans="1:37" s="1209" customFormat="1" ht="18" customHeight="1">
      <c r="A8" s="1207"/>
      <c r="B8" s="1908"/>
      <c r="C8" s="1212"/>
      <c r="D8" s="1212"/>
      <c r="E8" s="1212"/>
      <c r="F8" s="1212"/>
      <c r="G8" s="1253"/>
      <c r="H8" s="1329"/>
      <c r="I8" s="1212"/>
      <c r="J8" s="1211"/>
      <c r="K8" s="1208"/>
      <c r="L8" s="1208"/>
    </row>
    <row r="9" spans="1:37" s="1217" customFormat="1" ht="15.75">
      <c r="A9" s="1213"/>
      <c r="B9" s="1213"/>
      <c r="C9" s="1214"/>
      <c r="D9" s="1588">
        <v>2022</v>
      </c>
      <c r="E9" s="1214"/>
      <c r="F9" s="1588">
        <v>2022</v>
      </c>
      <c r="G9" s="1588"/>
      <c r="H9" s="1256"/>
      <c r="I9" s="1215"/>
      <c r="J9" s="1216"/>
      <c r="K9" s="1216"/>
      <c r="L9" s="1216"/>
    </row>
    <row r="10" spans="1:37" ht="15.75">
      <c r="A10" s="1218"/>
      <c r="B10" s="1218"/>
      <c r="C10" s="1219"/>
      <c r="D10" s="1913" t="s">
        <v>122</v>
      </c>
      <c r="E10" s="1219"/>
      <c r="F10" s="1913" t="s">
        <v>123</v>
      </c>
      <c r="G10" s="1254"/>
      <c r="H10" s="1250"/>
      <c r="I10" s="1220" t="str">
        <f>'Public Goods '!I10</f>
        <v>2022-2023</v>
      </c>
    </row>
    <row r="11" spans="1:37">
      <c r="A11" s="1218"/>
      <c r="B11" s="1218"/>
      <c r="C11" s="1219"/>
      <c r="D11" s="1219"/>
      <c r="E11" s="1219"/>
      <c r="F11" s="1219"/>
      <c r="G11" s="1250"/>
      <c r="H11" s="1250"/>
      <c r="I11" s="1838"/>
    </row>
    <row r="12" spans="1:37" s="1217" customFormat="1" ht="15.75">
      <c r="A12" s="1222"/>
      <c r="B12" s="1222" t="s">
        <v>460</v>
      </c>
      <c r="C12" s="1214"/>
      <c r="D12" s="1223">
        <v>66207.899999999994</v>
      </c>
      <c r="E12" s="1214"/>
      <c r="F12" s="1223">
        <f>D48</f>
        <v>13.91</v>
      </c>
      <c r="G12" s="1262"/>
      <c r="H12" s="1263"/>
      <c r="I12" s="1224">
        <f>D12</f>
        <v>66207.899999999994</v>
      </c>
      <c r="J12" s="1216"/>
      <c r="K12" s="1216"/>
      <c r="L12" s="1216"/>
      <c r="M12" s="1225"/>
      <c r="N12" s="1225"/>
      <c r="O12" s="1225"/>
      <c r="P12" s="1225"/>
      <c r="Q12" s="1225"/>
      <c r="R12" s="1225"/>
      <c r="S12" s="1225"/>
      <c r="T12" s="1225"/>
      <c r="U12" s="1225"/>
      <c r="V12" s="1225"/>
      <c r="W12" s="1225"/>
      <c r="X12" s="1226"/>
      <c r="Y12" s="1226"/>
      <c r="Z12" s="1226"/>
      <c r="AA12" s="1226"/>
      <c r="AB12" s="1226"/>
      <c r="AC12" s="1226"/>
      <c r="AD12" s="1226"/>
      <c r="AE12" s="1226"/>
      <c r="AF12" s="1226"/>
      <c r="AG12" s="1226"/>
      <c r="AH12" s="1226"/>
      <c r="AI12" s="1226"/>
      <c r="AJ12" s="1226"/>
      <c r="AK12" s="1226"/>
    </row>
    <row r="13" spans="1:37" s="1217" customFormat="1" ht="15.75">
      <c r="A13" s="1222"/>
      <c r="B13" s="1222"/>
      <c r="C13" s="1214"/>
      <c r="D13" s="1223"/>
      <c r="E13" s="1214"/>
      <c r="F13" s="1223"/>
      <c r="G13" s="1260"/>
      <c r="H13" s="1264"/>
      <c r="I13" s="1224"/>
      <c r="J13" s="1216"/>
      <c r="K13" s="1216"/>
      <c r="L13" s="1216"/>
      <c r="M13" s="1225"/>
      <c r="N13" s="1225"/>
      <c r="O13" s="1225"/>
      <c r="P13" s="1225"/>
      <c r="Q13" s="1225"/>
      <c r="R13" s="1225"/>
      <c r="S13" s="1225"/>
      <c r="T13" s="1225"/>
      <c r="U13" s="1225"/>
      <c r="V13" s="1225"/>
      <c r="W13" s="1225"/>
      <c r="X13" s="1226"/>
      <c r="Y13" s="1226"/>
      <c r="Z13" s="1226"/>
      <c r="AA13" s="1226"/>
      <c r="AB13" s="1226"/>
      <c r="AC13" s="1226"/>
      <c r="AD13" s="1226"/>
      <c r="AE13" s="1226"/>
      <c r="AF13" s="1226"/>
      <c r="AG13" s="1226"/>
      <c r="AH13" s="1226"/>
      <c r="AI13" s="1226"/>
      <c r="AJ13" s="1226"/>
      <c r="AK13" s="1226"/>
    </row>
    <row r="14" spans="1:37" ht="15.75">
      <c r="A14" s="1218"/>
      <c r="B14" s="1222" t="s">
        <v>13</v>
      </c>
      <c r="C14" s="1219"/>
      <c r="D14" s="1219"/>
      <c r="E14" s="1219"/>
      <c r="F14" s="1219"/>
      <c r="G14" s="1265"/>
      <c r="H14" s="1266"/>
      <c r="I14" s="1221"/>
    </row>
    <row r="15" spans="1:37">
      <c r="A15" s="1218"/>
      <c r="B15" s="1227" t="s">
        <v>502</v>
      </c>
      <c r="C15" s="1219"/>
      <c r="D15" s="1228">
        <v>13.91</v>
      </c>
      <c r="E15" s="1219"/>
      <c r="F15" s="1228">
        <v>1068.06</v>
      </c>
      <c r="G15" s="1234"/>
      <c r="H15" s="1266"/>
      <c r="I15" s="1229">
        <f>ROUND(SUM(D15:G15),2)</f>
        <v>1081.97</v>
      </c>
    </row>
    <row r="16" spans="1:37" s="1217" customFormat="1" ht="15.75">
      <c r="A16" s="1222"/>
      <c r="B16" s="1222" t="s">
        <v>147</v>
      </c>
      <c r="C16" s="1214"/>
      <c r="D16" s="1839">
        <f>ROUND(SUM(D15:D15),2)</f>
        <v>13.91</v>
      </c>
      <c r="E16" s="1214"/>
      <c r="F16" s="1839">
        <f>ROUND(SUM(F15:F15),2)</f>
        <v>1068.06</v>
      </c>
      <c r="G16" s="1234"/>
      <c r="H16" s="1266"/>
      <c r="I16" s="1839">
        <f>ROUND(SUM(I15:I15),2)</f>
        <v>1081.97</v>
      </c>
      <c r="J16" s="1216"/>
      <c r="K16" s="1205"/>
      <c r="L16" s="1216"/>
    </row>
    <row r="17" spans="1:17">
      <c r="A17" s="1218"/>
      <c r="B17" s="1218"/>
      <c r="C17" s="1219"/>
      <c r="D17" s="1228"/>
      <c r="E17" s="1219"/>
      <c r="F17" s="1228"/>
      <c r="G17" s="1234"/>
      <c r="H17" s="1266"/>
      <c r="I17" s="1840"/>
    </row>
    <row r="18" spans="1:17" ht="15.75">
      <c r="A18" s="1218"/>
      <c r="B18" s="1222" t="s">
        <v>840</v>
      </c>
      <c r="C18" s="1219"/>
      <c r="D18" s="1228"/>
      <c r="E18" s="1219"/>
      <c r="F18" s="1228"/>
      <c r="G18" s="1234"/>
      <c r="H18" s="1266"/>
      <c r="I18" s="1229"/>
    </row>
    <row r="19" spans="1:17">
      <c r="A19" s="1218"/>
      <c r="B19" s="1227" t="s">
        <v>520</v>
      </c>
      <c r="C19" s="1219"/>
      <c r="D19" s="1228">
        <v>-53339390.880000003</v>
      </c>
      <c r="E19" s="1219"/>
      <c r="F19" s="1228">
        <v>-53311438.880000003</v>
      </c>
      <c r="G19" s="769"/>
      <c r="H19" s="1266"/>
      <c r="I19" s="1229">
        <f>ROUND(SUM(D19:G19),2)</f>
        <v>-106650829.76000001</v>
      </c>
    </row>
    <row r="20" spans="1:17">
      <c r="A20" s="1218"/>
      <c r="B20" s="1227" t="s">
        <v>521</v>
      </c>
      <c r="C20" s="1219"/>
      <c r="D20" s="1228">
        <v>0</v>
      </c>
      <c r="E20" s="1219"/>
      <c r="F20" s="1228">
        <v>0</v>
      </c>
      <c r="G20" s="1234"/>
      <c r="H20" s="1266"/>
      <c r="I20" s="1229">
        <f>ROUND(SUM(D20:G20),2)</f>
        <v>0</v>
      </c>
    </row>
    <row r="21" spans="1:17">
      <c r="A21" s="1218"/>
      <c r="B21" s="1227" t="s">
        <v>522</v>
      </c>
      <c r="C21" s="1219"/>
      <c r="D21" s="1228">
        <v>1326078.6599999999</v>
      </c>
      <c r="E21" s="1219"/>
      <c r="F21" s="1228">
        <v>1229800</v>
      </c>
      <c r="G21" s="1237"/>
      <c r="H21" s="1268"/>
      <c r="I21" s="1229">
        <f>ROUND(SUM(D21:G21),2)</f>
        <v>2555878.66</v>
      </c>
    </row>
    <row r="22" spans="1:17" s="1217" customFormat="1" ht="15.75">
      <c r="A22" s="1222"/>
      <c r="B22" s="1230" t="s">
        <v>857</v>
      </c>
      <c r="C22" s="1214"/>
      <c r="D22" s="1841">
        <f>ROUND(SUM(D18:D21),2)</f>
        <v>-52013312.219999999</v>
      </c>
      <c r="E22" s="1214"/>
      <c r="F22" s="1841">
        <f>ROUND(SUM(F18:F21),2)</f>
        <v>-52081638.880000003</v>
      </c>
      <c r="G22" s="1270"/>
      <c r="H22" s="1269"/>
      <c r="I22" s="1841">
        <f>ROUND(SUM(I18:I21),2)</f>
        <v>-104094951.09999999</v>
      </c>
      <c r="J22" s="1216"/>
      <c r="K22" s="1205"/>
      <c r="L22" s="1216"/>
    </row>
    <row r="23" spans="1:17">
      <c r="A23" s="1218"/>
      <c r="B23" s="1231"/>
      <c r="C23" s="1219"/>
      <c r="D23" s="1840"/>
      <c r="E23" s="1219"/>
      <c r="F23" s="1840"/>
      <c r="G23" s="1265"/>
      <c r="H23" s="1266"/>
      <c r="I23" s="1840"/>
    </row>
    <row r="24" spans="1:17" s="1217" customFormat="1" ht="15.75">
      <c r="A24" s="1222"/>
      <c r="B24" s="1222" t="s">
        <v>1099</v>
      </c>
      <c r="C24" s="1214"/>
      <c r="D24" s="1232">
        <f>ROUND(+D16+D22,2)</f>
        <v>-52013298.310000002</v>
      </c>
      <c r="E24" s="1214"/>
      <c r="F24" s="1232">
        <f>ROUND(+F16+F22,2)</f>
        <v>-52080570.82</v>
      </c>
      <c r="G24" s="1272"/>
      <c r="H24" s="1266"/>
      <c r="I24" s="1232">
        <f>ROUND(+I16+I22,2)</f>
        <v>-104093869.13</v>
      </c>
      <c r="J24" s="1216"/>
      <c r="K24" s="1205"/>
      <c r="L24" s="1216"/>
    </row>
    <row r="25" spans="1:17">
      <c r="A25" s="1218"/>
      <c r="B25" s="1218"/>
      <c r="C25" s="1219"/>
      <c r="D25" s="1840"/>
      <c r="E25" s="1219"/>
      <c r="F25" s="1840"/>
      <c r="G25" s="1265"/>
      <c r="H25" s="1266"/>
      <c r="I25" s="1840"/>
      <c r="J25" s="1206"/>
      <c r="L25" s="1206"/>
      <c r="M25" s="1233"/>
      <c r="N25" s="1233"/>
      <c r="O25" s="1233"/>
      <c r="P25" s="1233"/>
      <c r="Q25" s="1233"/>
    </row>
    <row r="26" spans="1:17" ht="15.75">
      <c r="A26" s="1218"/>
      <c r="B26" s="1222" t="s">
        <v>45</v>
      </c>
      <c r="C26" s="1219"/>
      <c r="D26" s="1228"/>
      <c r="E26" s="1219"/>
      <c r="F26" s="1228"/>
      <c r="G26" s="1265"/>
      <c r="H26" s="1266"/>
      <c r="I26" s="1229"/>
      <c r="J26" s="1206"/>
      <c r="L26" s="1206"/>
      <c r="M26" s="1233"/>
      <c r="N26" s="1233"/>
      <c r="O26" s="1233"/>
      <c r="P26" s="1233"/>
      <c r="Q26" s="1233"/>
    </row>
    <row r="27" spans="1:17" ht="15.75">
      <c r="A27" s="1218"/>
      <c r="B27" s="1222" t="s">
        <v>787</v>
      </c>
      <c r="C27" s="1219"/>
      <c r="D27" s="1228"/>
      <c r="E27" s="1219"/>
      <c r="F27" s="1228"/>
      <c r="G27" s="1265"/>
      <c r="H27" s="1268"/>
      <c r="I27" s="1229"/>
      <c r="J27" s="1206"/>
      <c r="L27" s="1206"/>
      <c r="M27" s="1233"/>
      <c r="N27" s="1233"/>
      <c r="O27" s="1233"/>
      <c r="P27" s="1233"/>
      <c r="Q27" s="1233"/>
    </row>
    <row r="28" spans="1:17" ht="15.75">
      <c r="A28" s="1218"/>
      <c r="B28" s="1227" t="s">
        <v>523</v>
      </c>
      <c r="C28" s="1219"/>
      <c r="D28" s="1228">
        <v>0</v>
      </c>
      <c r="E28" s="1219"/>
      <c r="F28" s="1228">
        <v>0</v>
      </c>
      <c r="G28" s="1270"/>
      <c r="H28" s="1269"/>
      <c r="I28" s="1229">
        <f>ROUND(SUM(D28:G28),2)</f>
        <v>0</v>
      </c>
      <c r="J28" s="1206"/>
      <c r="L28" s="1206"/>
      <c r="M28" s="1233"/>
      <c r="N28" s="1233"/>
      <c r="O28" s="1233"/>
      <c r="P28" s="1233"/>
      <c r="Q28" s="1233"/>
    </row>
    <row r="29" spans="1:17">
      <c r="A29" s="1218"/>
      <c r="B29" s="1227" t="s">
        <v>513</v>
      </c>
      <c r="C29" s="1219"/>
      <c r="D29" s="1228">
        <v>0</v>
      </c>
      <c r="E29" s="1219"/>
      <c r="F29" s="1228">
        <v>0</v>
      </c>
      <c r="G29" s="1265"/>
      <c r="H29" s="1266"/>
      <c r="I29" s="1229">
        <f>ROUND(SUM(D29:G29),2)</f>
        <v>0</v>
      </c>
      <c r="J29" s="1206"/>
      <c r="L29" s="1206"/>
      <c r="M29" s="1233"/>
      <c r="N29" s="1233"/>
      <c r="O29" s="1233"/>
      <c r="P29" s="1233"/>
      <c r="Q29" s="1233"/>
    </row>
    <row r="30" spans="1:17" ht="15.75">
      <c r="A30" s="1218"/>
      <c r="B30" s="1222" t="s">
        <v>510</v>
      </c>
      <c r="C30" s="1219"/>
      <c r="D30" s="1228"/>
      <c r="E30" s="1219"/>
      <c r="F30" s="1228"/>
      <c r="G30" s="1270"/>
      <c r="H30" s="1274"/>
      <c r="I30" s="1229"/>
      <c r="J30" s="1206"/>
      <c r="L30" s="1206"/>
      <c r="M30" s="1233"/>
      <c r="N30" s="1233"/>
      <c r="O30" s="1233"/>
      <c r="P30" s="1233"/>
      <c r="Q30" s="1233"/>
    </row>
    <row r="31" spans="1:17">
      <c r="A31" s="1218"/>
      <c r="B31" s="1227" t="s">
        <v>524</v>
      </c>
      <c r="C31" s="1219"/>
      <c r="D31" s="1234">
        <v>23362653.210000001</v>
      </c>
      <c r="E31" s="1219"/>
      <c r="F31" s="1234">
        <v>23350410.23</v>
      </c>
      <c r="G31" s="1267"/>
      <c r="H31" s="1266"/>
      <c r="I31" s="1229">
        <f>ROUND(SUM(D31:G31),2)</f>
        <v>46713063.439999998</v>
      </c>
      <c r="J31" s="1206"/>
      <c r="L31" s="1206"/>
      <c r="M31" s="1233"/>
      <c r="N31" s="1233"/>
      <c r="O31" s="1233"/>
      <c r="P31" s="1233"/>
      <c r="Q31" s="1233"/>
    </row>
    <row r="32" spans="1:17">
      <c r="A32" s="1218"/>
      <c r="B32" s="1227" t="s">
        <v>525</v>
      </c>
      <c r="C32" s="1219"/>
      <c r="D32" s="1234">
        <v>-1392209.7600000007</v>
      </c>
      <c r="E32" s="1219"/>
      <c r="F32" s="1234">
        <v>24037902.620000001</v>
      </c>
      <c r="G32" s="1267"/>
      <c r="H32" s="1266"/>
      <c r="I32" s="1229">
        <f>ROUND(SUM(D32:G32),2)</f>
        <v>22645692.859999999</v>
      </c>
      <c r="J32" s="1206"/>
      <c r="L32" s="1206"/>
      <c r="M32" s="1233"/>
      <c r="N32" s="1233"/>
      <c r="O32" s="1233"/>
      <c r="P32" s="1233"/>
      <c r="Q32" s="1233"/>
    </row>
    <row r="33" spans="1:42">
      <c r="A33" s="1218"/>
      <c r="B33" s="1227" t="s">
        <v>526</v>
      </c>
      <c r="C33" s="1219"/>
      <c r="D33" s="1234">
        <v>29976737.670000002</v>
      </c>
      <c r="E33" s="1219"/>
      <c r="F33" s="1234">
        <v>29961028.650000002</v>
      </c>
      <c r="G33" s="1267"/>
      <c r="H33" s="1266"/>
      <c r="I33" s="1229">
        <f>ROUND(SUM(D33:G33),2)</f>
        <v>59937766.32</v>
      </c>
      <c r="J33" s="1206"/>
      <c r="L33" s="1206"/>
      <c r="M33" s="1233"/>
      <c r="N33" s="1233"/>
      <c r="O33" s="1233"/>
      <c r="P33" s="1233"/>
      <c r="Q33" s="1233"/>
    </row>
    <row r="34" spans="1:42">
      <c r="A34" s="1218"/>
      <c r="B34" s="1227" t="s">
        <v>522</v>
      </c>
      <c r="C34" s="1219"/>
      <c r="D34" s="1915">
        <v>0</v>
      </c>
      <c r="E34" s="1219"/>
      <c r="F34" s="1915">
        <v>0</v>
      </c>
      <c r="G34" s="1234"/>
      <c r="H34" s="1266"/>
      <c r="I34" s="1229">
        <f>ROUND(SUM(D34:G34),2)</f>
        <v>0</v>
      </c>
      <c r="J34" s="1206"/>
      <c r="L34" s="1206"/>
      <c r="M34" s="1233"/>
      <c r="N34" s="1233"/>
      <c r="O34" s="1233"/>
      <c r="P34" s="1233"/>
      <c r="Q34" s="1233"/>
    </row>
    <row r="35" spans="1:42" s="1217" customFormat="1" ht="15.75">
      <c r="A35" s="1222"/>
      <c r="B35" s="1222" t="s">
        <v>512</v>
      </c>
      <c r="C35" s="1214"/>
      <c r="D35" s="1842">
        <f>ROUND(SUM(D28:D34),2)</f>
        <v>51947181.119999997</v>
      </c>
      <c r="E35" s="1214"/>
      <c r="F35" s="1842">
        <f>ROUND(SUM(F28:F34),2)</f>
        <v>77349341.5</v>
      </c>
      <c r="G35" s="1234"/>
      <c r="H35" s="1266"/>
      <c r="I35" s="1842">
        <f>ROUND(SUM(I28:I34),2)</f>
        <v>129296522.62</v>
      </c>
      <c r="J35" s="1235"/>
      <c r="K35" s="1205"/>
      <c r="L35" s="1235"/>
      <c r="M35" s="1236"/>
      <c r="N35" s="1236"/>
      <c r="O35" s="1236"/>
      <c r="P35" s="1236"/>
      <c r="Q35" s="1236"/>
    </row>
    <row r="36" spans="1:42">
      <c r="A36" s="1218"/>
      <c r="B36" s="1218"/>
      <c r="C36" s="1219"/>
      <c r="D36" s="1228"/>
      <c r="E36" s="1219"/>
      <c r="F36" s="1228"/>
      <c r="G36" s="1267"/>
      <c r="H36" s="1266"/>
      <c r="I36" s="1229"/>
      <c r="J36" s="1206"/>
      <c r="L36" s="1206"/>
      <c r="M36" s="1233"/>
      <c r="N36" s="1233"/>
      <c r="O36" s="1233"/>
      <c r="P36" s="1233"/>
      <c r="Q36" s="1233"/>
    </row>
    <row r="37" spans="1:42" ht="15.75">
      <c r="A37" s="1218"/>
      <c r="B37" s="1222" t="s">
        <v>838</v>
      </c>
      <c r="C37" s="1219"/>
      <c r="D37" s="1228"/>
      <c r="E37" s="1219"/>
      <c r="F37" s="1228"/>
      <c r="G37" s="1276"/>
      <c r="H37" s="1266"/>
      <c r="I37" s="1229"/>
      <c r="J37" s="1206"/>
      <c r="L37" s="1206"/>
      <c r="M37" s="1233"/>
      <c r="N37" s="1233"/>
      <c r="O37" s="1233"/>
      <c r="P37" s="1233"/>
      <c r="Q37" s="1233"/>
    </row>
    <row r="38" spans="1:42" ht="15.75">
      <c r="A38" s="1218"/>
      <c r="B38" s="1218" t="s">
        <v>523</v>
      </c>
      <c r="C38" s="1219"/>
      <c r="D38" s="1237">
        <v>0</v>
      </c>
      <c r="E38" s="1219"/>
      <c r="F38" s="1237">
        <v>0</v>
      </c>
      <c r="G38" s="1270"/>
      <c r="H38" s="1269"/>
      <c r="I38" s="1229">
        <f>ROUND(SUM(D38:G38),2)</f>
        <v>0</v>
      </c>
      <c r="J38" s="1206"/>
      <c r="L38" s="1206"/>
      <c r="M38" s="1233"/>
      <c r="N38" s="1233"/>
      <c r="O38" s="1233"/>
      <c r="P38" s="1233"/>
      <c r="Q38" s="1233"/>
    </row>
    <row r="39" spans="1:42">
      <c r="A39" s="1218"/>
      <c r="B39" s="1218" t="s">
        <v>513</v>
      </c>
      <c r="C39" s="1219"/>
      <c r="D39" s="1229">
        <v>0</v>
      </c>
      <c r="E39" s="1219"/>
      <c r="F39" s="1229">
        <v>0</v>
      </c>
      <c r="G39" s="1265"/>
      <c r="H39" s="1266"/>
      <c r="I39" s="1229">
        <f>ROUND(SUM(D39:G39),2)</f>
        <v>0</v>
      </c>
      <c r="J39" s="1206"/>
      <c r="L39" s="1206"/>
      <c r="M39" s="1233"/>
      <c r="N39" s="1233"/>
      <c r="O39" s="1233"/>
      <c r="P39" s="1233"/>
      <c r="Q39" s="1233"/>
    </row>
    <row r="40" spans="1:42" ht="15.75">
      <c r="A40" s="1218"/>
      <c r="B40" s="1222" t="s">
        <v>839</v>
      </c>
      <c r="C40" s="1219"/>
      <c r="D40" s="1228"/>
      <c r="E40" s="1219"/>
      <c r="F40" s="1228"/>
      <c r="G40" s="1265"/>
      <c r="H40" s="1266"/>
      <c r="I40" s="1229"/>
      <c r="J40" s="1206"/>
      <c r="L40" s="1206"/>
      <c r="M40" s="1233"/>
      <c r="N40" s="1233"/>
      <c r="O40" s="1233"/>
      <c r="P40" s="1233"/>
      <c r="Q40" s="1233"/>
    </row>
    <row r="41" spans="1:42">
      <c r="A41" s="1218"/>
      <c r="B41" s="1227" t="s">
        <v>527</v>
      </c>
      <c r="C41" s="1219"/>
      <c r="D41" s="1229">
        <v>-76.8</v>
      </c>
      <c r="E41" s="1219"/>
      <c r="F41" s="1229">
        <v>-13.91</v>
      </c>
      <c r="G41" s="1228"/>
      <c r="H41" s="1266"/>
      <c r="I41" s="1229">
        <f>ROUND(SUM(D41:G41),2)</f>
        <v>-90.71</v>
      </c>
      <c r="J41" s="1206"/>
      <c r="L41" s="1206"/>
      <c r="M41" s="1233"/>
      <c r="N41" s="1233"/>
      <c r="O41" s="1233"/>
      <c r="P41" s="1233"/>
      <c r="Q41" s="1233"/>
    </row>
    <row r="42" spans="1:42">
      <c r="A42" s="1218"/>
      <c r="B42" s="3725" t="s">
        <v>1354</v>
      </c>
      <c r="C42" s="1219"/>
      <c r="D42" s="1916">
        <v>0</v>
      </c>
      <c r="E42" s="1219"/>
      <c r="F42" s="1916">
        <v>0</v>
      </c>
      <c r="G42" s="1265"/>
      <c r="H42" s="1266"/>
      <c r="I42" s="1229">
        <f>ROUND(SUM(D42:G42),2)</f>
        <v>0</v>
      </c>
      <c r="J42" s="1206"/>
      <c r="L42" s="1206"/>
      <c r="M42" s="1233"/>
      <c r="N42" s="1233"/>
      <c r="O42" s="1233"/>
      <c r="P42" s="1233"/>
      <c r="Q42" s="1233"/>
    </row>
    <row r="43" spans="1:42" s="1217" customFormat="1" ht="15.75">
      <c r="A43" s="1222"/>
      <c r="B43" s="1222" t="s">
        <v>514</v>
      </c>
      <c r="C43" s="1214"/>
      <c r="D43" s="1842">
        <f>SUM(D38:D42)</f>
        <v>-76.8</v>
      </c>
      <c r="E43" s="1214"/>
      <c r="F43" s="1842">
        <f>SUM(F38:F42)</f>
        <v>-13.91</v>
      </c>
      <c r="G43" s="1265"/>
      <c r="H43" s="1266"/>
      <c r="I43" s="1842">
        <f>SUM(I38:I42)</f>
        <v>-90.71</v>
      </c>
      <c r="J43" s="1235"/>
      <c r="K43" s="1205"/>
      <c r="L43" s="1235"/>
      <c r="M43" s="1236"/>
      <c r="N43" s="1236"/>
      <c r="O43" s="1236"/>
      <c r="P43" s="1236"/>
      <c r="Q43" s="1236"/>
    </row>
    <row r="44" spans="1:42">
      <c r="A44" s="1218"/>
      <c r="B44" s="1218"/>
      <c r="C44" s="1219"/>
      <c r="D44" s="1228"/>
      <c r="E44" s="1219"/>
      <c r="F44" s="1228"/>
      <c r="G44" s="1234"/>
      <c r="H44" s="1266"/>
      <c r="I44" s="1229"/>
      <c r="J44" s="1206"/>
      <c r="L44" s="1206"/>
      <c r="M44" s="1233"/>
      <c r="N44" s="1233"/>
      <c r="O44" s="1233"/>
      <c r="P44" s="1233"/>
      <c r="Q44" s="1233"/>
    </row>
    <row r="45" spans="1:42" ht="15.75">
      <c r="A45" s="1218"/>
      <c r="B45" s="1222" t="s">
        <v>528</v>
      </c>
      <c r="C45" s="1219"/>
      <c r="D45" s="1228"/>
      <c r="E45" s="1219"/>
      <c r="F45" s="1228"/>
      <c r="G45" s="1234"/>
      <c r="H45" s="1266"/>
      <c r="I45" s="1229"/>
      <c r="J45" s="1206"/>
      <c r="L45" s="1206"/>
      <c r="M45" s="1233"/>
      <c r="N45" s="1233"/>
      <c r="O45" s="1233"/>
      <c r="P45" s="1233"/>
      <c r="Q45" s="1233"/>
    </row>
    <row r="46" spans="1:42" ht="15.75">
      <c r="A46" s="1218"/>
      <c r="B46" s="1222" t="s">
        <v>529</v>
      </c>
      <c r="C46" s="1219"/>
      <c r="D46" s="1914">
        <f>ROUND(+D24+D35+D43,2)</f>
        <v>-66193.990000000005</v>
      </c>
      <c r="E46" s="1219"/>
      <c r="F46" s="1914">
        <f>ROUND(+F24+F35+F43,2)</f>
        <v>25268756.77</v>
      </c>
      <c r="G46" s="1267"/>
      <c r="H46" s="1266"/>
      <c r="I46" s="1914">
        <f>ROUND(+I24+I35+I43,2)</f>
        <v>25202562.780000001</v>
      </c>
      <c r="J46" s="1206"/>
      <c r="L46" s="1206"/>
      <c r="M46" s="1233"/>
      <c r="N46" s="1233"/>
      <c r="O46" s="1233"/>
      <c r="P46" s="1233"/>
      <c r="Q46" s="1233"/>
    </row>
    <row r="47" spans="1:42" ht="15.75">
      <c r="A47" s="1218"/>
      <c r="B47" s="1218"/>
      <c r="C47" s="1219"/>
      <c r="D47" s="1219"/>
      <c r="E47" s="1219"/>
      <c r="F47" s="1219"/>
      <c r="G47" s="1270"/>
      <c r="H47" s="1269"/>
      <c r="I47" s="1238"/>
      <c r="J47" s="1206"/>
      <c r="L47" s="1206"/>
      <c r="M47" s="1233"/>
      <c r="N47" s="1233"/>
      <c r="O47" s="1233"/>
      <c r="P47" s="1233"/>
      <c r="Q47" s="1233"/>
    </row>
    <row r="48" spans="1:42" s="1217" customFormat="1" ht="16.5" thickBot="1">
      <c r="A48" s="1222"/>
      <c r="B48" s="1222" t="s">
        <v>517</v>
      </c>
      <c r="C48" s="1239"/>
      <c r="D48" s="1843">
        <f>ROUND(D12+D46,2)</f>
        <v>13.91</v>
      </c>
      <c r="E48" s="1239"/>
      <c r="F48" s="1843">
        <f>ROUND(F12+F46,2)</f>
        <v>25268770.68</v>
      </c>
      <c r="G48" s="1265"/>
      <c r="H48" s="1266"/>
      <c r="I48" s="1843">
        <f>ROUND(I12+I46,2)</f>
        <v>25268770.68</v>
      </c>
      <c r="J48" s="1216"/>
      <c r="K48" s="1205"/>
      <c r="L48" s="1216"/>
      <c r="M48" s="1240"/>
      <c r="N48" s="1240"/>
      <c r="O48" s="1240"/>
      <c r="P48" s="1240"/>
      <c r="Q48" s="1240"/>
      <c r="R48" s="1240"/>
      <c r="S48" s="1240"/>
      <c r="T48" s="1240"/>
      <c r="U48" s="1240"/>
      <c r="V48" s="1240"/>
      <c r="W48" s="1240"/>
      <c r="X48" s="1240"/>
      <c r="Y48" s="1240"/>
      <c r="Z48" s="1240"/>
      <c r="AA48" s="1240"/>
      <c r="AB48" s="1240"/>
      <c r="AC48" s="1240"/>
      <c r="AD48" s="1240"/>
      <c r="AE48" s="1240"/>
      <c r="AF48" s="1240"/>
      <c r="AG48" s="1240"/>
      <c r="AH48" s="1240"/>
      <c r="AI48" s="1240"/>
      <c r="AJ48" s="1240"/>
      <c r="AK48" s="1240"/>
      <c r="AL48" s="1240"/>
      <c r="AM48" s="1240"/>
      <c r="AN48" s="1240"/>
      <c r="AO48" s="1240"/>
      <c r="AP48" s="1240"/>
    </row>
    <row r="49" spans="1:9" ht="15.75" thickTop="1">
      <c r="A49" s="1218"/>
      <c r="B49" s="1218" t="s">
        <v>14</v>
      </c>
      <c r="C49" s="1219"/>
      <c r="D49" s="1219"/>
      <c r="E49" s="1219"/>
      <c r="F49" s="1219"/>
      <c r="G49" s="1267"/>
      <c r="H49" s="1267"/>
      <c r="I49" s="1219"/>
    </row>
    <row r="50" spans="1:9" ht="15.75">
      <c r="B50" s="1241" t="s">
        <v>518</v>
      </c>
      <c r="G50" s="1270"/>
      <c r="H50" s="1270"/>
    </row>
    <row r="51" spans="1:9">
      <c r="B51" s="1242"/>
      <c r="G51" s="1250"/>
      <c r="H51" s="1250"/>
    </row>
    <row r="52" spans="1:9" ht="15.75">
      <c r="G52" s="1330"/>
      <c r="H52" s="1330"/>
    </row>
    <row r="53" spans="1:9">
      <c r="G53" s="1250"/>
      <c r="H53" s="1250"/>
    </row>
    <row r="59" spans="1:9" ht="15.75">
      <c r="B59" s="1243"/>
      <c r="C59" s="1244"/>
      <c r="D59" s="1244"/>
      <c r="E59" s="1244"/>
      <c r="F59" s="1244"/>
    </row>
    <row r="61" spans="1:9" ht="15.75">
      <c r="B61" s="1245"/>
      <c r="C61" s="1216"/>
      <c r="E61" s="1216"/>
    </row>
  </sheetData>
  <printOptions horizontalCentered="1"/>
  <pageMargins left="0.24" right="0.24" top="0.5" bottom="0.5" header="0.18" footer="0.25"/>
  <pageSetup scale="68"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zoomScaleNormal="70" workbookViewId="0"/>
  </sheetViews>
  <sheetFormatPr defaultColWidth="8.6640625" defaultRowHeight="12.75"/>
  <cols>
    <col min="1" max="1" width="54.6640625" style="404" customWidth="1"/>
    <col min="2" max="2" width="1.6640625" style="404" customWidth="1"/>
    <col min="3" max="3" width="10.6640625" style="404" customWidth="1"/>
    <col min="4" max="4" width="1.6640625" style="404" customWidth="1"/>
    <col min="5" max="5" width="10.6640625" style="404" customWidth="1"/>
    <col min="6" max="6" width="1.6640625" style="404" customWidth="1"/>
    <col min="7" max="7" width="10.6640625" style="404" customWidth="1"/>
    <col min="8" max="8" width="1.6640625" style="404" customWidth="1"/>
    <col min="9" max="9" width="10.6640625" style="404" customWidth="1"/>
    <col min="10" max="10" width="1.6640625" style="404" customWidth="1"/>
    <col min="11" max="11" width="10.6640625" style="404" customWidth="1"/>
    <col min="12" max="12" width="1.6640625" style="404" customWidth="1"/>
    <col min="13" max="13" width="14.6640625" style="404" bestFit="1" customWidth="1"/>
    <col min="14" max="14" width="1.6640625" style="404" customWidth="1"/>
    <col min="15" max="15" width="10.6640625" style="404" customWidth="1"/>
    <col min="16" max="16" width="1.6640625" style="404" customWidth="1"/>
    <col min="17" max="17" width="13.5546875" style="404" bestFit="1" customWidth="1"/>
    <col min="18" max="18" width="1.6640625" style="404" customWidth="1"/>
    <col min="19" max="19" width="13.5546875" style="404" bestFit="1" customWidth="1"/>
    <col min="20" max="20" width="1.6640625" style="404" customWidth="1"/>
    <col min="21" max="21" width="11" style="404" customWidth="1"/>
    <col min="22" max="22" width="1.6640625" style="404" customWidth="1"/>
    <col min="23" max="23" width="10.6640625" style="404" customWidth="1"/>
    <col min="24" max="24" width="1.6640625" style="404" customWidth="1"/>
    <col min="25" max="25" width="10.6640625" style="404" customWidth="1"/>
    <col min="26" max="26" width="1.6640625" style="404" customWidth="1"/>
    <col min="27" max="27" width="14.109375" style="408" customWidth="1"/>
    <col min="28" max="28" width="3.6640625" style="404" customWidth="1"/>
    <col min="29" max="29" width="5.6640625" style="404" customWidth="1"/>
    <col min="30" max="30" width="10.109375" style="404" customWidth="1"/>
    <col min="31" max="31" width="2.6640625" style="404" customWidth="1"/>
    <col min="32" max="16384" width="8.6640625" style="404"/>
  </cols>
  <sheetData>
    <row r="1" spans="1:29" ht="15">
      <c r="A1" s="625" t="s">
        <v>870</v>
      </c>
    </row>
    <row r="2" spans="1:29" ht="20.25">
      <c r="A2" s="401"/>
      <c r="B2" s="1197"/>
      <c r="C2" s="1197"/>
      <c r="D2" s="1197"/>
      <c r="E2" s="1197"/>
      <c r="F2" s="1197"/>
      <c r="G2" s="1197"/>
      <c r="H2" s="1197"/>
      <c r="I2" s="1197"/>
      <c r="J2" s="1197"/>
      <c r="K2" s="1197"/>
      <c r="L2" s="402"/>
      <c r="M2" s="402"/>
      <c r="N2" s="1197"/>
      <c r="O2" s="1197"/>
      <c r="P2" s="1197"/>
      <c r="Q2" s="1197"/>
      <c r="R2" s="1197"/>
      <c r="S2" s="1197"/>
      <c r="T2" s="1197"/>
      <c r="U2" s="1197"/>
      <c r="V2" s="1197"/>
      <c r="W2" s="1197"/>
      <c r="X2" s="1197"/>
      <c r="Y2" s="1197"/>
      <c r="Z2" s="1197"/>
      <c r="AA2" s="1198"/>
      <c r="AB2" s="1197"/>
      <c r="AC2" s="403"/>
    </row>
    <row r="3" spans="1:29" ht="15">
      <c r="A3"/>
      <c r="B3" s="626"/>
      <c r="C3" s="626"/>
      <c r="D3" s="626"/>
      <c r="E3" s="626"/>
      <c r="F3" s="626"/>
      <c r="G3" s="626"/>
      <c r="H3" s="626"/>
      <c r="I3" s="626"/>
      <c r="J3" s="626"/>
      <c r="K3" s="626"/>
      <c r="L3"/>
      <c r="M3" s="626"/>
      <c r="N3" s="626"/>
      <c r="O3" s="626"/>
      <c r="P3" s="626"/>
      <c r="Q3" s="626"/>
      <c r="R3" s="626"/>
      <c r="S3" s="626"/>
      <c r="T3" s="626"/>
      <c r="U3" s="626"/>
      <c r="V3" s="626"/>
      <c r="W3" s="626"/>
      <c r="X3" s="626"/>
      <c r="Y3" s="626"/>
      <c r="Z3" s="626"/>
      <c r="AA3" s="404"/>
      <c r="AB3" s="1197"/>
      <c r="AC3" s="403"/>
    </row>
    <row r="4" spans="1:29" ht="20.25">
      <c r="A4" s="632" t="s">
        <v>0</v>
      </c>
      <c r="B4" s="626"/>
      <c r="C4" s="626"/>
      <c r="D4" s="626"/>
      <c r="E4" s="626"/>
      <c r="F4" s="626"/>
      <c r="G4" s="626"/>
      <c r="H4" s="626"/>
      <c r="I4" s="626"/>
      <c r="J4" s="626"/>
      <c r="K4" s="626"/>
      <c r="L4"/>
      <c r="M4" s="626"/>
      <c r="N4" s="626"/>
      <c r="O4" s="626"/>
      <c r="P4" s="626"/>
      <c r="Q4" s="626"/>
      <c r="R4" s="626"/>
      <c r="S4" s="626"/>
      <c r="T4" s="626"/>
      <c r="U4" s="626"/>
      <c r="V4" s="626"/>
      <c r="W4" s="626"/>
      <c r="X4" s="626"/>
      <c r="Y4" s="626"/>
      <c r="Z4" s="626"/>
      <c r="AA4" s="1199" t="s">
        <v>519</v>
      </c>
      <c r="AB4" s="1197"/>
      <c r="AC4" s="403"/>
    </row>
    <row r="5" spans="1:29" s="403" customFormat="1" ht="18">
      <c r="A5" s="632" t="s">
        <v>531</v>
      </c>
      <c r="B5" s="627"/>
      <c r="C5" s="627"/>
      <c r="D5" s="627"/>
      <c r="E5" s="627"/>
      <c r="F5" s="627"/>
      <c r="G5" s="627"/>
      <c r="H5" s="627"/>
      <c r="I5" s="627"/>
      <c r="J5" s="626"/>
      <c r="K5" s="626"/>
      <c r="L5" s="626"/>
      <c r="M5" s="626"/>
      <c r="N5" s="626"/>
      <c r="O5" s="626"/>
      <c r="P5" s="626"/>
      <c r="Q5" s="626"/>
      <c r="R5" s="626"/>
      <c r="S5" s="626"/>
      <c r="T5" s="626"/>
      <c r="U5" s="626"/>
      <c r="V5" s="626"/>
      <c r="W5" s="626"/>
      <c r="X5" s="626"/>
      <c r="Y5" s="626"/>
      <c r="Z5" s="626"/>
      <c r="AA5" s="626"/>
      <c r="AB5" s="1197"/>
    </row>
    <row r="6" spans="1:29" s="403" customFormat="1" ht="18">
      <c r="A6" s="221" t="str">
        <f>'Exh D-Governmental  '!A5:E5</f>
        <v>FISCAL YEAR 2022-2023</v>
      </c>
      <c r="B6" s="627"/>
      <c r="C6" s="627"/>
      <c r="D6" s="627"/>
      <c r="E6" s="627"/>
      <c r="F6" s="627"/>
      <c r="G6" s="627"/>
      <c r="H6" s="627"/>
      <c r="I6" s="627"/>
      <c r="J6" s="626"/>
      <c r="K6" s="626"/>
      <c r="L6" s="626"/>
      <c r="M6" s="626"/>
      <c r="N6" s="626"/>
      <c r="O6" s="626"/>
      <c r="P6" s="626"/>
      <c r="Q6" s="626"/>
      <c r="R6" s="626"/>
      <c r="S6" s="626"/>
      <c r="T6" s="626"/>
      <c r="U6" s="626"/>
      <c r="V6" s="626"/>
      <c r="W6" s="626"/>
      <c r="X6" s="626"/>
      <c r="Y6" s="626"/>
      <c r="Z6" s="626"/>
      <c r="AA6" s="626"/>
      <c r="AB6" s="1197"/>
    </row>
    <row r="7" spans="1:29" s="403" customFormat="1" ht="18">
      <c r="A7" s="632" t="s">
        <v>1255</v>
      </c>
      <c r="B7" s="628"/>
      <c r="C7" s="628"/>
      <c r="D7" s="628"/>
      <c r="E7" s="628"/>
      <c r="F7" s="628"/>
      <c r="G7" s="628"/>
      <c r="H7" s="628"/>
      <c r="I7" s="628"/>
      <c r="J7"/>
      <c r="K7"/>
      <c r="L7"/>
      <c r="M7"/>
      <c r="N7"/>
      <c r="O7"/>
      <c r="P7"/>
      <c r="Q7"/>
      <c r="R7" s="626"/>
      <c r="S7" s="626"/>
      <c r="T7" s="626"/>
      <c r="U7" s="626"/>
      <c r="V7" s="626"/>
      <c r="W7" s="626"/>
      <c r="X7" s="626"/>
      <c r="Y7" s="626"/>
      <c r="Z7" s="626"/>
      <c r="AA7"/>
      <c r="AB7" s="1197"/>
    </row>
    <row r="8" spans="1:29" s="403" customFormat="1" ht="15.75">
      <c r="A8" s="629"/>
      <c r="B8" s="628"/>
      <c r="C8" s="745"/>
      <c r="D8" s="745"/>
      <c r="E8" s="745"/>
      <c r="F8" s="745"/>
      <c r="G8" s="745"/>
      <c r="H8" s="745"/>
      <c r="I8" s="745"/>
      <c r="J8" s="646"/>
      <c r="K8" s="646"/>
      <c r="L8" s="646"/>
      <c r="M8" s="646"/>
      <c r="N8" s="646"/>
      <c r="O8" s="646"/>
      <c r="P8" s="646"/>
      <c r="Q8" s="646"/>
      <c r="R8" s="646"/>
      <c r="S8" s="646"/>
      <c r="T8" s="646"/>
      <c r="U8" s="646"/>
      <c r="V8" s="646"/>
      <c r="W8" s="646"/>
      <c r="X8" s="646"/>
      <c r="Y8" s="646"/>
      <c r="Z8" s="646"/>
      <c r="AA8" s="646"/>
      <c r="AB8" s="1197"/>
    </row>
    <row r="9" spans="1:29" s="403" customFormat="1" ht="15.75">
      <c r="A9" s="626"/>
      <c r="B9" s="626"/>
      <c r="C9" s="646"/>
      <c r="D9" s="646"/>
      <c r="E9" s="646"/>
      <c r="F9" s="646"/>
      <c r="G9" s="646"/>
      <c r="H9" s="646"/>
      <c r="I9" s="646"/>
      <c r="J9" s="646"/>
      <c r="K9" s="646"/>
      <c r="L9" s="646"/>
      <c r="M9" s="646"/>
      <c r="N9" s="646"/>
      <c r="O9" s="646"/>
      <c r="P9" s="646"/>
      <c r="Q9" s="646"/>
      <c r="R9" s="646"/>
      <c r="S9" s="646"/>
      <c r="T9" s="646"/>
      <c r="U9" s="646"/>
      <c r="V9" s="646"/>
      <c r="W9" s="646"/>
      <c r="X9" s="646"/>
      <c r="Y9" s="646"/>
      <c r="Z9" s="646"/>
      <c r="AA9" s="646"/>
      <c r="AB9" s="1197"/>
    </row>
    <row r="10" spans="1:29" s="403" customFormat="1" ht="18">
      <c r="A10" s="626"/>
      <c r="B10" s="645"/>
      <c r="C10" s="746">
        <v>2022</v>
      </c>
      <c r="D10" s="746" t="s">
        <v>14</v>
      </c>
      <c r="E10" s="746">
        <f>C10</f>
        <v>2022</v>
      </c>
      <c r="F10" s="746" t="s">
        <v>14</v>
      </c>
      <c r="G10" s="746">
        <f>C10</f>
        <v>2022</v>
      </c>
      <c r="H10" s="746" t="s">
        <v>14</v>
      </c>
      <c r="I10" s="746">
        <f>C10</f>
        <v>2022</v>
      </c>
      <c r="J10" s="746" t="s">
        <v>14</v>
      </c>
      <c r="K10" s="746">
        <f>E10</f>
        <v>2022</v>
      </c>
      <c r="L10" s="746" t="s">
        <v>14</v>
      </c>
      <c r="M10" s="746">
        <f>G10</f>
        <v>2022</v>
      </c>
      <c r="N10" s="746" t="s">
        <v>14</v>
      </c>
      <c r="O10" s="746">
        <f>I10</f>
        <v>2022</v>
      </c>
      <c r="P10" s="746" t="s">
        <v>14</v>
      </c>
      <c r="Q10" s="746">
        <f>K10</f>
        <v>2022</v>
      </c>
      <c r="R10" s="746" t="s">
        <v>14</v>
      </c>
      <c r="S10" s="746">
        <f>M10</f>
        <v>2022</v>
      </c>
      <c r="T10" s="746"/>
      <c r="U10" s="746">
        <v>2023</v>
      </c>
      <c r="V10" s="746"/>
      <c r="W10" s="746">
        <f>U10</f>
        <v>2023</v>
      </c>
      <c r="X10" s="746"/>
      <c r="Y10" s="746">
        <f>W10</f>
        <v>2023</v>
      </c>
      <c r="Z10" s="632"/>
      <c r="AA10" s="747" t="str">
        <f>'Medicaid Disp Share'!I10</f>
        <v>2022-2023</v>
      </c>
      <c r="AB10" s="1200"/>
    </row>
    <row r="11" spans="1:29" s="403" customFormat="1" ht="18">
      <c r="A11" s="626"/>
      <c r="B11" s="645"/>
      <c r="C11" s="2093" t="s">
        <v>122</v>
      </c>
      <c r="D11" s="747"/>
      <c r="E11" s="2093" t="s">
        <v>123</v>
      </c>
      <c r="F11" s="747"/>
      <c r="G11" s="2093" t="s">
        <v>124</v>
      </c>
      <c r="H11" s="747"/>
      <c r="I11" s="2093" t="s">
        <v>125</v>
      </c>
      <c r="J11" s="747"/>
      <c r="K11" s="2093" t="s">
        <v>126</v>
      </c>
      <c r="L11" s="747"/>
      <c r="M11" s="2093" t="s">
        <v>141</v>
      </c>
      <c r="N11" s="747"/>
      <c r="O11" s="2093" t="s">
        <v>142</v>
      </c>
      <c r="P11" s="747"/>
      <c r="Q11" s="2093" t="s">
        <v>129</v>
      </c>
      <c r="R11" s="747"/>
      <c r="S11" s="2093" t="s">
        <v>130</v>
      </c>
      <c r="T11" s="747"/>
      <c r="U11" s="2093" t="s">
        <v>131</v>
      </c>
      <c r="V11" s="747"/>
      <c r="W11" s="2093" t="s">
        <v>132</v>
      </c>
      <c r="X11" s="747"/>
      <c r="Y11" s="2093" t="s">
        <v>182</v>
      </c>
      <c r="Z11" s="632"/>
      <c r="AA11" s="2093" t="s">
        <v>532</v>
      </c>
      <c r="AB11" s="1197"/>
    </row>
    <row r="12" spans="1:29" s="403" customFormat="1" ht="18">
      <c r="A12"/>
      <c r="B12" s="645"/>
      <c r="C12" s="645"/>
      <c r="D12" s="645"/>
      <c r="E12" s="645"/>
      <c r="F12" s="645"/>
      <c r="G12" s="645"/>
      <c r="H12" s="645"/>
      <c r="I12" s="645"/>
      <c r="J12" s="645"/>
      <c r="K12" s="645"/>
      <c r="L12" s="645"/>
      <c r="M12" s="645"/>
      <c r="N12" s="645"/>
      <c r="O12" s="645"/>
      <c r="P12" s="645"/>
      <c r="Q12" s="645"/>
      <c r="R12" s="645"/>
      <c r="S12" s="645"/>
      <c r="T12" s="645"/>
      <c r="U12" s="645"/>
      <c r="V12" s="645"/>
      <c r="W12" s="645"/>
      <c r="X12" s="645"/>
      <c r="Y12" s="645"/>
      <c r="Z12" s="645"/>
      <c r="AA12" s="645"/>
      <c r="AB12" s="1832"/>
      <c r="AC12" s="1833"/>
    </row>
    <row r="13" spans="1:29" s="405" customFormat="1" ht="18">
      <c r="A13" s="646" t="s">
        <v>533</v>
      </c>
      <c r="B13" s="645"/>
      <c r="C13" s="645"/>
      <c r="D13" s="645"/>
      <c r="E13" s="645"/>
      <c r="F13" s="645"/>
      <c r="G13" s="645"/>
      <c r="H13" s="645"/>
      <c r="I13" s="645"/>
      <c r="J13" s="645"/>
      <c r="K13" s="645"/>
      <c r="L13" s="645"/>
      <c r="M13" s="645"/>
      <c r="N13" s="645"/>
      <c r="O13" s="645"/>
      <c r="P13" s="645"/>
      <c r="Q13" s="645"/>
      <c r="R13" s="645"/>
      <c r="S13" s="645"/>
      <c r="T13" s="645"/>
      <c r="U13" s="645"/>
      <c r="V13" s="645"/>
      <c r="W13" s="645"/>
      <c r="X13" s="645"/>
      <c r="Y13" s="645"/>
      <c r="Z13" s="645"/>
      <c r="AA13" s="645"/>
      <c r="AB13" s="1832"/>
      <c r="AC13" s="1834"/>
    </row>
    <row r="14" spans="1:29" s="405" customFormat="1" ht="18">
      <c r="A14" s="626" t="s">
        <v>534</v>
      </c>
      <c r="B14" s="645"/>
      <c r="C14" s="770">
        <v>0</v>
      </c>
      <c r="D14" s="770"/>
      <c r="E14" s="770">
        <v>0</v>
      </c>
      <c r="F14" s="770"/>
      <c r="G14" s="2104"/>
      <c r="H14" s="770"/>
      <c r="I14" s="3647"/>
      <c r="J14" s="771"/>
      <c r="K14" s="2104"/>
      <c r="L14" s="770"/>
      <c r="M14" s="2104"/>
      <c r="N14" s="771"/>
      <c r="O14" s="2104"/>
      <c r="P14" s="771"/>
      <c r="Q14" s="2104"/>
      <c r="R14" s="771"/>
      <c r="S14" s="2104"/>
      <c r="T14" s="771"/>
      <c r="U14" s="2104"/>
      <c r="V14" s="771"/>
      <c r="W14" s="2104"/>
      <c r="X14" s="771"/>
      <c r="Y14" s="2104"/>
      <c r="Z14" s="645"/>
      <c r="AA14" s="2906">
        <f>ROUND(SUM(C14:Z14),0)</f>
        <v>0</v>
      </c>
      <c r="AB14" s="1832"/>
      <c r="AC14" s="1834"/>
    </row>
    <row r="15" spans="1:29" s="405" customFormat="1" ht="18">
      <c r="A15" s="626" t="s">
        <v>535</v>
      </c>
      <c r="B15" s="645"/>
      <c r="C15" s="772">
        <v>0</v>
      </c>
      <c r="D15" s="773"/>
      <c r="E15" s="773">
        <v>389</v>
      </c>
      <c r="F15" s="773"/>
      <c r="G15" s="776"/>
      <c r="H15" s="773"/>
      <c r="I15" s="3648"/>
      <c r="J15" s="774"/>
      <c r="K15" s="776"/>
      <c r="L15" s="773"/>
      <c r="M15" s="776"/>
      <c r="N15" s="774"/>
      <c r="O15" s="776"/>
      <c r="P15" s="774"/>
      <c r="Q15" s="776"/>
      <c r="R15" s="774"/>
      <c r="S15" s="776"/>
      <c r="T15" s="774"/>
      <c r="U15" s="776"/>
      <c r="V15" s="774"/>
      <c r="W15" s="776"/>
      <c r="X15" s="774"/>
      <c r="Y15" s="776"/>
      <c r="Z15" s="645"/>
      <c r="AA15" s="1439">
        <f t="shared" ref="AA15:AA24" si="0">ROUND(SUM(C15:Z15),0)</f>
        <v>389</v>
      </c>
      <c r="AB15" s="1832"/>
      <c r="AC15" s="1834"/>
    </row>
    <row r="16" spans="1:29" s="405" customFormat="1" ht="18">
      <c r="A16" s="626" t="s">
        <v>536</v>
      </c>
      <c r="B16" s="645"/>
      <c r="C16" s="772">
        <v>0</v>
      </c>
      <c r="D16" s="773"/>
      <c r="E16" s="773">
        <v>0</v>
      </c>
      <c r="F16" s="773"/>
      <c r="G16" s="776"/>
      <c r="H16" s="773"/>
      <c r="I16" s="3648"/>
      <c r="J16" s="774"/>
      <c r="K16" s="776"/>
      <c r="L16" s="773"/>
      <c r="M16" s="776"/>
      <c r="N16" s="774"/>
      <c r="O16" s="776"/>
      <c r="P16" s="774"/>
      <c r="Q16" s="776"/>
      <c r="R16" s="774"/>
      <c r="S16" s="776"/>
      <c r="T16" s="774"/>
      <c r="U16" s="776"/>
      <c r="V16" s="774"/>
      <c r="W16" s="776"/>
      <c r="X16" s="774"/>
      <c r="Y16" s="776"/>
      <c r="Z16" s="645"/>
      <c r="AA16" s="1439">
        <f t="shared" si="0"/>
        <v>0</v>
      </c>
      <c r="AB16" s="1201"/>
      <c r="AC16" s="1834"/>
    </row>
    <row r="17" spans="1:29" s="405" customFormat="1" ht="18">
      <c r="A17" s="626" t="s">
        <v>894</v>
      </c>
      <c r="B17" s="645"/>
      <c r="C17" s="776">
        <v>0</v>
      </c>
      <c r="D17" s="773"/>
      <c r="E17" s="775">
        <v>0</v>
      </c>
      <c r="F17" s="773"/>
      <c r="G17" s="775"/>
      <c r="H17" s="773"/>
      <c r="I17" s="3649"/>
      <c r="J17" s="774"/>
      <c r="K17" s="775"/>
      <c r="L17" s="773"/>
      <c r="M17" s="775"/>
      <c r="N17" s="774"/>
      <c r="O17" s="775"/>
      <c r="P17" s="774"/>
      <c r="Q17" s="775"/>
      <c r="R17" s="774"/>
      <c r="S17" s="775"/>
      <c r="T17" s="774"/>
      <c r="U17" s="775"/>
      <c r="V17" s="774"/>
      <c r="W17" s="775"/>
      <c r="X17" s="774"/>
      <c r="Y17" s="775"/>
      <c r="Z17" s="645"/>
      <c r="AA17" s="1439">
        <f t="shared" si="0"/>
        <v>0</v>
      </c>
      <c r="AB17" s="1201"/>
      <c r="AC17" s="1834"/>
    </row>
    <row r="18" spans="1:29" s="405" customFormat="1" ht="18">
      <c r="A18" s="626" t="s">
        <v>537</v>
      </c>
      <c r="B18" s="645"/>
      <c r="C18" s="773"/>
      <c r="D18" s="773"/>
      <c r="E18" s="777"/>
      <c r="F18" s="773"/>
      <c r="G18" s="777"/>
      <c r="H18" s="773"/>
      <c r="I18" s="3650"/>
      <c r="J18" s="774"/>
      <c r="K18" s="777"/>
      <c r="L18" s="773"/>
      <c r="M18" s="777"/>
      <c r="N18" s="774"/>
      <c r="O18" s="777"/>
      <c r="P18" s="774"/>
      <c r="Q18" s="777"/>
      <c r="R18" s="774"/>
      <c r="S18" s="777"/>
      <c r="T18" s="774"/>
      <c r="U18" s="777"/>
      <c r="V18" s="774"/>
      <c r="W18" s="777"/>
      <c r="X18" s="774"/>
      <c r="Y18" s="777"/>
      <c r="Z18" s="645"/>
      <c r="AA18" s="1439"/>
      <c r="AB18" s="1201"/>
      <c r="AC18" s="1834"/>
    </row>
    <row r="19" spans="1:29" s="405" customFormat="1" ht="18">
      <c r="A19" s="626" t="s">
        <v>900</v>
      </c>
      <c r="B19" s="645"/>
      <c r="C19" s="772">
        <v>285</v>
      </c>
      <c r="D19" s="773"/>
      <c r="E19" s="773">
        <v>189</v>
      </c>
      <c r="F19" s="773"/>
      <c r="G19" s="776"/>
      <c r="H19" s="773"/>
      <c r="I19" s="3648"/>
      <c r="J19" s="774"/>
      <c r="K19" s="776"/>
      <c r="L19" s="773"/>
      <c r="M19" s="776"/>
      <c r="N19" s="774"/>
      <c r="O19" s="776"/>
      <c r="P19" s="774"/>
      <c r="Q19" s="776"/>
      <c r="R19" s="774"/>
      <c r="S19" s="776"/>
      <c r="T19" s="774"/>
      <c r="U19" s="776"/>
      <c r="V19" s="774"/>
      <c r="W19" s="776"/>
      <c r="X19" s="774"/>
      <c r="Y19" s="776"/>
      <c r="Z19" s="645"/>
      <c r="AA19" s="1439">
        <f t="shared" si="0"/>
        <v>474</v>
      </c>
      <c r="AB19" s="1201"/>
      <c r="AC19" s="1834"/>
    </row>
    <row r="20" spans="1:29" s="405" customFormat="1" ht="18">
      <c r="A20" s="626" t="s">
        <v>538</v>
      </c>
      <c r="B20" s="645"/>
      <c r="C20" s="772">
        <v>0</v>
      </c>
      <c r="D20" s="773"/>
      <c r="E20" s="773">
        <v>0</v>
      </c>
      <c r="F20" s="773"/>
      <c r="G20" s="776"/>
      <c r="H20" s="773"/>
      <c r="I20" s="3648"/>
      <c r="J20" s="774"/>
      <c r="K20" s="776"/>
      <c r="L20" s="773"/>
      <c r="M20" s="776"/>
      <c r="N20" s="774"/>
      <c r="O20" s="776"/>
      <c r="P20" s="774"/>
      <c r="Q20" s="776"/>
      <c r="R20" s="774"/>
      <c r="S20" s="776"/>
      <c r="T20" s="774"/>
      <c r="U20" s="776"/>
      <c r="V20" s="774"/>
      <c r="W20" s="776"/>
      <c r="X20" s="774"/>
      <c r="Y20" s="776"/>
      <c r="Z20" s="645"/>
      <c r="AA20" s="1439">
        <f t="shared" si="0"/>
        <v>0</v>
      </c>
      <c r="AB20" s="1201"/>
      <c r="AC20" s="1834"/>
    </row>
    <row r="21" spans="1:29" s="405" customFormat="1" ht="18">
      <c r="A21" s="626" t="s">
        <v>539</v>
      </c>
      <c r="B21" s="645"/>
      <c r="C21" s="772">
        <v>0</v>
      </c>
      <c r="D21" s="773"/>
      <c r="E21" s="773">
        <v>0</v>
      </c>
      <c r="F21" s="773"/>
      <c r="G21" s="776"/>
      <c r="H21" s="773"/>
      <c r="I21" s="3648"/>
      <c r="J21" s="774"/>
      <c r="K21" s="776"/>
      <c r="L21" s="773"/>
      <c r="M21" s="776"/>
      <c r="N21" s="774"/>
      <c r="O21" s="776"/>
      <c r="P21" s="774"/>
      <c r="Q21" s="776"/>
      <c r="R21" s="774"/>
      <c r="S21" s="776"/>
      <c r="T21" s="774"/>
      <c r="U21" s="776"/>
      <c r="V21" s="774"/>
      <c r="W21" s="776"/>
      <c r="X21" s="774"/>
      <c r="Y21" s="776"/>
      <c r="Z21" s="645"/>
      <c r="AA21" s="1439">
        <f t="shared" si="0"/>
        <v>0</v>
      </c>
      <c r="AB21" s="1201"/>
      <c r="AC21" s="1834"/>
    </row>
    <row r="22" spans="1:29" s="405" customFormat="1" ht="18">
      <c r="A22" s="626" t="s">
        <v>540</v>
      </c>
      <c r="B22" s="645"/>
      <c r="C22" s="772">
        <v>0</v>
      </c>
      <c r="D22" s="773"/>
      <c r="E22" s="773">
        <v>0</v>
      </c>
      <c r="F22" s="773"/>
      <c r="G22" s="776"/>
      <c r="H22" s="773"/>
      <c r="I22" s="3648"/>
      <c r="J22" s="774"/>
      <c r="K22" s="776"/>
      <c r="L22" s="773"/>
      <c r="M22" s="776"/>
      <c r="N22" s="774"/>
      <c r="O22" s="776"/>
      <c r="P22" s="774"/>
      <c r="Q22" s="776"/>
      <c r="R22" s="774"/>
      <c r="S22" s="776"/>
      <c r="T22" s="774"/>
      <c r="U22" s="776"/>
      <c r="V22" s="774"/>
      <c r="W22" s="776"/>
      <c r="X22" s="774"/>
      <c r="Y22" s="776"/>
      <c r="Z22" s="645"/>
      <c r="AA22" s="1439">
        <f t="shared" si="0"/>
        <v>0</v>
      </c>
      <c r="AB22" s="1201"/>
      <c r="AC22" s="1834"/>
    </row>
    <row r="23" spans="1:29" s="405" customFormat="1" ht="18">
      <c r="A23" s="626" t="s">
        <v>541</v>
      </c>
      <c r="B23" s="645"/>
      <c r="C23" s="772">
        <v>0</v>
      </c>
      <c r="D23" s="773"/>
      <c r="E23" s="773">
        <v>0</v>
      </c>
      <c r="F23" s="773"/>
      <c r="G23" s="776"/>
      <c r="H23" s="773"/>
      <c r="I23" s="3648"/>
      <c r="J23" s="774"/>
      <c r="K23" s="776"/>
      <c r="L23" s="773"/>
      <c r="M23" s="776"/>
      <c r="N23" s="774"/>
      <c r="O23" s="776"/>
      <c r="P23" s="774"/>
      <c r="Q23" s="776"/>
      <c r="R23" s="774"/>
      <c r="S23" s="776"/>
      <c r="T23" s="774"/>
      <c r="U23" s="776"/>
      <c r="V23" s="774"/>
      <c r="W23" s="776"/>
      <c r="X23" s="774"/>
      <c r="Y23" s="776"/>
      <c r="Z23" s="645"/>
      <c r="AA23" s="1439">
        <f>ROUND(SUM(C23:Z23),0)</f>
        <v>0</v>
      </c>
      <c r="AB23" s="1201"/>
      <c r="AC23" s="1834"/>
    </row>
    <row r="24" spans="1:29" s="405" customFormat="1" ht="18">
      <c r="A24" s="626" t="s">
        <v>542</v>
      </c>
      <c r="B24" s="645"/>
      <c r="C24" s="773">
        <v>0</v>
      </c>
      <c r="D24" s="773"/>
      <c r="E24" s="773">
        <v>0</v>
      </c>
      <c r="F24" s="773"/>
      <c r="G24" s="772"/>
      <c r="H24" s="773"/>
      <c r="I24" s="3648"/>
      <c r="J24" s="774"/>
      <c r="K24" s="776"/>
      <c r="L24" s="773"/>
      <c r="M24" s="776"/>
      <c r="N24" s="774"/>
      <c r="O24" s="776"/>
      <c r="P24" s="774"/>
      <c r="Q24" s="776"/>
      <c r="R24" s="774"/>
      <c r="S24" s="776"/>
      <c r="T24" s="774"/>
      <c r="U24" s="776"/>
      <c r="V24" s="774"/>
      <c r="W24" s="776"/>
      <c r="X24" s="774"/>
      <c r="Y24" s="776"/>
      <c r="Z24" s="645"/>
      <c r="AA24" s="1439">
        <f t="shared" si="0"/>
        <v>0</v>
      </c>
      <c r="AB24" s="1201"/>
      <c r="AC24" s="1834"/>
    </row>
    <row r="25" spans="1:29" s="405" customFormat="1" ht="18">
      <c r="A25" s="646" t="s">
        <v>790</v>
      </c>
      <c r="B25" s="645"/>
      <c r="C25" s="2095">
        <f>ROUND(SUM(C14:C24),0)</f>
        <v>285</v>
      </c>
      <c r="D25" s="626"/>
      <c r="E25" s="2095">
        <f>ROUND(SUM(E14:E24),0)</f>
        <v>578</v>
      </c>
      <c r="F25" s="626"/>
      <c r="G25" s="2095">
        <f>ROUND(SUM(G14:G24),0)</f>
        <v>0</v>
      </c>
      <c r="H25" s="626"/>
      <c r="I25" s="2095">
        <f>ROUND(SUM(I14:I24),0)</f>
        <v>0</v>
      </c>
      <c r="J25" s="626"/>
      <c r="K25" s="2095">
        <f>ROUND(SUM(K14:K24),0)</f>
        <v>0</v>
      </c>
      <c r="L25" s="626"/>
      <c r="M25" s="2095">
        <f>ROUND(SUM(M14:M24),0)</f>
        <v>0</v>
      </c>
      <c r="N25" s="626"/>
      <c r="O25" s="2095">
        <f>ROUND(SUM(O14:O24),0)</f>
        <v>0</v>
      </c>
      <c r="P25" s="626"/>
      <c r="Q25" s="2095">
        <f>ROUND(SUM(Q14:Q24),0)</f>
        <v>0</v>
      </c>
      <c r="R25" s="626"/>
      <c r="S25" s="2095">
        <f>ROUND(SUM(S14:S24),0)</f>
        <v>0</v>
      </c>
      <c r="T25" s="626"/>
      <c r="U25" s="2095">
        <f>ROUND(SUM(U14:U24),0)</f>
        <v>0</v>
      </c>
      <c r="V25" s="626"/>
      <c r="W25" s="2095">
        <f>ROUND(SUM(W14:W24),0)</f>
        <v>0</v>
      </c>
      <c r="X25" s="626"/>
      <c r="Y25" s="2095">
        <f>ROUND(SUM(Y14:Y24),0)</f>
        <v>0</v>
      </c>
      <c r="Z25" s="626"/>
      <c r="AA25" s="2907">
        <f>ROUND(SUM(AA14:AA24),0)</f>
        <v>863</v>
      </c>
      <c r="AB25" s="1201"/>
      <c r="AC25" s="1834"/>
    </row>
    <row r="26" spans="1:29" s="405" customFormat="1" ht="18">
      <c r="A26"/>
      <c r="B26" s="645"/>
      <c r="C26" s="645"/>
      <c r="D26" s="645"/>
      <c r="E26" s="645"/>
      <c r="F26" s="645"/>
      <c r="G26" s="645"/>
      <c r="H26" s="645"/>
      <c r="I26" s="3651"/>
      <c r="J26" s="645"/>
      <c r="K26" s="645"/>
      <c r="L26" s="645"/>
      <c r="M26" s="645"/>
      <c r="N26" s="645"/>
      <c r="O26" s="645"/>
      <c r="P26" s="645"/>
      <c r="Q26" s="645"/>
      <c r="R26" s="645"/>
      <c r="S26" s="645"/>
      <c r="T26" s="645"/>
      <c r="U26" s="645"/>
      <c r="V26" s="645"/>
      <c r="W26" s="645"/>
      <c r="X26" s="645"/>
      <c r="Y26" s="645"/>
      <c r="Z26" s="645"/>
      <c r="AA26" s="787"/>
      <c r="AB26" s="1201"/>
      <c r="AC26" s="1834"/>
    </row>
    <row r="27" spans="1:29" s="405" customFormat="1" ht="18">
      <c r="A27" s="626"/>
      <c r="B27" s="645"/>
      <c r="C27" s="645"/>
      <c r="D27" s="645"/>
      <c r="E27" s="645"/>
      <c r="F27" s="645"/>
      <c r="G27" s="645"/>
      <c r="H27" s="645"/>
      <c r="I27" s="3651"/>
      <c r="J27" s="645"/>
      <c r="K27" s="645"/>
      <c r="L27" s="645"/>
      <c r="M27" s="645"/>
      <c r="N27" s="645"/>
      <c r="O27" s="645"/>
      <c r="P27" s="645"/>
      <c r="Q27" s="645"/>
      <c r="R27" s="645"/>
      <c r="S27" s="645"/>
      <c r="T27" s="645"/>
      <c r="U27" s="645"/>
      <c r="V27" s="645"/>
      <c r="W27" s="645"/>
      <c r="X27" s="645"/>
      <c r="Y27" s="645"/>
      <c r="Z27" s="645"/>
      <c r="AA27" s="787"/>
      <c r="AB27" s="1201"/>
      <c r="AC27" s="1834"/>
    </row>
    <row r="28" spans="1:29" s="405" customFormat="1" ht="18">
      <c r="A28" s="646" t="s">
        <v>543</v>
      </c>
      <c r="B28" s="645"/>
      <c r="C28" s="645"/>
      <c r="D28" s="645"/>
      <c r="E28" s="645"/>
      <c r="F28" s="645"/>
      <c r="G28" s="645"/>
      <c r="H28" s="645"/>
      <c r="I28" s="3651"/>
      <c r="J28" s="645"/>
      <c r="K28" s="645"/>
      <c r="L28" s="645"/>
      <c r="M28" s="645"/>
      <c r="N28" s="645"/>
      <c r="O28" s="645"/>
      <c r="P28" s="645"/>
      <c r="Q28" s="645"/>
      <c r="R28" s="645"/>
      <c r="S28" s="645"/>
      <c r="T28" s="645"/>
      <c r="U28" s="645"/>
      <c r="V28" s="645"/>
      <c r="W28" s="645"/>
      <c r="X28" s="645"/>
      <c r="Y28" s="645"/>
      <c r="Z28" s="645"/>
      <c r="AA28" s="787"/>
      <c r="AB28" s="1201"/>
      <c r="AC28" s="1834"/>
    </row>
    <row r="29" spans="1:29" s="405" customFormat="1" ht="18">
      <c r="A29" s="626" t="s">
        <v>537</v>
      </c>
      <c r="B29" s="645"/>
      <c r="C29" s="645"/>
      <c r="D29" s="645"/>
      <c r="E29" s="645"/>
      <c r="F29" s="645"/>
      <c r="G29" s="645"/>
      <c r="H29" s="645"/>
      <c r="I29" s="3651"/>
      <c r="J29" s="645"/>
      <c r="K29" s="645"/>
      <c r="L29" s="645"/>
      <c r="M29" s="645"/>
      <c r="N29" s="645"/>
      <c r="O29" s="645"/>
      <c r="P29" s="645"/>
      <c r="Q29" s="645"/>
      <c r="R29" s="645"/>
      <c r="S29" s="645"/>
      <c r="T29" s="645"/>
      <c r="U29" s="645"/>
      <c r="V29" s="645"/>
      <c r="W29" s="645"/>
      <c r="X29" s="645"/>
      <c r="Y29" s="645"/>
      <c r="Z29" s="645"/>
      <c r="AA29" s="787"/>
      <c r="AB29" s="1201"/>
      <c r="AC29" s="1834"/>
    </row>
    <row r="30" spans="1:29" s="405" customFormat="1" ht="18">
      <c r="A30" s="626" t="s">
        <v>544</v>
      </c>
      <c r="B30" s="645"/>
      <c r="C30" s="775">
        <v>0</v>
      </c>
      <c r="D30" s="773"/>
      <c r="E30" s="775">
        <v>0</v>
      </c>
      <c r="F30" s="773"/>
      <c r="G30" s="775"/>
      <c r="H30" s="773"/>
      <c r="I30" s="3649"/>
      <c r="J30" s="774"/>
      <c r="K30" s="775"/>
      <c r="L30" s="773"/>
      <c r="M30" s="775"/>
      <c r="N30" s="774"/>
      <c r="O30" s="775"/>
      <c r="P30" s="774"/>
      <c r="Q30" s="775"/>
      <c r="R30" s="774"/>
      <c r="S30" s="775"/>
      <c r="T30" s="774"/>
      <c r="U30" s="775"/>
      <c r="V30" s="774"/>
      <c r="W30" s="775"/>
      <c r="X30" s="774"/>
      <c r="Y30" s="775"/>
      <c r="Z30" s="645"/>
      <c r="AA30" s="1439">
        <f>ROUND(SUM(C30:Z30),0)</f>
        <v>0</v>
      </c>
      <c r="AB30" s="1201"/>
      <c r="AC30" s="1834"/>
    </row>
    <row r="31" spans="1:29" s="405" customFormat="1" ht="18">
      <c r="A31" s="626" t="s">
        <v>1090</v>
      </c>
      <c r="B31" s="645"/>
      <c r="C31" s="773">
        <v>0</v>
      </c>
      <c r="D31" s="773"/>
      <c r="E31" s="775">
        <v>0</v>
      </c>
      <c r="F31" s="773"/>
      <c r="G31" s="775"/>
      <c r="H31" s="773"/>
      <c r="I31" s="3649"/>
      <c r="J31" s="774"/>
      <c r="K31" s="775"/>
      <c r="L31" s="773"/>
      <c r="M31" s="775"/>
      <c r="N31" s="774"/>
      <c r="O31" s="775"/>
      <c r="P31" s="774"/>
      <c r="Q31" s="775"/>
      <c r="R31" s="774"/>
      <c r="S31" s="775"/>
      <c r="T31" s="774"/>
      <c r="U31" s="775"/>
      <c r="V31" s="774"/>
      <c r="W31" s="775"/>
      <c r="X31" s="774"/>
      <c r="Y31" s="775"/>
      <c r="Z31" s="645"/>
      <c r="AA31" s="1439">
        <f t="shared" ref="AA31:AA34" si="1">ROUND(SUM(C31:Z31),0)</f>
        <v>0</v>
      </c>
      <c r="AB31" s="1201"/>
      <c r="AC31" s="1834"/>
    </row>
    <row r="32" spans="1:29" s="405" customFormat="1" ht="18">
      <c r="A32" s="626" t="s">
        <v>545</v>
      </c>
      <c r="B32" s="645"/>
      <c r="C32" s="775">
        <v>0</v>
      </c>
      <c r="D32" s="773"/>
      <c r="E32" s="775">
        <v>0</v>
      </c>
      <c r="F32" s="773"/>
      <c r="G32" s="775"/>
      <c r="H32" s="773"/>
      <c r="I32" s="3649"/>
      <c r="J32" s="774"/>
      <c r="K32" s="775"/>
      <c r="L32" s="773"/>
      <c r="M32" s="775"/>
      <c r="N32" s="774"/>
      <c r="O32" s="775"/>
      <c r="P32" s="774"/>
      <c r="Q32" s="775"/>
      <c r="R32" s="774"/>
      <c r="S32" s="775"/>
      <c r="T32" s="774"/>
      <c r="U32" s="775"/>
      <c r="V32" s="774"/>
      <c r="W32" s="775"/>
      <c r="X32" s="774"/>
      <c r="Y32" s="775"/>
      <c r="Z32" s="645"/>
      <c r="AA32" s="1439">
        <f t="shared" si="1"/>
        <v>0</v>
      </c>
      <c r="AB32" s="1201"/>
      <c r="AC32" s="1834"/>
    </row>
    <row r="33" spans="1:29" s="405" customFormat="1" ht="18">
      <c r="A33" s="626" t="s">
        <v>894</v>
      </c>
      <c r="B33" s="645"/>
      <c r="C33" s="775">
        <v>0</v>
      </c>
      <c r="D33" s="773"/>
      <c r="E33" s="775">
        <v>0</v>
      </c>
      <c r="F33" s="778"/>
      <c r="G33" s="775"/>
      <c r="H33" s="778"/>
      <c r="I33" s="3649"/>
      <c r="J33" s="779"/>
      <c r="K33" s="775"/>
      <c r="L33" s="778"/>
      <c r="M33" s="775"/>
      <c r="N33" s="779"/>
      <c r="O33" s="775"/>
      <c r="P33" s="779"/>
      <c r="Q33" s="775"/>
      <c r="R33" s="779"/>
      <c r="S33" s="775"/>
      <c r="T33" s="779"/>
      <c r="U33" s="775"/>
      <c r="V33" s="779"/>
      <c r="W33" s="775"/>
      <c r="X33" s="779"/>
      <c r="Y33" s="775"/>
      <c r="Z33" s="645"/>
      <c r="AA33" s="1439">
        <f t="shared" si="1"/>
        <v>0</v>
      </c>
      <c r="AB33" s="1201"/>
      <c r="AC33" s="1834"/>
    </row>
    <row r="34" spans="1:29" s="403" customFormat="1" ht="18">
      <c r="A34" s="626" t="s">
        <v>546</v>
      </c>
      <c r="B34" s="645"/>
      <c r="C34" s="2094">
        <v>0</v>
      </c>
      <c r="D34" s="773"/>
      <c r="E34" s="2094">
        <v>0</v>
      </c>
      <c r="F34" s="773"/>
      <c r="G34" s="2094"/>
      <c r="H34" s="773"/>
      <c r="I34" s="3652"/>
      <c r="J34" s="774"/>
      <c r="K34" s="2094"/>
      <c r="L34" s="773"/>
      <c r="M34" s="2094"/>
      <c r="N34" s="774"/>
      <c r="O34" s="2094"/>
      <c r="P34" s="774"/>
      <c r="Q34" s="2094"/>
      <c r="R34" s="774"/>
      <c r="S34" s="2094"/>
      <c r="T34" s="774"/>
      <c r="U34" s="2094"/>
      <c r="V34" s="774"/>
      <c r="W34" s="2094"/>
      <c r="X34" s="774"/>
      <c r="Y34" s="2094"/>
      <c r="Z34" s="645"/>
      <c r="AA34" s="1439">
        <f t="shared" si="1"/>
        <v>0</v>
      </c>
      <c r="AB34" s="1202"/>
      <c r="AC34" s="1835"/>
    </row>
    <row r="35" spans="1:29" s="403" customFormat="1" ht="18">
      <c r="A35" s="646" t="s">
        <v>789</v>
      </c>
      <c r="B35" s="645"/>
      <c r="C35" s="2095">
        <f>ROUND(SUM(C30:C34),0)</f>
        <v>0</v>
      </c>
      <c r="D35" s="626"/>
      <c r="E35" s="2095">
        <f>ROUND(SUM(E30:E34),0)</f>
        <v>0</v>
      </c>
      <c r="F35" s="626"/>
      <c r="G35" s="2095">
        <f>ROUND(SUM(G30:G34),0)</f>
        <v>0</v>
      </c>
      <c r="H35" s="626"/>
      <c r="I35" s="2095">
        <f>ROUND(SUM(I30:I34),0)</f>
        <v>0</v>
      </c>
      <c r="J35" s="626"/>
      <c r="K35" s="2095">
        <f>ROUND(SUM(K30:K34),0)</f>
        <v>0</v>
      </c>
      <c r="L35" s="626"/>
      <c r="M35" s="2095">
        <f>ROUND(SUM(M30:M34),0)</f>
        <v>0</v>
      </c>
      <c r="N35" s="626"/>
      <c r="O35" s="2095">
        <f>ROUND(SUM(O30:O34),0)</f>
        <v>0</v>
      </c>
      <c r="P35" s="626"/>
      <c r="Q35" s="2095">
        <f>ROUND(SUM(Q30:Q34),0)</f>
        <v>0</v>
      </c>
      <c r="R35" s="626"/>
      <c r="S35" s="2095">
        <f>ROUND(SUM(S30:S34),0)</f>
        <v>0</v>
      </c>
      <c r="T35" s="626"/>
      <c r="U35" s="2095">
        <f>ROUND(SUM(U30:U34),0)</f>
        <v>0</v>
      </c>
      <c r="V35" s="626"/>
      <c r="W35" s="2095">
        <f>ROUND(SUM(W30:W34),0)</f>
        <v>0</v>
      </c>
      <c r="X35" s="626"/>
      <c r="Y35" s="2095">
        <f>ROUND(SUM(Y30:Y34),0)</f>
        <v>0</v>
      </c>
      <c r="Z35" s="626"/>
      <c r="AA35" s="2095">
        <f>ROUND(SUM(AA30:AA34),0)</f>
        <v>0</v>
      </c>
      <c r="AB35" s="1202"/>
      <c r="AC35" s="1835"/>
    </row>
    <row r="36" spans="1:29" ht="18">
      <c r="A36" s="626"/>
      <c r="B36" s="645"/>
      <c r="C36" s="645"/>
      <c r="D36" s="645"/>
      <c r="E36" s="645"/>
      <c r="F36" s="645"/>
      <c r="G36" s="645"/>
      <c r="H36" s="645"/>
      <c r="I36" s="645"/>
      <c r="J36" s="645"/>
      <c r="K36" s="645"/>
      <c r="L36" s="645"/>
      <c r="M36" s="645"/>
      <c r="N36" s="645"/>
      <c r="O36" s="645"/>
      <c r="P36" s="645"/>
      <c r="Q36" s="645"/>
      <c r="R36" s="645"/>
      <c r="S36" s="645"/>
      <c r="T36" s="645"/>
      <c r="U36" s="645"/>
      <c r="V36" s="645"/>
      <c r="W36" s="645"/>
      <c r="X36" s="645"/>
      <c r="Y36" s="645"/>
      <c r="Z36" s="645"/>
      <c r="AA36" s="626"/>
      <c r="AB36" s="1202"/>
      <c r="AC36" s="1836"/>
    </row>
    <row r="37" spans="1:29" ht="18">
      <c r="A37" s="626"/>
      <c r="B37" s="645"/>
      <c r="C37" s="645"/>
      <c r="D37" s="645"/>
      <c r="E37" s="645"/>
      <c r="F37" s="645"/>
      <c r="G37" s="645"/>
      <c r="H37" s="645"/>
      <c r="I37" s="645"/>
      <c r="J37" s="645"/>
      <c r="K37" s="645"/>
      <c r="L37" s="645"/>
      <c r="M37" s="645"/>
      <c r="N37" s="645"/>
      <c r="O37" s="645"/>
      <c r="P37" s="645"/>
      <c r="Q37" s="645"/>
      <c r="R37" s="645"/>
      <c r="S37" s="2105"/>
      <c r="T37" s="645"/>
      <c r="U37" s="645"/>
      <c r="V37" s="645"/>
      <c r="W37" s="645"/>
      <c r="X37" s="645"/>
      <c r="Y37" s="645"/>
      <c r="Z37" s="645"/>
      <c r="AA37" s="626"/>
    </row>
    <row r="38" spans="1:29" s="407" customFormat="1" ht="18.75" thickBot="1">
      <c r="A38" s="646" t="s">
        <v>788</v>
      </c>
      <c r="B38" s="645"/>
      <c r="C38" s="1837">
        <f>ROUND(C25+C35,0)</f>
        <v>285</v>
      </c>
      <c r="D38" s="626"/>
      <c r="E38" s="1837">
        <f>ROUND(E25+E35,0)</f>
        <v>578</v>
      </c>
      <c r="F38" s="626"/>
      <c r="G38" s="1837">
        <f>ROUND(G25+G35,0)</f>
        <v>0</v>
      </c>
      <c r="H38" s="626"/>
      <c r="I38" s="1837">
        <f>ROUND(I25+I35,0)</f>
        <v>0</v>
      </c>
      <c r="J38" s="626"/>
      <c r="K38" s="1837">
        <f>ROUND(K25+K35,0)</f>
        <v>0</v>
      </c>
      <c r="L38" s="626"/>
      <c r="M38" s="1837">
        <f>ROUND(M25+M35,0)</f>
        <v>0</v>
      </c>
      <c r="N38" s="626"/>
      <c r="O38" s="1837">
        <f>ROUND(O25+O35,0)</f>
        <v>0</v>
      </c>
      <c r="P38" s="626"/>
      <c r="Q38" s="1837">
        <f>ROUND(Q25+Q35,0)</f>
        <v>0</v>
      </c>
      <c r="R38" s="626"/>
      <c r="S38" s="1837">
        <f>ROUND(S25+S35,0)</f>
        <v>0</v>
      </c>
      <c r="T38" s="626"/>
      <c r="U38" s="1837">
        <f>ROUND(U25+U35,0)</f>
        <v>0</v>
      </c>
      <c r="V38" s="626"/>
      <c r="W38" s="1837">
        <f>ROUND(W25+W35,0)</f>
        <v>0</v>
      </c>
      <c r="X38" s="626"/>
      <c r="Y38" s="1837">
        <f>ROUND(Y25+Y35,0)</f>
        <v>0</v>
      </c>
      <c r="Z38" s="626"/>
      <c r="AA38" s="1837">
        <f>ROUND(AA25+AA35,0)</f>
        <v>863</v>
      </c>
    </row>
    <row r="39" spans="1:29" ht="15.75" thickTop="1">
      <c r="A39" s="1203"/>
      <c r="C39" s="408"/>
      <c r="D39" s="408"/>
      <c r="E39" s="408"/>
      <c r="F39" s="408"/>
      <c r="G39" s="408"/>
      <c r="H39" s="408"/>
      <c r="I39" s="408"/>
      <c r="J39" s="408"/>
      <c r="K39" s="408"/>
      <c r="L39" s="408"/>
      <c r="M39" s="408"/>
      <c r="N39" s="408"/>
      <c r="O39" s="408"/>
      <c r="P39" s="408"/>
      <c r="Q39" s="408"/>
      <c r="R39" s="408"/>
      <c r="S39" s="408"/>
      <c r="T39" s="408"/>
      <c r="U39" s="408"/>
      <c r="V39" s="408"/>
      <c r="W39" s="408"/>
      <c r="X39" s="408"/>
      <c r="Y39" s="409"/>
      <c r="AA39" s="406"/>
    </row>
    <row r="40" spans="1:29" ht="13.5" thickBot="1"/>
    <row r="41" spans="1:29" ht="20.100000000000001" customHeight="1">
      <c r="A41" s="3978" t="s">
        <v>547</v>
      </c>
      <c r="B41" s="3979"/>
      <c r="C41" s="3979"/>
      <c r="D41" s="3979"/>
      <c r="E41" s="3979"/>
      <c r="F41" s="3979"/>
      <c r="G41" s="3979"/>
      <c r="H41" s="3979"/>
      <c r="I41" s="3979"/>
      <c r="J41" s="3979"/>
      <c r="K41" s="3979"/>
      <c r="L41" s="3979"/>
      <c r="M41" s="3979"/>
      <c r="N41" s="3979"/>
      <c r="O41" s="3979"/>
      <c r="P41" s="3979"/>
      <c r="Q41" s="3979"/>
      <c r="R41" s="3979"/>
      <c r="S41" s="3979"/>
      <c r="T41" s="3979"/>
      <c r="U41" s="3979"/>
      <c r="V41" s="3979"/>
      <c r="W41" s="3979"/>
      <c r="X41" s="3979"/>
      <c r="Y41" s="3979"/>
      <c r="Z41" s="3979"/>
      <c r="AA41" s="3980"/>
    </row>
    <row r="42" spans="1:29" ht="20.100000000000001" customHeight="1">
      <c r="A42" s="3981"/>
      <c r="B42" s="3982"/>
      <c r="C42" s="3982"/>
      <c r="D42" s="3982"/>
      <c r="E42" s="3982"/>
      <c r="F42" s="3982"/>
      <c r="G42" s="3982"/>
      <c r="H42" s="3982"/>
      <c r="I42" s="3982"/>
      <c r="J42" s="3982"/>
      <c r="K42" s="3982"/>
      <c r="L42" s="3982"/>
      <c r="M42" s="3982"/>
      <c r="N42" s="3982"/>
      <c r="O42" s="3982"/>
      <c r="P42" s="3982"/>
      <c r="Q42" s="3982"/>
      <c r="R42" s="3982"/>
      <c r="S42" s="3982"/>
      <c r="T42" s="3982"/>
      <c r="U42" s="3982"/>
      <c r="V42" s="3982"/>
      <c r="W42" s="3982"/>
      <c r="X42" s="3982"/>
      <c r="Y42" s="3982"/>
      <c r="Z42" s="3982"/>
      <c r="AA42" s="3983"/>
    </row>
    <row r="43" spans="1:29" ht="20.100000000000001" customHeight="1">
      <c r="A43" s="3981"/>
      <c r="B43" s="3982"/>
      <c r="C43" s="3982"/>
      <c r="D43" s="3982"/>
      <c r="E43" s="3982"/>
      <c r="F43" s="3982"/>
      <c r="G43" s="3982"/>
      <c r="H43" s="3982"/>
      <c r="I43" s="3982"/>
      <c r="J43" s="3982"/>
      <c r="K43" s="3982"/>
      <c r="L43" s="3982"/>
      <c r="M43" s="3982"/>
      <c r="N43" s="3982"/>
      <c r="O43" s="3982"/>
      <c r="P43" s="3982"/>
      <c r="Q43" s="3982"/>
      <c r="R43" s="3982"/>
      <c r="S43" s="3982"/>
      <c r="T43" s="3982"/>
      <c r="U43" s="3982"/>
      <c r="V43" s="3982"/>
      <c r="W43" s="3982"/>
      <c r="X43" s="3982"/>
      <c r="Y43" s="3982"/>
      <c r="Z43" s="3982"/>
      <c r="AA43" s="3983"/>
    </row>
    <row r="44" spans="1:29" ht="22.5" customHeight="1" thickBot="1">
      <c r="A44" s="3984"/>
      <c r="B44" s="3985"/>
      <c r="C44" s="3985"/>
      <c r="D44" s="3985"/>
      <c r="E44" s="3985"/>
      <c r="F44" s="3985"/>
      <c r="G44" s="3985"/>
      <c r="H44" s="3985"/>
      <c r="I44" s="3985"/>
      <c r="J44" s="3985"/>
      <c r="K44" s="3985"/>
      <c r="L44" s="3985"/>
      <c r="M44" s="3985"/>
      <c r="N44" s="3985"/>
      <c r="O44" s="3985"/>
      <c r="P44" s="3985"/>
      <c r="Q44" s="3985"/>
      <c r="R44" s="3985"/>
      <c r="S44" s="3985"/>
      <c r="T44" s="3985"/>
      <c r="U44" s="3985"/>
      <c r="V44" s="3985"/>
      <c r="W44" s="3985"/>
      <c r="X44" s="3985"/>
      <c r="Y44" s="3985"/>
      <c r="Z44" s="3985"/>
      <c r="AA44" s="3986"/>
    </row>
    <row r="46" spans="1:29" ht="14.85" customHeight="1"/>
    <row r="49" ht="14.1" customHeight="1"/>
  </sheetData>
  <mergeCells count="1">
    <mergeCell ref="A41:AA44"/>
  </mergeCells>
  <pageMargins left="0.25" right="0.25" top="0.5" bottom="0.25" header="0" footer="0.25"/>
  <pageSetup scale="49"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A1:R294"/>
  <sheetViews>
    <sheetView showGridLines="0" zoomScale="80" zoomScaleNormal="80" zoomScaleSheetLayoutView="70" workbookViewId="0"/>
  </sheetViews>
  <sheetFormatPr defaultRowHeight="15"/>
  <cols>
    <col min="1" max="1" width="2.109375" style="2782" customWidth="1"/>
    <col min="2" max="2" width="10.109375" style="2782" customWidth="1"/>
    <col min="3" max="3" width="2.109375" style="2901" customWidth="1"/>
    <col min="4" max="4" width="50.44140625" style="2782" customWidth="1"/>
    <col min="5" max="5" width="8.6640625" style="2901" customWidth="1"/>
    <col min="6" max="6" width="2.109375" style="2902" customWidth="1"/>
    <col min="7" max="7" width="21.6640625" style="2903" bestFit="1" customWidth="1"/>
    <col min="8" max="8" width="2.109375" style="2901" customWidth="1"/>
    <col min="9" max="9" width="21.5546875" style="2782" bestFit="1" customWidth="1"/>
    <col min="10" max="10" width="2.109375" style="2901" customWidth="1"/>
    <col min="11" max="11" width="21.6640625" style="2782" bestFit="1" customWidth="1"/>
    <col min="12" max="12" width="2.109375" style="2901" customWidth="1"/>
    <col min="13" max="13" width="20.6640625" style="2782" customWidth="1"/>
    <col min="14" max="14" width="2.109375" style="2901" customWidth="1"/>
    <col min="15" max="15" width="22.109375" style="3498" bestFit="1" customWidth="1"/>
    <col min="16" max="16" width="6.109375" style="2782" bestFit="1" customWidth="1"/>
    <col min="17" max="17" width="13.109375" style="2782" bestFit="1" customWidth="1"/>
    <col min="18" max="255" width="8.6640625" style="2782"/>
    <col min="256" max="257" width="8.6640625" style="2782" customWidth="1"/>
    <col min="258" max="258" width="10.109375" style="2782" customWidth="1"/>
    <col min="259" max="259" width="2.109375" style="2782" customWidth="1"/>
    <col min="260" max="260" width="50.44140625" style="2782" customWidth="1"/>
    <col min="261" max="261" width="8.6640625" style="2782"/>
    <col min="262" max="262" width="2.109375" style="2782" customWidth="1"/>
    <col min="263" max="263" width="23.6640625" style="2782" customWidth="1"/>
    <col min="264" max="264" width="2.109375" style="2782" customWidth="1"/>
    <col min="265" max="265" width="23.6640625" style="2782" customWidth="1"/>
    <col min="266" max="266" width="2.109375" style="2782" customWidth="1"/>
    <col min="267" max="267" width="23.6640625" style="2782" customWidth="1"/>
    <col min="268" max="268" width="2.109375" style="2782" customWidth="1"/>
    <col min="269" max="269" width="23.6640625" style="2782" customWidth="1"/>
    <col min="270" max="270" width="2.109375" style="2782" customWidth="1"/>
    <col min="271" max="271" width="23.6640625" style="2782" customWidth="1"/>
    <col min="272" max="272" width="2.6640625" style="2782" bestFit="1" customWidth="1"/>
    <col min="273" max="511" width="8.6640625" style="2782"/>
    <col min="512" max="513" width="8.6640625" style="2782" customWidth="1"/>
    <col min="514" max="514" width="10.109375" style="2782" customWidth="1"/>
    <col min="515" max="515" width="2.109375" style="2782" customWidth="1"/>
    <col min="516" max="516" width="50.44140625" style="2782" customWidth="1"/>
    <col min="517" max="517" width="8.6640625" style="2782"/>
    <col min="518" max="518" width="2.109375" style="2782" customWidth="1"/>
    <col min="519" max="519" width="23.6640625" style="2782" customWidth="1"/>
    <col min="520" max="520" width="2.109375" style="2782" customWidth="1"/>
    <col min="521" max="521" width="23.6640625" style="2782" customWidth="1"/>
    <col min="522" max="522" width="2.109375" style="2782" customWidth="1"/>
    <col min="523" max="523" width="23.6640625" style="2782" customWidth="1"/>
    <col min="524" max="524" width="2.109375" style="2782" customWidth="1"/>
    <col min="525" max="525" width="23.6640625" style="2782" customWidth="1"/>
    <col min="526" max="526" width="2.109375" style="2782" customWidth="1"/>
    <col min="527" max="527" width="23.6640625" style="2782" customWidth="1"/>
    <col min="528" max="528" width="2.6640625" style="2782" bestFit="1" customWidth="1"/>
    <col min="529" max="767" width="8.6640625" style="2782"/>
    <col min="768" max="769" width="8.6640625" style="2782" customWidth="1"/>
    <col min="770" max="770" width="10.109375" style="2782" customWidth="1"/>
    <col min="771" max="771" width="2.109375" style="2782" customWidth="1"/>
    <col min="772" max="772" width="50.44140625" style="2782" customWidth="1"/>
    <col min="773" max="773" width="8.6640625" style="2782"/>
    <col min="774" max="774" width="2.109375" style="2782" customWidth="1"/>
    <col min="775" max="775" width="23.6640625" style="2782" customWidth="1"/>
    <col min="776" max="776" width="2.109375" style="2782" customWidth="1"/>
    <col min="777" max="777" width="23.6640625" style="2782" customWidth="1"/>
    <col min="778" max="778" width="2.109375" style="2782" customWidth="1"/>
    <col min="779" max="779" width="23.6640625" style="2782" customWidth="1"/>
    <col min="780" max="780" width="2.109375" style="2782" customWidth="1"/>
    <col min="781" max="781" width="23.6640625" style="2782" customWidth="1"/>
    <col min="782" max="782" width="2.109375" style="2782" customWidth="1"/>
    <col min="783" max="783" width="23.6640625" style="2782" customWidth="1"/>
    <col min="784" max="784" width="2.6640625" style="2782" bestFit="1" customWidth="1"/>
    <col min="785" max="1023" width="8.6640625" style="2782"/>
    <col min="1024" max="1025" width="8.6640625" style="2782" customWidth="1"/>
    <col min="1026" max="1026" width="10.109375" style="2782" customWidth="1"/>
    <col min="1027" max="1027" width="2.109375" style="2782" customWidth="1"/>
    <col min="1028" max="1028" width="50.44140625" style="2782" customWidth="1"/>
    <col min="1029" max="1029" width="8.6640625" style="2782"/>
    <col min="1030" max="1030" width="2.109375" style="2782" customWidth="1"/>
    <col min="1031" max="1031" width="23.6640625" style="2782" customWidth="1"/>
    <col min="1032" max="1032" width="2.109375" style="2782" customWidth="1"/>
    <col min="1033" max="1033" width="23.6640625" style="2782" customWidth="1"/>
    <col min="1034" max="1034" width="2.109375" style="2782" customWidth="1"/>
    <col min="1035" max="1035" width="23.6640625" style="2782" customWidth="1"/>
    <col min="1036" max="1036" width="2.109375" style="2782" customWidth="1"/>
    <col min="1037" max="1037" width="23.6640625" style="2782" customWidth="1"/>
    <col min="1038" max="1038" width="2.109375" style="2782" customWidth="1"/>
    <col min="1039" max="1039" width="23.6640625" style="2782" customWidth="1"/>
    <col min="1040" max="1040" width="2.6640625" style="2782" bestFit="1" customWidth="1"/>
    <col min="1041" max="1279" width="8.6640625" style="2782"/>
    <col min="1280" max="1281" width="8.6640625" style="2782" customWidth="1"/>
    <col min="1282" max="1282" width="10.109375" style="2782" customWidth="1"/>
    <col min="1283" max="1283" width="2.109375" style="2782" customWidth="1"/>
    <col min="1284" max="1284" width="50.44140625" style="2782" customWidth="1"/>
    <col min="1285" max="1285" width="8.6640625" style="2782"/>
    <col min="1286" max="1286" width="2.109375" style="2782" customWidth="1"/>
    <col min="1287" max="1287" width="23.6640625" style="2782" customWidth="1"/>
    <col min="1288" max="1288" width="2.109375" style="2782" customWidth="1"/>
    <col min="1289" max="1289" width="23.6640625" style="2782" customWidth="1"/>
    <col min="1290" max="1290" width="2.109375" style="2782" customWidth="1"/>
    <col min="1291" max="1291" width="23.6640625" style="2782" customWidth="1"/>
    <col min="1292" max="1292" width="2.109375" style="2782" customWidth="1"/>
    <col min="1293" max="1293" width="23.6640625" style="2782" customWidth="1"/>
    <col min="1294" max="1294" width="2.109375" style="2782" customWidth="1"/>
    <col min="1295" max="1295" width="23.6640625" style="2782" customWidth="1"/>
    <col min="1296" max="1296" width="2.6640625" style="2782" bestFit="1" customWidth="1"/>
    <col min="1297" max="1535" width="8.6640625" style="2782"/>
    <col min="1536" max="1537" width="8.6640625" style="2782" customWidth="1"/>
    <col min="1538" max="1538" width="10.109375" style="2782" customWidth="1"/>
    <col min="1539" max="1539" width="2.109375" style="2782" customWidth="1"/>
    <col min="1540" max="1540" width="50.44140625" style="2782" customWidth="1"/>
    <col min="1541" max="1541" width="8.6640625" style="2782"/>
    <col min="1542" max="1542" width="2.109375" style="2782" customWidth="1"/>
    <col min="1543" max="1543" width="23.6640625" style="2782" customWidth="1"/>
    <col min="1544" max="1544" width="2.109375" style="2782" customWidth="1"/>
    <col min="1545" max="1545" width="23.6640625" style="2782" customWidth="1"/>
    <col min="1546" max="1546" width="2.109375" style="2782" customWidth="1"/>
    <col min="1547" max="1547" width="23.6640625" style="2782" customWidth="1"/>
    <col min="1548" max="1548" width="2.109375" style="2782" customWidth="1"/>
    <col min="1549" max="1549" width="23.6640625" style="2782" customWidth="1"/>
    <col min="1550" max="1550" width="2.109375" style="2782" customWidth="1"/>
    <col min="1551" max="1551" width="23.6640625" style="2782" customWidth="1"/>
    <col min="1552" max="1552" width="2.6640625" style="2782" bestFit="1" customWidth="1"/>
    <col min="1553" max="1791" width="8.6640625" style="2782"/>
    <col min="1792" max="1793" width="8.6640625" style="2782" customWidth="1"/>
    <col min="1794" max="1794" width="10.109375" style="2782" customWidth="1"/>
    <col min="1795" max="1795" width="2.109375" style="2782" customWidth="1"/>
    <col min="1796" max="1796" width="50.44140625" style="2782" customWidth="1"/>
    <col min="1797" max="1797" width="8.6640625" style="2782"/>
    <col min="1798" max="1798" width="2.109375" style="2782" customWidth="1"/>
    <col min="1799" max="1799" width="23.6640625" style="2782" customWidth="1"/>
    <col min="1800" max="1800" width="2.109375" style="2782" customWidth="1"/>
    <col min="1801" max="1801" width="23.6640625" style="2782" customWidth="1"/>
    <col min="1802" max="1802" width="2.109375" style="2782" customWidth="1"/>
    <col min="1803" max="1803" width="23.6640625" style="2782" customWidth="1"/>
    <col min="1804" max="1804" width="2.109375" style="2782" customWidth="1"/>
    <col min="1805" max="1805" width="23.6640625" style="2782" customWidth="1"/>
    <col min="1806" max="1806" width="2.109375" style="2782" customWidth="1"/>
    <col min="1807" max="1807" width="23.6640625" style="2782" customWidth="1"/>
    <col min="1808" max="1808" width="2.6640625" style="2782" bestFit="1" customWidth="1"/>
    <col min="1809" max="2047" width="8.6640625" style="2782"/>
    <col min="2048" max="2049" width="8.6640625" style="2782" customWidth="1"/>
    <col min="2050" max="2050" width="10.109375" style="2782" customWidth="1"/>
    <col min="2051" max="2051" width="2.109375" style="2782" customWidth="1"/>
    <col min="2052" max="2052" width="50.44140625" style="2782" customWidth="1"/>
    <col min="2053" max="2053" width="8.6640625" style="2782"/>
    <col min="2054" max="2054" width="2.109375" style="2782" customWidth="1"/>
    <col min="2055" max="2055" width="23.6640625" style="2782" customWidth="1"/>
    <col min="2056" max="2056" width="2.109375" style="2782" customWidth="1"/>
    <col min="2057" max="2057" width="23.6640625" style="2782" customWidth="1"/>
    <col min="2058" max="2058" width="2.109375" style="2782" customWidth="1"/>
    <col min="2059" max="2059" width="23.6640625" style="2782" customWidth="1"/>
    <col min="2060" max="2060" width="2.109375" style="2782" customWidth="1"/>
    <col min="2061" max="2061" width="23.6640625" style="2782" customWidth="1"/>
    <col min="2062" max="2062" width="2.109375" style="2782" customWidth="1"/>
    <col min="2063" max="2063" width="23.6640625" style="2782" customWidth="1"/>
    <col min="2064" max="2064" width="2.6640625" style="2782" bestFit="1" customWidth="1"/>
    <col min="2065" max="2303" width="8.6640625" style="2782"/>
    <col min="2304" max="2305" width="8.6640625" style="2782" customWidth="1"/>
    <col min="2306" max="2306" width="10.109375" style="2782" customWidth="1"/>
    <col min="2307" max="2307" width="2.109375" style="2782" customWidth="1"/>
    <col min="2308" max="2308" width="50.44140625" style="2782" customWidth="1"/>
    <col min="2309" max="2309" width="8.6640625" style="2782"/>
    <col min="2310" max="2310" width="2.109375" style="2782" customWidth="1"/>
    <col min="2311" max="2311" width="23.6640625" style="2782" customWidth="1"/>
    <col min="2312" max="2312" width="2.109375" style="2782" customWidth="1"/>
    <col min="2313" max="2313" width="23.6640625" style="2782" customWidth="1"/>
    <col min="2314" max="2314" width="2.109375" style="2782" customWidth="1"/>
    <col min="2315" max="2315" width="23.6640625" style="2782" customWidth="1"/>
    <col min="2316" max="2316" width="2.109375" style="2782" customWidth="1"/>
    <col min="2317" max="2317" width="23.6640625" style="2782" customWidth="1"/>
    <col min="2318" max="2318" width="2.109375" style="2782" customWidth="1"/>
    <col min="2319" max="2319" width="23.6640625" style="2782" customWidth="1"/>
    <col min="2320" max="2320" width="2.6640625" style="2782" bestFit="1" customWidth="1"/>
    <col min="2321" max="2559" width="8.6640625" style="2782"/>
    <col min="2560" max="2561" width="8.6640625" style="2782" customWidth="1"/>
    <col min="2562" max="2562" width="10.109375" style="2782" customWidth="1"/>
    <col min="2563" max="2563" width="2.109375" style="2782" customWidth="1"/>
    <col min="2564" max="2564" width="50.44140625" style="2782" customWidth="1"/>
    <col min="2565" max="2565" width="8.6640625" style="2782"/>
    <col min="2566" max="2566" width="2.109375" style="2782" customWidth="1"/>
    <col min="2567" max="2567" width="23.6640625" style="2782" customWidth="1"/>
    <col min="2568" max="2568" width="2.109375" style="2782" customWidth="1"/>
    <col min="2569" max="2569" width="23.6640625" style="2782" customWidth="1"/>
    <col min="2570" max="2570" width="2.109375" style="2782" customWidth="1"/>
    <col min="2571" max="2571" width="23.6640625" style="2782" customWidth="1"/>
    <col min="2572" max="2572" width="2.109375" style="2782" customWidth="1"/>
    <col min="2573" max="2573" width="23.6640625" style="2782" customWidth="1"/>
    <col min="2574" max="2574" width="2.109375" style="2782" customWidth="1"/>
    <col min="2575" max="2575" width="23.6640625" style="2782" customWidth="1"/>
    <col min="2576" max="2576" width="2.6640625" style="2782" bestFit="1" customWidth="1"/>
    <col min="2577" max="2815" width="8.6640625" style="2782"/>
    <col min="2816" max="2817" width="8.6640625" style="2782" customWidth="1"/>
    <col min="2818" max="2818" width="10.109375" style="2782" customWidth="1"/>
    <col min="2819" max="2819" width="2.109375" style="2782" customWidth="1"/>
    <col min="2820" max="2820" width="50.44140625" style="2782" customWidth="1"/>
    <col min="2821" max="2821" width="8.6640625" style="2782"/>
    <col min="2822" max="2822" width="2.109375" style="2782" customWidth="1"/>
    <col min="2823" max="2823" width="23.6640625" style="2782" customWidth="1"/>
    <col min="2824" max="2824" width="2.109375" style="2782" customWidth="1"/>
    <col min="2825" max="2825" width="23.6640625" style="2782" customWidth="1"/>
    <col min="2826" max="2826" width="2.109375" style="2782" customWidth="1"/>
    <col min="2827" max="2827" width="23.6640625" style="2782" customWidth="1"/>
    <col min="2828" max="2828" width="2.109375" style="2782" customWidth="1"/>
    <col min="2829" max="2829" width="23.6640625" style="2782" customWidth="1"/>
    <col min="2830" max="2830" width="2.109375" style="2782" customWidth="1"/>
    <col min="2831" max="2831" width="23.6640625" style="2782" customWidth="1"/>
    <col min="2832" max="2832" width="2.6640625" style="2782" bestFit="1" customWidth="1"/>
    <col min="2833" max="3071" width="8.6640625" style="2782"/>
    <col min="3072" max="3073" width="8.6640625" style="2782" customWidth="1"/>
    <col min="3074" max="3074" width="10.109375" style="2782" customWidth="1"/>
    <col min="3075" max="3075" width="2.109375" style="2782" customWidth="1"/>
    <col min="3076" max="3076" width="50.44140625" style="2782" customWidth="1"/>
    <col min="3077" max="3077" width="8.6640625" style="2782"/>
    <col min="3078" max="3078" width="2.109375" style="2782" customWidth="1"/>
    <col min="3079" max="3079" width="23.6640625" style="2782" customWidth="1"/>
    <col min="3080" max="3080" width="2.109375" style="2782" customWidth="1"/>
    <col min="3081" max="3081" width="23.6640625" style="2782" customWidth="1"/>
    <col min="3082" max="3082" width="2.109375" style="2782" customWidth="1"/>
    <col min="3083" max="3083" width="23.6640625" style="2782" customWidth="1"/>
    <col min="3084" max="3084" width="2.109375" style="2782" customWidth="1"/>
    <col min="3085" max="3085" width="23.6640625" style="2782" customWidth="1"/>
    <col min="3086" max="3086" width="2.109375" style="2782" customWidth="1"/>
    <col min="3087" max="3087" width="23.6640625" style="2782" customWidth="1"/>
    <col min="3088" max="3088" width="2.6640625" style="2782" bestFit="1" customWidth="1"/>
    <col min="3089" max="3327" width="8.6640625" style="2782"/>
    <col min="3328" max="3329" width="8.6640625" style="2782" customWidth="1"/>
    <col min="3330" max="3330" width="10.109375" style="2782" customWidth="1"/>
    <col min="3331" max="3331" width="2.109375" style="2782" customWidth="1"/>
    <col min="3332" max="3332" width="50.44140625" style="2782" customWidth="1"/>
    <col min="3333" max="3333" width="8.6640625" style="2782"/>
    <col min="3334" max="3334" width="2.109375" style="2782" customWidth="1"/>
    <col min="3335" max="3335" width="23.6640625" style="2782" customWidth="1"/>
    <col min="3336" max="3336" width="2.109375" style="2782" customWidth="1"/>
    <col min="3337" max="3337" width="23.6640625" style="2782" customWidth="1"/>
    <col min="3338" max="3338" width="2.109375" style="2782" customWidth="1"/>
    <col min="3339" max="3339" width="23.6640625" style="2782" customWidth="1"/>
    <col min="3340" max="3340" width="2.109375" style="2782" customWidth="1"/>
    <col min="3341" max="3341" width="23.6640625" style="2782" customWidth="1"/>
    <col min="3342" max="3342" width="2.109375" style="2782" customWidth="1"/>
    <col min="3343" max="3343" width="23.6640625" style="2782" customWidth="1"/>
    <col min="3344" max="3344" width="2.6640625" style="2782" bestFit="1" customWidth="1"/>
    <col min="3345" max="3583" width="8.6640625" style="2782"/>
    <col min="3584" max="3585" width="8.6640625" style="2782" customWidth="1"/>
    <col min="3586" max="3586" width="10.109375" style="2782" customWidth="1"/>
    <col min="3587" max="3587" width="2.109375" style="2782" customWidth="1"/>
    <col min="3588" max="3588" width="50.44140625" style="2782" customWidth="1"/>
    <col min="3589" max="3589" width="8.6640625" style="2782"/>
    <col min="3590" max="3590" width="2.109375" style="2782" customWidth="1"/>
    <col min="3591" max="3591" width="23.6640625" style="2782" customWidth="1"/>
    <col min="3592" max="3592" width="2.109375" style="2782" customWidth="1"/>
    <col min="3593" max="3593" width="23.6640625" style="2782" customWidth="1"/>
    <col min="3594" max="3594" width="2.109375" style="2782" customWidth="1"/>
    <col min="3595" max="3595" width="23.6640625" style="2782" customWidth="1"/>
    <col min="3596" max="3596" width="2.109375" style="2782" customWidth="1"/>
    <col min="3597" max="3597" width="23.6640625" style="2782" customWidth="1"/>
    <col min="3598" max="3598" width="2.109375" style="2782" customWidth="1"/>
    <col min="3599" max="3599" width="23.6640625" style="2782" customWidth="1"/>
    <col min="3600" max="3600" width="2.6640625" style="2782" bestFit="1" customWidth="1"/>
    <col min="3601" max="3839" width="8.6640625" style="2782"/>
    <col min="3840" max="3841" width="8.6640625" style="2782" customWidth="1"/>
    <col min="3842" max="3842" width="10.109375" style="2782" customWidth="1"/>
    <col min="3843" max="3843" width="2.109375" style="2782" customWidth="1"/>
    <col min="3844" max="3844" width="50.44140625" style="2782" customWidth="1"/>
    <col min="3845" max="3845" width="8.6640625" style="2782"/>
    <col min="3846" max="3846" width="2.109375" style="2782" customWidth="1"/>
    <col min="3847" max="3847" width="23.6640625" style="2782" customWidth="1"/>
    <col min="3848" max="3848" width="2.109375" style="2782" customWidth="1"/>
    <col min="3849" max="3849" width="23.6640625" style="2782" customWidth="1"/>
    <col min="3850" max="3850" width="2.109375" style="2782" customWidth="1"/>
    <col min="3851" max="3851" width="23.6640625" style="2782" customWidth="1"/>
    <col min="3852" max="3852" width="2.109375" style="2782" customWidth="1"/>
    <col min="3853" max="3853" width="23.6640625" style="2782" customWidth="1"/>
    <col min="3854" max="3854" width="2.109375" style="2782" customWidth="1"/>
    <col min="3855" max="3855" width="23.6640625" style="2782" customWidth="1"/>
    <col min="3856" max="3856" width="2.6640625" style="2782" bestFit="1" customWidth="1"/>
    <col min="3857" max="4095" width="8.6640625" style="2782"/>
    <col min="4096" max="4097" width="8.6640625" style="2782" customWidth="1"/>
    <col min="4098" max="4098" width="10.109375" style="2782" customWidth="1"/>
    <col min="4099" max="4099" width="2.109375" style="2782" customWidth="1"/>
    <col min="4100" max="4100" width="50.44140625" style="2782" customWidth="1"/>
    <col min="4101" max="4101" width="8.6640625" style="2782"/>
    <col min="4102" max="4102" width="2.109375" style="2782" customWidth="1"/>
    <col min="4103" max="4103" width="23.6640625" style="2782" customWidth="1"/>
    <col min="4104" max="4104" width="2.109375" style="2782" customWidth="1"/>
    <col min="4105" max="4105" width="23.6640625" style="2782" customWidth="1"/>
    <col min="4106" max="4106" width="2.109375" style="2782" customWidth="1"/>
    <col min="4107" max="4107" width="23.6640625" style="2782" customWidth="1"/>
    <col min="4108" max="4108" width="2.109375" style="2782" customWidth="1"/>
    <col min="4109" max="4109" width="23.6640625" style="2782" customWidth="1"/>
    <col min="4110" max="4110" width="2.109375" style="2782" customWidth="1"/>
    <col min="4111" max="4111" width="23.6640625" style="2782" customWidth="1"/>
    <col min="4112" max="4112" width="2.6640625" style="2782" bestFit="1" customWidth="1"/>
    <col min="4113" max="4351" width="8.6640625" style="2782"/>
    <col min="4352" max="4353" width="8.6640625" style="2782" customWidth="1"/>
    <col min="4354" max="4354" width="10.109375" style="2782" customWidth="1"/>
    <col min="4355" max="4355" width="2.109375" style="2782" customWidth="1"/>
    <col min="4356" max="4356" width="50.44140625" style="2782" customWidth="1"/>
    <col min="4357" max="4357" width="8.6640625" style="2782"/>
    <col min="4358" max="4358" width="2.109375" style="2782" customWidth="1"/>
    <col min="4359" max="4359" width="23.6640625" style="2782" customWidth="1"/>
    <col min="4360" max="4360" width="2.109375" style="2782" customWidth="1"/>
    <col min="4361" max="4361" width="23.6640625" style="2782" customWidth="1"/>
    <col min="4362" max="4362" width="2.109375" style="2782" customWidth="1"/>
    <col min="4363" max="4363" width="23.6640625" style="2782" customWidth="1"/>
    <col min="4364" max="4364" width="2.109375" style="2782" customWidth="1"/>
    <col min="4365" max="4365" width="23.6640625" style="2782" customWidth="1"/>
    <col min="4366" max="4366" width="2.109375" style="2782" customWidth="1"/>
    <col min="4367" max="4367" width="23.6640625" style="2782" customWidth="1"/>
    <col min="4368" max="4368" width="2.6640625" style="2782" bestFit="1" customWidth="1"/>
    <col min="4369" max="4607" width="8.6640625" style="2782"/>
    <col min="4608" max="4609" width="8.6640625" style="2782" customWidth="1"/>
    <col min="4610" max="4610" width="10.109375" style="2782" customWidth="1"/>
    <col min="4611" max="4611" width="2.109375" style="2782" customWidth="1"/>
    <col min="4612" max="4612" width="50.44140625" style="2782" customWidth="1"/>
    <col min="4613" max="4613" width="8.6640625" style="2782"/>
    <col min="4614" max="4614" width="2.109375" style="2782" customWidth="1"/>
    <col min="4615" max="4615" width="23.6640625" style="2782" customWidth="1"/>
    <col min="4616" max="4616" width="2.109375" style="2782" customWidth="1"/>
    <col min="4617" max="4617" width="23.6640625" style="2782" customWidth="1"/>
    <col min="4618" max="4618" width="2.109375" style="2782" customWidth="1"/>
    <col min="4619" max="4619" width="23.6640625" style="2782" customWidth="1"/>
    <col min="4620" max="4620" width="2.109375" style="2782" customWidth="1"/>
    <col min="4621" max="4621" width="23.6640625" style="2782" customWidth="1"/>
    <col min="4622" max="4622" width="2.109375" style="2782" customWidth="1"/>
    <col min="4623" max="4623" width="23.6640625" style="2782" customWidth="1"/>
    <col min="4624" max="4624" width="2.6640625" style="2782" bestFit="1" customWidth="1"/>
    <col min="4625" max="4863" width="8.6640625" style="2782"/>
    <col min="4864" max="4865" width="8.6640625" style="2782" customWidth="1"/>
    <col min="4866" max="4866" width="10.109375" style="2782" customWidth="1"/>
    <col min="4867" max="4867" width="2.109375" style="2782" customWidth="1"/>
    <col min="4868" max="4868" width="50.44140625" style="2782" customWidth="1"/>
    <col min="4869" max="4869" width="8.6640625" style="2782"/>
    <col min="4870" max="4870" width="2.109375" style="2782" customWidth="1"/>
    <col min="4871" max="4871" width="23.6640625" style="2782" customWidth="1"/>
    <col min="4872" max="4872" width="2.109375" style="2782" customWidth="1"/>
    <col min="4873" max="4873" width="23.6640625" style="2782" customWidth="1"/>
    <col min="4874" max="4874" width="2.109375" style="2782" customWidth="1"/>
    <col min="4875" max="4875" width="23.6640625" style="2782" customWidth="1"/>
    <col min="4876" max="4876" width="2.109375" style="2782" customWidth="1"/>
    <col min="4877" max="4877" width="23.6640625" style="2782" customWidth="1"/>
    <col min="4878" max="4878" width="2.109375" style="2782" customWidth="1"/>
    <col min="4879" max="4879" width="23.6640625" style="2782" customWidth="1"/>
    <col min="4880" max="4880" width="2.6640625" style="2782" bestFit="1" customWidth="1"/>
    <col min="4881" max="5119" width="8.6640625" style="2782"/>
    <col min="5120" max="5121" width="8.6640625" style="2782" customWidth="1"/>
    <col min="5122" max="5122" width="10.109375" style="2782" customWidth="1"/>
    <col min="5123" max="5123" width="2.109375" style="2782" customWidth="1"/>
    <col min="5124" max="5124" width="50.44140625" style="2782" customWidth="1"/>
    <col min="5125" max="5125" width="8.6640625" style="2782"/>
    <col min="5126" max="5126" width="2.109375" style="2782" customWidth="1"/>
    <col min="5127" max="5127" width="23.6640625" style="2782" customWidth="1"/>
    <col min="5128" max="5128" width="2.109375" style="2782" customWidth="1"/>
    <col min="5129" max="5129" width="23.6640625" style="2782" customWidth="1"/>
    <col min="5130" max="5130" width="2.109375" style="2782" customWidth="1"/>
    <col min="5131" max="5131" width="23.6640625" style="2782" customWidth="1"/>
    <col min="5132" max="5132" width="2.109375" style="2782" customWidth="1"/>
    <col min="5133" max="5133" width="23.6640625" style="2782" customWidth="1"/>
    <col min="5134" max="5134" width="2.109375" style="2782" customWidth="1"/>
    <col min="5135" max="5135" width="23.6640625" style="2782" customWidth="1"/>
    <col min="5136" max="5136" width="2.6640625" style="2782" bestFit="1" customWidth="1"/>
    <col min="5137" max="5375" width="8.6640625" style="2782"/>
    <col min="5376" max="5377" width="8.6640625" style="2782" customWidth="1"/>
    <col min="5378" max="5378" width="10.109375" style="2782" customWidth="1"/>
    <col min="5379" max="5379" width="2.109375" style="2782" customWidth="1"/>
    <col min="5380" max="5380" width="50.44140625" style="2782" customWidth="1"/>
    <col min="5381" max="5381" width="8.6640625" style="2782"/>
    <col min="5382" max="5382" width="2.109375" style="2782" customWidth="1"/>
    <col min="5383" max="5383" width="23.6640625" style="2782" customWidth="1"/>
    <col min="5384" max="5384" width="2.109375" style="2782" customWidth="1"/>
    <col min="5385" max="5385" width="23.6640625" style="2782" customWidth="1"/>
    <col min="5386" max="5386" width="2.109375" style="2782" customWidth="1"/>
    <col min="5387" max="5387" width="23.6640625" style="2782" customWidth="1"/>
    <col min="5388" max="5388" width="2.109375" style="2782" customWidth="1"/>
    <col min="5389" max="5389" width="23.6640625" style="2782" customWidth="1"/>
    <col min="5390" max="5390" width="2.109375" style="2782" customWidth="1"/>
    <col min="5391" max="5391" width="23.6640625" style="2782" customWidth="1"/>
    <col min="5392" max="5392" width="2.6640625" style="2782" bestFit="1" customWidth="1"/>
    <col min="5393" max="5631" width="8.6640625" style="2782"/>
    <col min="5632" max="5633" width="8.6640625" style="2782" customWidth="1"/>
    <col min="5634" max="5634" width="10.109375" style="2782" customWidth="1"/>
    <col min="5635" max="5635" width="2.109375" style="2782" customWidth="1"/>
    <col min="5636" max="5636" width="50.44140625" style="2782" customWidth="1"/>
    <col min="5637" max="5637" width="8.6640625" style="2782"/>
    <col min="5638" max="5638" width="2.109375" style="2782" customWidth="1"/>
    <col min="5639" max="5639" width="23.6640625" style="2782" customWidth="1"/>
    <col min="5640" max="5640" width="2.109375" style="2782" customWidth="1"/>
    <col min="5641" max="5641" width="23.6640625" style="2782" customWidth="1"/>
    <col min="5642" max="5642" width="2.109375" style="2782" customWidth="1"/>
    <col min="5643" max="5643" width="23.6640625" style="2782" customWidth="1"/>
    <col min="5644" max="5644" width="2.109375" style="2782" customWidth="1"/>
    <col min="5645" max="5645" width="23.6640625" style="2782" customWidth="1"/>
    <col min="5646" max="5646" width="2.109375" style="2782" customWidth="1"/>
    <col min="5647" max="5647" width="23.6640625" style="2782" customWidth="1"/>
    <col min="5648" max="5648" width="2.6640625" style="2782" bestFit="1" customWidth="1"/>
    <col min="5649" max="5887" width="8.6640625" style="2782"/>
    <col min="5888" max="5889" width="8.6640625" style="2782" customWidth="1"/>
    <col min="5890" max="5890" width="10.109375" style="2782" customWidth="1"/>
    <col min="5891" max="5891" width="2.109375" style="2782" customWidth="1"/>
    <col min="5892" max="5892" width="50.44140625" style="2782" customWidth="1"/>
    <col min="5893" max="5893" width="8.6640625" style="2782"/>
    <col min="5894" max="5894" width="2.109375" style="2782" customWidth="1"/>
    <col min="5895" max="5895" width="23.6640625" style="2782" customWidth="1"/>
    <col min="5896" max="5896" width="2.109375" style="2782" customWidth="1"/>
    <col min="5897" max="5897" width="23.6640625" style="2782" customWidth="1"/>
    <col min="5898" max="5898" width="2.109375" style="2782" customWidth="1"/>
    <col min="5899" max="5899" width="23.6640625" style="2782" customWidth="1"/>
    <col min="5900" max="5900" width="2.109375" style="2782" customWidth="1"/>
    <col min="5901" max="5901" width="23.6640625" style="2782" customWidth="1"/>
    <col min="5902" max="5902" width="2.109375" style="2782" customWidth="1"/>
    <col min="5903" max="5903" width="23.6640625" style="2782" customWidth="1"/>
    <col min="5904" max="5904" width="2.6640625" style="2782" bestFit="1" customWidth="1"/>
    <col min="5905" max="6143" width="8.6640625" style="2782"/>
    <col min="6144" max="6145" width="8.6640625" style="2782" customWidth="1"/>
    <col min="6146" max="6146" width="10.109375" style="2782" customWidth="1"/>
    <col min="6147" max="6147" width="2.109375" style="2782" customWidth="1"/>
    <col min="6148" max="6148" width="50.44140625" style="2782" customWidth="1"/>
    <col min="6149" max="6149" width="8.6640625" style="2782"/>
    <col min="6150" max="6150" width="2.109375" style="2782" customWidth="1"/>
    <col min="6151" max="6151" width="23.6640625" style="2782" customWidth="1"/>
    <col min="6152" max="6152" width="2.109375" style="2782" customWidth="1"/>
    <col min="6153" max="6153" width="23.6640625" style="2782" customWidth="1"/>
    <col min="6154" max="6154" width="2.109375" style="2782" customWidth="1"/>
    <col min="6155" max="6155" width="23.6640625" style="2782" customWidth="1"/>
    <col min="6156" max="6156" width="2.109375" style="2782" customWidth="1"/>
    <col min="6157" max="6157" width="23.6640625" style="2782" customWidth="1"/>
    <col min="6158" max="6158" width="2.109375" style="2782" customWidth="1"/>
    <col min="6159" max="6159" width="23.6640625" style="2782" customWidth="1"/>
    <col min="6160" max="6160" width="2.6640625" style="2782" bestFit="1" customWidth="1"/>
    <col min="6161" max="6399" width="8.6640625" style="2782"/>
    <col min="6400" max="6401" width="8.6640625" style="2782" customWidth="1"/>
    <col min="6402" max="6402" width="10.109375" style="2782" customWidth="1"/>
    <col min="6403" max="6403" width="2.109375" style="2782" customWidth="1"/>
    <col min="6404" max="6404" width="50.44140625" style="2782" customWidth="1"/>
    <col min="6405" max="6405" width="8.6640625" style="2782"/>
    <col min="6406" max="6406" width="2.109375" style="2782" customWidth="1"/>
    <col min="6407" max="6407" width="23.6640625" style="2782" customWidth="1"/>
    <col min="6408" max="6408" width="2.109375" style="2782" customWidth="1"/>
    <col min="6409" max="6409" width="23.6640625" style="2782" customWidth="1"/>
    <col min="6410" max="6410" width="2.109375" style="2782" customWidth="1"/>
    <col min="6411" max="6411" width="23.6640625" style="2782" customWidth="1"/>
    <col min="6412" max="6412" width="2.109375" style="2782" customWidth="1"/>
    <col min="6413" max="6413" width="23.6640625" style="2782" customWidth="1"/>
    <col min="6414" max="6414" width="2.109375" style="2782" customWidth="1"/>
    <col min="6415" max="6415" width="23.6640625" style="2782" customWidth="1"/>
    <col min="6416" max="6416" width="2.6640625" style="2782" bestFit="1" customWidth="1"/>
    <col min="6417" max="6655" width="8.6640625" style="2782"/>
    <col min="6656" max="6657" width="8.6640625" style="2782" customWidth="1"/>
    <col min="6658" max="6658" width="10.109375" style="2782" customWidth="1"/>
    <col min="6659" max="6659" width="2.109375" style="2782" customWidth="1"/>
    <col min="6660" max="6660" width="50.44140625" style="2782" customWidth="1"/>
    <col min="6661" max="6661" width="8.6640625" style="2782"/>
    <col min="6662" max="6662" width="2.109375" style="2782" customWidth="1"/>
    <col min="6663" max="6663" width="23.6640625" style="2782" customWidth="1"/>
    <col min="6664" max="6664" width="2.109375" style="2782" customWidth="1"/>
    <col min="6665" max="6665" width="23.6640625" style="2782" customWidth="1"/>
    <col min="6666" max="6666" width="2.109375" style="2782" customWidth="1"/>
    <col min="6667" max="6667" width="23.6640625" style="2782" customWidth="1"/>
    <col min="6668" max="6668" width="2.109375" style="2782" customWidth="1"/>
    <col min="6669" max="6669" width="23.6640625" style="2782" customWidth="1"/>
    <col min="6670" max="6670" width="2.109375" style="2782" customWidth="1"/>
    <col min="6671" max="6671" width="23.6640625" style="2782" customWidth="1"/>
    <col min="6672" max="6672" width="2.6640625" style="2782" bestFit="1" customWidth="1"/>
    <col min="6673" max="6911" width="8.6640625" style="2782"/>
    <col min="6912" max="6913" width="8.6640625" style="2782" customWidth="1"/>
    <col min="6914" max="6914" width="10.109375" style="2782" customWidth="1"/>
    <col min="6915" max="6915" width="2.109375" style="2782" customWidth="1"/>
    <col min="6916" max="6916" width="50.44140625" style="2782" customWidth="1"/>
    <col min="6917" max="6917" width="8.6640625" style="2782"/>
    <col min="6918" max="6918" width="2.109375" style="2782" customWidth="1"/>
    <col min="6919" max="6919" width="23.6640625" style="2782" customWidth="1"/>
    <col min="6920" max="6920" width="2.109375" style="2782" customWidth="1"/>
    <col min="6921" max="6921" width="23.6640625" style="2782" customWidth="1"/>
    <col min="6922" max="6922" width="2.109375" style="2782" customWidth="1"/>
    <col min="6923" max="6923" width="23.6640625" style="2782" customWidth="1"/>
    <col min="6924" max="6924" width="2.109375" style="2782" customWidth="1"/>
    <col min="6925" max="6925" width="23.6640625" style="2782" customWidth="1"/>
    <col min="6926" max="6926" width="2.109375" style="2782" customWidth="1"/>
    <col min="6927" max="6927" width="23.6640625" style="2782" customWidth="1"/>
    <col min="6928" max="6928" width="2.6640625" style="2782" bestFit="1" customWidth="1"/>
    <col min="6929" max="7167" width="8.6640625" style="2782"/>
    <col min="7168" max="7169" width="8.6640625" style="2782" customWidth="1"/>
    <col min="7170" max="7170" width="10.109375" style="2782" customWidth="1"/>
    <col min="7171" max="7171" width="2.109375" style="2782" customWidth="1"/>
    <col min="7172" max="7172" width="50.44140625" style="2782" customWidth="1"/>
    <col min="7173" max="7173" width="8.6640625" style="2782"/>
    <col min="7174" max="7174" width="2.109375" style="2782" customWidth="1"/>
    <col min="7175" max="7175" width="23.6640625" style="2782" customWidth="1"/>
    <col min="7176" max="7176" width="2.109375" style="2782" customWidth="1"/>
    <col min="7177" max="7177" width="23.6640625" style="2782" customWidth="1"/>
    <col min="7178" max="7178" width="2.109375" style="2782" customWidth="1"/>
    <col min="7179" max="7179" width="23.6640625" style="2782" customWidth="1"/>
    <col min="7180" max="7180" width="2.109375" style="2782" customWidth="1"/>
    <col min="7181" max="7181" width="23.6640625" style="2782" customWidth="1"/>
    <col min="7182" max="7182" width="2.109375" style="2782" customWidth="1"/>
    <col min="7183" max="7183" width="23.6640625" style="2782" customWidth="1"/>
    <col min="7184" max="7184" width="2.6640625" style="2782" bestFit="1" customWidth="1"/>
    <col min="7185" max="7423" width="8.6640625" style="2782"/>
    <col min="7424" max="7425" width="8.6640625" style="2782" customWidth="1"/>
    <col min="7426" max="7426" width="10.109375" style="2782" customWidth="1"/>
    <col min="7427" max="7427" width="2.109375" style="2782" customWidth="1"/>
    <col min="7428" max="7428" width="50.44140625" style="2782" customWidth="1"/>
    <col min="7429" max="7429" width="8.6640625" style="2782"/>
    <col min="7430" max="7430" width="2.109375" style="2782" customWidth="1"/>
    <col min="7431" max="7431" width="23.6640625" style="2782" customWidth="1"/>
    <col min="7432" max="7432" width="2.109375" style="2782" customWidth="1"/>
    <col min="7433" max="7433" width="23.6640625" style="2782" customWidth="1"/>
    <col min="7434" max="7434" width="2.109375" style="2782" customWidth="1"/>
    <col min="7435" max="7435" width="23.6640625" style="2782" customWidth="1"/>
    <col min="7436" max="7436" width="2.109375" style="2782" customWidth="1"/>
    <col min="7437" max="7437" width="23.6640625" style="2782" customWidth="1"/>
    <col min="7438" max="7438" width="2.109375" style="2782" customWidth="1"/>
    <col min="7439" max="7439" width="23.6640625" style="2782" customWidth="1"/>
    <col min="7440" max="7440" width="2.6640625" style="2782" bestFit="1" customWidth="1"/>
    <col min="7441" max="7679" width="8.6640625" style="2782"/>
    <col min="7680" max="7681" width="8.6640625" style="2782" customWidth="1"/>
    <col min="7682" max="7682" width="10.109375" style="2782" customWidth="1"/>
    <col min="7683" max="7683" width="2.109375" style="2782" customWidth="1"/>
    <col min="7684" max="7684" width="50.44140625" style="2782" customWidth="1"/>
    <col min="7685" max="7685" width="8.6640625" style="2782"/>
    <col min="7686" max="7686" width="2.109375" style="2782" customWidth="1"/>
    <col min="7687" max="7687" width="23.6640625" style="2782" customWidth="1"/>
    <col min="7688" max="7688" width="2.109375" style="2782" customWidth="1"/>
    <col min="7689" max="7689" width="23.6640625" style="2782" customWidth="1"/>
    <col min="7690" max="7690" width="2.109375" style="2782" customWidth="1"/>
    <col min="7691" max="7691" width="23.6640625" style="2782" customWidth="1"/>
    <col min="7692" max="7692" width="2.109375" style="2782" customWidth="1"/>
    <col min="7693" max="7693" width="23.6640625" style="2782" customWidth="1"/>
    <col min="7694" max="7694" width="2.109375" style="2782" customWidth="1"/>
    <col min="7695" max="7695" width="23.6640625" style="2782" customWidth="1"/>
    <col min="7696" max="7696" width="2.6640625" style="2782" bestFit="1" customWidth="1"/>
    <col min="7697" max="7935" width="8.6640625" style="2782"/>
    <col min="7936" max="7937" width="8.6640625" style="2782" customWidth="1"/>
    <col min="7938" max="7938" width="10.109375" style="2782" customWidth="1"/>
    <col min="7939" max="7939" width="2.109375" style="2782" customWidth="1"/>
    <col min="7940" max="7940" width="50.44140625" style="2782" customWidth="1"/>
    <col min="7941" max="7941" width="8.6640625" style="2782"/>
    <col min="7942" max="7942" width="2.109375" style="2782" customWidth="1"/>
    <col min="7943" max="7943" width="23.6640625" style="2782" customWidth="1"/>
    <col min="7944" max="7944" width="2.109375" style="2782" customWidth="1"/>
    <col min="7945" max="7945" width="23.6640625" style="2782" customWidth="1"/>
    <col min="7946" max="7946" width="2.109375" style="2782" customWidth="1"/>
    <col min="7947" max="7947" width="23.6640625" style="2782" customWidth="1"/>
    <col min="7948" max="7948" width="2.109375" style="2782" customWidth="1"/>
    <col min="7949" max="7949" width="23.6640625" style="2782" customWidth="1"/>
    <col min="7950" max="7950" width="2.109375" style="2782" customWidth="1"/>
    <col min="7951" max="7951" width="23.6640625" style="2782" customWidth="1"/>
    <col min="7952" max="7952" width="2.6640625" style="2782" bestFit="1" customWidth="1"/>
    <col min="7953" max="8191" width="8.6640625" style="2782"/>
    <col min="8192" max="8193" width="8.6640625" style="2782" customWidth="1"/>
    <col min="8194" max="8194" width="10.109375" style="2782" customWidth="1"/>
    <col min="8195" max="8195" width="2.109375" style="2782" customWidth="1"/>
    <col min="8196" max="8196" width="50.44140625" style="2782" customWidth="1"/>
    <col min="8197" max="8197" width="8.6640625" style="2782"/>
    <col min="8198" max="8198" width="2.109375" style="2782" customWidth="1"/>
    <col min="8199" max="8199" width="23.6640625" style="2782" customWidth="1"/>
    <col min="8200" max="8200" width="2.109375" style="2782" customWidth="1"/>
    <col min="8201" max="8201" width="23.6640625" style="2782" customWidth="1"/>
    <col min="8202" max="8202" width="2.109375" style="2782" customWidth="1"/>
    <col min="8203" max="8203" width="23.6640625" style="2782" customWidth="1"/>
    <col min="8204" max="8204" width="2.109375" style="2782" customWidth="1"/>
    <col min="8205" max="8205" width="23.6640625" style="2782" customWidth="1"/>
    <col min="8206" max="8206" width="2.109375" style="2782" customWidth="1"/>
    <col min="8207" max="8207" width="23.6640625" style="2782" customWidth="1"/>
    <col min="8208" max="8208" width="2.6640625" style="2782" bestFit="1" customWidth="1"/>
    <col min="8209" max="8447" width="8.6640625" style="2782"/>
    <col min="8448" max="8449" width="8.6640625" style="2782" customWidth="1"/>
    <col min="8450" max="8450" width="10.109375" style="2782" customWidth="1"/>
    <col min="8451" max="8451" width="2.109375" style="2782" customWidth="1"/>
    <col min="8452" max="8452" width="50.44140625" style="2782" customWidth="1"/>
    <col min="8453" max="8453" width="8.6640625" style="2782"/>
    <col min="8454" max="8454" width="2.109375" style="2782" customWidth="1"/>
    <col min="8455" max="8455" width="23.6640625" style="2782" customWidth="1"/>
    <col min="8456" max="8456" width="2.109375" style="2782" customWidth="1"/>
    <col min="8457" max="8457" width="23.6640625" style="2782" customWidth="1"/>
    <col min="8458" max="8458" width="2.109375" style="2782" customWidth="1"/>
    <col min="8459" max="8459" width="23.6640625" style="2782" customWidth="1"/>
    <col min="8460" max="8460" width="2.109375" style="2782" customWidth="1"/>
    <col min="8461" max="8461" width="23.6640625" style="2782" customWidth="1"/>
    <col min="8462" max="8462" width="2.109375" style="2782" customWidth="1"/>
    <col min="8463" max="8463" width="23.6640625" style="2782" customWidth="1"/>
    <col min="8464" max="8464" width="2.6640625" style="2782" bestFit="1" customWidth="1"/>
    <col min="8465" max="8703" width="8.6640625" style="2782"/>
    <col min="8704" max="8705" width="8.6640625" style="2782" customWidth="1"/>
    <col min="8706" max="8706" width="10.109375" style="2782" customWidth="1"/>
    <col min="8707" max="8707" width="2.109375" style="2782" customWidth="1"/>
    <col min="8708" max="8708" width="50.44140625" style="2782" customWidth="1"/>
    <col min="8709" max="8709" width="8.6640625" style="2782"/>
    <col min="8710" max="8710" width="2.109375" style="2782" customWidth="1"/>
    <col min="8711" max="8711" width="23.6640625" style="2782" customWidth="1"/>
    <col min="8712" max="8712" width="2.109375" style="2782" customWidth="1"/>
    <col min="8713" max="8713" width="23.6640625" style="2782" customWidth="1"/>
    <col min="8714" max="8714" width="2.109375" style="2782" customWidth="1"/>
    <col min="8715" max="8715" width="23.6640625" style="2782" customWidth="1"/>
    <col min="8716" max="8716" width="2.109375" style="2782" customWidth="1"/>
    <col min="8717" max="8717" width="23.6640625" style="2782" customWidth="1"/>
    <col min="8718" max="8718" width="2.109375" style="2782" customWidth="1"/>
    <col min="8719" max="8719" width="23.6640625" style="2782" customWidth="1"/>
    <col min="8720" max="8720" width="2.6640625" style="2782" bestFit="1" customWidth="1"/>
    <col min="8721" max="8959" width="8.6640625" style="2782"/>
    <col min="8960" max="8961" width="8.6640625" style="2782" customWidth="1"/>
    <col min="8962" max="8962" width="10.109375" style="2782" customWidth="1"/>
    <col min="8963" max="8963" width="2.109375" style="2782" customWidth="1"/>
    <col min="8964" max="8964" width="50.44140625" style="2782" customWidth="1"/>
    <col min="8965" max="8965" width="8.6640625" style="2782"/>
    <col min="8966" max="8966" width="2.109375" style="2782" customWidth="1"/>
    <col min="8967" max="8967" width="23.6640625" style="2782" customWidth="1"/>
    <col min="8968" max="8968" width="2.109375" style="2782" customWidth="1"/>
    <col min="8969" max="8969" width="23.6640625" style="2782" customWidth="1"/>
    <col min="8970" max="8970" width="2.109375" style="2782" customWidth="1"/>
    <col min="8971" max="8971" width="23.6640625" style="2782" customWidth="1"/>
    <col min="8972" max="8972" width="2.109375" style="2782" customWidth="1"/>
    <col min="8973" max="8973" width="23.6640625" style="2782" customWidth="1"/>
    <col min="8974" max="8974" width="2.109375" style="2782" customWidth="1"/>
    <col min="8975" max="8975" width="23.6640625" style="2782" customWidth="1"/>
    <col min="8976" max="8976" width="2.6640625" style="2782" bestFit="1" customWidth="1"/>
    <col min="8977" max="9215" width="8.6640625" style="2782"/>
    <col min="9216" max="9217" width="8.6640625" style="2782" customWidth="1"/>
    <col min="9218" max="9218" width="10.109375" style="2782" customWidth="1"/>
    <col min="9219" max="9219" width="2.109375" style="2782" customWidth="1"/>
    <col min="9220" max="9220" width="50.44140625" style="2782" customWidth="1"/>
    <col min="9221" max="9221" width="8.6640625" style="2782"/>
    <col min="9222" max="9222" width="2.109375" style="2782" customWidth="1"/>
    <col min="9223" max="9223" width="23.6640625" style="2782" customWidth="1"/>
    <col min="9224" max="9224" width="2.109375" style="2782" customWidth="1"/>
    <col min="9225" max="9225" width="23.6640625" style="2782" customWidth="1"/>
    <col min="9226" max="9226" width="2.109375" style="2782" customWidth="1"/>
    <col min="9227" max="9227" width="23.6640625" style="2782" customWidth="1"/>
    <col min="9228" max="9228" width="2.109375" style="2782" customWidth="1"/>
    <col min="9229" max="9229" width="23.6640625" style="2782" customWidth="1"/>
    <col min="9230" max="9230" width="2.109375" style="2782" customWidth="1"/>
    <col min="9231" max="9231" width="23.6640625" style="2782" customWidth="1"/>
    <col min="9232" max="9232" width="2.6640625" style="2782" bestFit="1" customWidth="1"/>
    <col min="9233" max="9471" width="8.6640625" style="2782"/>
    <col min="9472" max="9473" width="8.6640625" style="2782" customWidth="1"/>
    <col min="9474" max="9474" width="10.109375" style="2782" customWidth="1"/>
    <col min="9475" max="9475" width="2.109375" style="2782" customWidth="1"/>
    <col min="9476" max="9476" width="50.44140625" style="2782" customWidth="1"/>
    <col min="9477" max="9477" width="8.6640625" style="2782"/>
    <col min="9478" max="9478" width="2.109375" style="2782" customWidth="1"/>
    <col min="9479" max="9479" width="23.6640625" style="2782" customWidth="1"/>
    <col min="9480" max="9480" width="2.109375" style="2782" customWidth="1"/>
    <col min="9481" max="9481" width="23.6640625" style="2782" customWidth="1"/>
    <col min="9482" max="9482" width="2.109375" style="2782" customWidth="1"/>
    <col min="9483" max="9483" width="23.6640625" style="2782" customWidth="1"/>
    <col min="9484" max="9484" width="2.109375" style="2782" customWidth="1"/>
    <col min="9485" max="9485" width="23.6640625" style="2782" customWidth="1"/>
    <col min="9486" max="9486" width="2.109375" style="2782" customWidth="1"/>
    <col min="9487" max="9487" width="23.6640625" style="2782" customWidth="1"/>
    <col min="9488" max="9488" width="2.6640625" style="2782" bestFit="1" customWidth="1"/>
    <col min="9489" max="9727" width="8.6640625" style="2782"/>
    <col min="9728" max="9729" width="8.6640625" style="2782" customWidth="1"/>
    <col min="9730" max="9730" width="10.109375" style="2782" customWidth="1"/>
    <col min="9731" max="9731" width="2.109375" style="2782" customWidth="1"/>
    <col min="9732" max="9732" width="50.44140625" style="2782" customWidth="1"/>
    <col min="9733" max="9733" width="8.6640625" style="2782"/>
    <col min="9734" max="9734" width="2.109375" style="2782" customWidth="1"/>
    <col min="9735" max="9735" width="23.6640625" style="2782" customWidth="1"/>
    <col min="9736" max="9736" width="2.109375" style="2782" customWidth="1"/>
    <col min="9737" max="9737" width="23.6640625" style="2782" customWidth="1"/>
    <col min="9738" max="9738" width="2.109375" style="2782" customWidth="1"/>
    <col min="9739" max="9739" width="23.6640625" style="2782" customWidth="1"/>
    <col min="9740" max="9740" width="2.109375" style="2782" customWidth="1"/>
    <col min="9741" max="9741" width="23.6640625" style="2782" customWidth="1"/>
    <col min="9742" max="9742" width="2.109375" style="2782" customWidth="1"/>
    <col min="9743" max="9743" width="23.6640625" style="2782" customWidth="1"/>
    <col min="9744" max="9744" width="2.6640625" style="2782" bestFit="1" customWidth="1"/>
    <col min="9745" max="9983" width="8.6640625" style="2782"/>
    <col min="9984" max="9985" width="8.6640625" style="2782" customWidth="1"/>
    <col min="9986" max="9986" width="10.109375" style="2782" customWidth="1"/>
    <col min="9987" max="9987" width="2.109375" style="2782" customWidth="1"/>
    <col min="9988" max="9988" width="50.44140625" style="2782" customWidth="1"/>
    <col min="9989" max="9989" width="8.6640625" style="2782"/>
    <col min="9990" max="9990" width="2.109375" style="2782" customWidth="1"/>
    <col min="9991" max="9991" width="23.6640625" style="2782" customWidth="1"/>
    <col min="9992" max="9992" width="2.109375" style="2782" customWidth="1"/>
    <col min="9993" max="9993" width="23.6640625" style="2782" customWidth="1"/>
    <col min="9994" max="9994" width="2.109375" style="2782" customWidth="1"/>
    <col min="9995" max="9995" width="23.6640625" style="2782" customWidth="1"/>
    <col min="9996" max="9996" width="2.109375" style="2782" customWidth="1"/>
    <col min="9997" max="9997" width="23.6640625" style="2782" customWidth="1"/>
    <col min="9998" max="9998" width="2.109375" style="2782" customWidth="1"/>
    <col min="9999" max="9999" width="23.6640625" style="2782" customWidth="1"/>
    <col min="10000" max="10000" width="2.6640625" style="2782" bestFit="1" customWidth="1"/>
    <col min="10001" max="10239" width="8.6640625" style="2782"/>
    <col min="10240" max="10241" width="8.6640625" style="2782" customWidth="1"/>
    <col min="10242" max="10242" width="10.109375" style="2782" customWidth="1"/>
    <col min="10243" max="10243" width="2.109375" style="2782" customWidth="1"/>
    <col min="10244" max="10244" width="50.44140625" style="2782" customWidth="1"/>
    <col min="10245" max="10245" width="8.6640625" style="2782"/>
    <col min="10246" max="10246" width="2.109375" style="2782" customWidth="1"/>
    <col min="10247" max="10247" width="23.6640625" style="2782" customWidth="1"/>
    <col min="10248" max="10248" width="2.109375" style="2782" customWidth="1"/>
    <col min="10249" max="10249" width="23.6640625" style="2782" customWidth="1"/>
    <col min="10250" max="10250" width="2.109375" style="2782" customWidth="1"/>
    <col min="10251" max="10251" width="23.6640625" style="2782" customWidth="1"/>
    <col min="10252" max="10252" width="2.109375" style="2782" customWidth="1"/>
    <col min="10253" max="10253" width="23.6640625" style="2782" customWidth="1"/>
    <col min="10254" max="10254" width="2.109375" style="2782" customWidth="1"/>
    <col min="10255" max="10255" width="23.6640625" style="2782" customWidth="1"/>
    <col min="10256" max="10256" width="2.6640625" style="2782" bestFit="1" customWidth="1"/>
    <col min="10257" max="10495" width="8.6640625" style="2782"/>
    <col min="10496" max="10497" width="8.6640625" style="2782" customWidth="1"/>
    <col min="10498" max="10498" width="10.109375" style="2782" customWidth="1"/>
    <col min="10499" max="10499" width="2.109375" style="2782" customWidth="1"/>
    <col min="10500" max="10500" width="50.44140625" style="2782" customWidth="1"/>
    <col min="10501" max="10501" width="8.6640625" style="2782"/>
    <col min="10502" max="10502" width="2.109375" style="2782" customWidth="1"/>
    <col min="10503" max="10503" width="23.6640625" style="2782" customWidth="1"/>
    <col min="10504" max="10504" width="2.109375" style="2782" customWidth="1"/>
    <col min="10505" max="10505" width="23.6640625" style="2782" customWidth="1"/>
    <col min="10506" max="10506" width="2.109375" style="2782" customWidth="1"/>
    <col min="10507" max="10507" width="23.6640625" style="2782" customWidth="1"/>
    <col min="10508" max="10508" width="2.109375" style="2782" customWidth="1"/>
    <col min="10509" max="10509" width="23.6640625" style="2782" customWidth="1"/>
    <col min="10510" max="10510" width="2.109375" style="2782" customWidth="1"/>
    <col min="10511" max="10511" width="23.6640625" style="2782" customWidth="1"/>
    <col min="10512" max="10512" width="2.6640625" style="2782" bestFit="1" customWidth="1"/>
    <col min="10513" max="10751" width="8.6640625" style="2782"/>
    <col min="10752" max="10753" width="8.6640625" style="2782" customWidth="1"/>
    <col min="10754" max="10754" width="10.109375" style="2782" customWidth="1"/>
    <col min="10755" max="10755" width="2.109375" style="2782" customWidth="1"/>
    <col min="10756" max="10756" width="50.44140625" style="2782" customWidth="1"/>
    <col min="10757" max="10757" width="8.6640625" style="2782"/>
    <col min="10758" max="10758" width="2.109375" style="2782" customWidth="1"/>
    <col min="10759" max="10759" width="23.6640625" style="2782" customWidth="1"/>
    <col min="10760" max="10760" width="2.109375" style="2782" customWidth="1"/>
    <col min="10761" max="10761" width="23.6640625" style="2782" customWidth="1"/>
    <col min="10762" max="10762" width="2.109375" style="2782" customWidth="1"/>
    <col min="10763" max="10763" width="23.6640625" style="2782" customWidth="1"/>
    <col min="10764" max="10764" width="2.109375" style="2782" customWidth="1"/>
    <col min="10765" max="10765" width="23.6640625" style="2782" customWidth="1"/>
    <col min="10766" max="10766" width="2.109375" style="2782" customWidth="1"/>
    <col min="10767" max="10767" width="23.6640625" style="2782" customWidth="1"/>
    <col min="10768" max="10768" width="2.6640625" style="2782" bestFit="1" customWidth="1"/>
    <col min="10769" max="11007" width="8.6640625" style="2782"/>
    <col min="11008" max="11009" width="8.6640625" style="2782" customWidth="1"/>
    <col min="11010" max="11010" width="10.109375" style="2782" customWidth="1"/>
    <col min="11011" max="11011" width="2.109375" style="2782" customWidth="1"/>
    <col min="11012" max="11012" width="50.44140625" style="2782" customWidth="1"/>
    <col min="11013" max="11013" width="8.6640625" style="2782"/>
    <col min="11014" max="11014" width="2.109375" style="2782" customWidth="1"/>
    <col min="11015" max="11015" width="23.6640625" style="2782" customWidth="1"/>
    <col min="11016" max="11016" width="2.109375" style="2782" customWidth="1"/>
    <col min="11017" max="11017" width="23.6640625" style="2782" customWidth="1"/>
    <col min="11018" max="11018" width="2.109375" style="2782" customWidth="1"/>
    <col min="11019" max="11019" width="23.6640625" style="2782" customWidth="1"/>
    <col min="11020" max="11020" width="2.109375" style="2782" customWidth="1"/>
    <col min="11021" max="11021" width="23.6640625" style="2782" customWidth="1"/>
    <col min="11022" max="11022" width="2.109375" style="2782" customWidth="1"/>
    <col min="11023" max="11023" width="23.6640625" style="2782" customWidth="1"/>
    <col min="11024" max="11024" width="2.6640625" style="2782" bestFit="1" customWidth="1"/>
    <col min="11025" max="11263" width="8.6640625" style="2782"/>
    <col min="11264" max="11265" width="8.6640625" style="2782" customWidth="1"/>
    <col min="11266" max="11266" width="10.109375" style="2782" customWidth="1"/>
    <col min="11267" max="11267" width="2.109375" style="2782" customWidth="1"/>
    <col min="11268" max="11268" width="50.44140625" style="2782" customWidth="1"/>
    <col min="11269" max="11269" width="8.6640625" style="2782"/>
    <col min="11270" max="11270" width="2.109375" style="2782" customWidth="1"/>
    <col min="11271" max="11271" width="23.6640625" style="2782" customWidth="1"/>
    <col min="11272" max="11272" width="2.109375" style="2782" customWidth="1"/>
    <col min="11273" max="11273" width="23.6640625" style="2782" customWidth="1"/>
    <col min="11274" max="11274" width="2.109375" style="2782" customWidth="1"/>
    <col min="11275" max="11275" width="23.6640625" style="2782" customWidth="1"/>
    <col min="11276" max="11276" width="2.109375" style="2782" customWidth="1"/>
    <col min="11277" max="11277" width="23.6640625" style="2782" customWidth="1"/>
    <col min="11278" max="11278" width="2.109375" style="2782" customWidth="1"/>
    <col min="11279" max="11279" width="23.6640625" style="2782" customWidth="1"/>
    <col min="11280" max="11280" width="2.6640625" style="2782" bestFit="1" customWidth="1"/>
    <col min="11281" max="11519" width="8.6640625" style="2782"/>
    <col min="11520" max="11521" width="8.6640625" style="2782" customWidth="1"/>
    <col min="11522" max="11522" width="10.109375" style="2782" customWidth="1"/>
    <col min="11523" max="11523" width="2.109375" style="2782" customWidth="1"/>
    <col min="11524" max="11524" width="50.44140625" style="2782" customWidth="1"/>
    <col min="11525" max="11525" width="8.6640625" style="2782"/>
    <col min="11526" max="11526" width="2.109375" style="2782" customWidth="1"/>
    <col min="11527" max="11527" width="23.6640625" style="2782" customWidth="1"/>
    <col min="11528" max="11528" width="2.109375" style="2782" customWidth="1"/>
    <col min="11529" max="11529" width="23.6640625" style="2782" customWidth="1"/>
    <col min="11530" max="11530" width="2.109375" style="2782" customWidth="1"/>
    <col min="11531" max="11531" width="23.6640625" style="2782" customWidth="1"/>
    <col min="11532" max="11532" width="2.109375" style="2782" customWidth="1"/>
    <col min="11533" max="11533" width="23.6640625" style="2782" customWidth="1"/>
    <col min="11534" max="11534" width="2.109375" style="2782" customWidth="1"/>
    <col min="11535" max="11535" width="23.6640625" style="2782" customWidth="1"/>
    <col min="11536" max="11536" width="2.6640625" style="2782" bestFit="1" customWidth="1"/>
    <col min="11537" max="11775" width="8.6640625" style="2782"/>
    <col min="11776" max="11777" width="8.6640625" style="2782" customWidth="1"/>
    <col min="11778" max="11778" width="10.109375" style="2782" customWidth="1"/>
    <col min="11779" max="11779" width="2.109375" style="2782" customWidth="1"/>
    <col min="11780" max="11780" width="50.44140625" style="2782" customWidth="1"/>
    <col min="11781" max="11781" width="8.6640625" style="2782"/>
    <col min="11782" max="11782" width="2.109375" style="2782" customWidth="1"/>
    <col min="11783" max="11783" width="23.6640625" style="2782" customWidth="1"/>
    <col min="11784" max="11784" width="2.109375" style="2782" customWidth="1"/>
    <col min="11785" max="11785" width="23.6640625" style="2782" customWidth="1"/>
    <col min="11786" max="11786" width="2.109375" style="2782" customWidth="1"/>
    <col min="11787" max="11787" width="23.6640625" style="2782" customWidth="1"/>
    <col min="11788" max="11788" width="2.109375" style="2782" customWidth="1"/>
    <col min="11789" max="11789" width="23.6640625" style="2782" customWidth="1"/>
    <col min="11790" max="11790" width="2.109375" style="2782" customWidth="1"/>
    <col min="11791" max="11791" width="23.6640625" style="2782" customWidth="1"/>
    <col min="11792" max="11792" width="2.6640625" style="2782" bestFit="1" customWidth="1"/>
    <col min="11793" max="12031" width="8.6640625" style="2782"/>
    <col min="12032" max="12033" width="8.6640625" style="2782" customWidth="1"/>
    <col min="12034" max="12034" width="10.109375" style="2782" customWidth="1"/>
    <col min="12035" max="12035" width="2.109375" style="2782" customWidth="1"/>
    <col min="12036" max="12036" width="50.44140625" style="2782" customWidth="1"/>
    <col min="12037" max="12037" width="8.6640625" style="2782"/>
    <col min="12038" max="12038" width="2.109375" style="2782" customWidth="1"/>
    <col min="12039" max="12039" width="23.6640625" style="2782" customWidth="1"/>
    <col min="12040" max="12040" width="2.109375" style="2782" customWidth="1"/>
    <col min="12041" max="12041" width="23.6640625" style="2782" customWidth="1"/>
    <col min="12042" max="12042" width="2.109375" style="2782" customWidth="1"/>
    <col min="12043" max="12043" width="23.6640625" style="2782" customWidth="1"/>
    <col min="12044" max="12044" width="2.109375" style="2782" customWidth="1"/>
    <col min="12045" max="12045" width="23.6640625" style="2782" customWidth="1"/>
    <col min="12046" max="12046" width="2.109375" style="2782" customWidth="1"/>
    <col min="12047" max="12047" width="23.6640625" style="2782" customWidth="1"/>
    <col min="12048" max="12048" width="2.6640625" style="2782" bestFit="1" customWidth="1"/>
    <col min="12049" max="12287" width="8.6640625" style="2782"/>
    <col min="12288" max="12289" width="8.6640625" style="2782" customWidth="1"/>
    <col min="12290" max="12290" width="10.109375" style="2782" customWidth="1"/>
    <col min="12291" max="12291" width="2.109375" style="2782" customWidth="1"/>
    <col min="12292" max="12292" width="50.44140625" style="2782" customWidth="1"/>
    <col min="12293" max="12293" width="8.6640625" style="2782"/>
    <col min="12294" max="12294" width="2.109375" style="2782" customWidth="1"/>
    <col min="12295" max="12295" width="23.6640625" style="2782" customWidth="1"/>
    <col min="12296" max="12296" width="2.109375" style="2782" customWidth="1"/>
    <col min="12297" max="12297" width="23.6640625" style="2782" customWidth="1"/>
    <col min="12298" max="12298" width="2.109375" style="2782" customWidth="1"/>
    <col min="12299" max="12299" width="23.6640625" style="2782" customWidth="1"/>
    <col min="12300" max="12300" width="2.109375" style="2782" customWidth="1"/>
    <col min="12301" max="12301" width="23.6640625" style="2782" customWidth="1"/>
    <col min="12302" max="12302" width="2.109375" style="2782" customWidth="1"/>
    <col min="12303" max="12303" width="23.6640625" style="2782" customWidth="1"/>
    <col min="12304" max="12304" width="2.6640625" style="2782" bestFit="1" customWidth="1"/>
    <col min="12305" max="12543" width="8.6640625" style="2782"/>
    <col min="12544" max="12545" width="8.6640625" style="2782" customWidth="1"/>
    <col min="12546" max="12546" width="10.109375" style="2782" customWidth="1"/>
    <col min="12547" max="12547" width="2.109375" style="2782" customWidth="1"/>
    <col min="12548" max="12548" width="50.44140625" style="2782" customWidth="1"/>
    <col min="12549" max="12549" width="8.6640625" style="2782"/>
    <col min="12550" max="12550" width="2.109375" style="2782" customWidth="1"/>
    <col min="12551" max="12551" width="23.6640625" style="2782" customWidth="1"/>
    <col min="12552" max="12552" width="2.109375" style="2782" customWidth="1"/>
    <col min="12553" max="12553" width="23.6640625" style="2782" customWidth="1"/>
    <col min="12554" max="12554" width="2.109375" style="2782" customWidth="1"/>
    <col min="12555" max="12555" width="23.6640625" style="2782" customWidth="1"/>
    <col min="12556" max="12556" width="2.109375" style="2782" customWidth="1"/>
    <col min="12557" max="12557" width="23.6640625" style="2782" customWidth="1"/>
    <col min="12558" max="12558" width="2.109375" style="2782" customWidth="1"/>
    <col min="12559" max="12559" width="23.6640625" style="2782" customWidth="1"/>
    <col min="12560" max="12560" width="2.6640625" style="2782" bestFit="1" customWidth="1"/>
    <col min="12561" max="12799" width="8.6640625" style="2782"/>
    <col min="12800" max="12801" width="8.6640625" style="2782" customWidth="1"/>
    <col min="12802" max="12802" width="10.109375" style="2782" customWidth="1"/>
    <col min="12803" max="12803" width="2.109375" style="2782" customWidth="1"/>
    <col min="12804" max="12804" width="50.44140625" style="2782" customWidth="1"/>
    <col min="12805" max="12805" width="8.6640625" style="2782"/>
    <col min="12806" max="12806" width="2.109375" style="2782" customWidth="1"/>
    <col min="12807" max="12807" width="23.6640625" style="2782" customWidth="1"/>
    <col min="12808" max="12808" width="2.109375" style="2782" customWidth="1"/>
    <col min="12809" max="12809" width="23.6640625" style="2782" customWidth="1"/>
    <col min="12810" max="12810" width="2.109375" style="2782" customWidth="1"/>
    <col min="12811" max="12811" width="23.6640625" style="2782" customWidth="1"/>
    <col min="12812" max="12812" width="2.109375" style="2782" customWidth="1"/>
    <col min="12813" max="12813" width="23.6640625" style="2782" customWidth="1"/>
    <col min="12814" max="12814" width="2.109375" style="2782" customWidth="1"/>
    <col min="12815" max="12815" width="23.6640625" style="2782" customWidth="1"/>
    <col min="12816" max="12816" width="2.6640625" style="2782" bestFit="1" customWidth="1"/>
    <col min="12817" max="13055" width="8.6640625" style="2782"/>
    <col min="13056" max="13057" width="8.6640625" style="2782" customWidth="1"/>
    <col min="13058" max="13058" width="10.109375" style="2782" customWidth="1"/>
    <col min="13059" max="13059" width="2.109375" style="2782" customWidth="1"/>
    <col min="13060" max="13060" width="50.44140625" style="2782" customWidth="1"/>
    <col min="13061" max="13061" width="8.6640625" style="2782"/>
    <col min="13062" max="13062" width="2.109375" style="2782" customWidth="1"/>
    <col min="13063" max="13063" width="23.6640625" style="2782" customWidth="1"/>
    <col min="13064" max="13064" width="2.109375" style="2782" customWidth="1"/>
    <col min="13065" max="13065" width="23.6640625" style="2782" customWidth="1"/>
    <col min="13066" max="13066" width="2.109375" style="2782" customWidth="1"/>
    <col min="13067" max="13067" width="23.6640625" style="2782" customWidth="1"/>
    <col min="13068" max="13068" width="2.109375" style="2782" customWidth="1"/>
    <col min="13069" max="13069" width="23.6640625" style="2782" customWidth="1"/>
    <col min="13070" max="13070" width="2.109375" style="2782" customWidth="1"/>
    <col min="13071" max="13071" width="23.6640625" style="2782" customWidth="1"/>
    <col min="13072" max="13072" width="2.6640625" style="2782" bestFit="1" customWidth="1"/>
    <col min="13073" max="13311" width="8.6640625" style="2782"/>
    <col min="13312" max="13313" width="8.6640625" style="2782" customWidth="1"/>
    <col min="13314" max="13314" width="10.109375" style="2782" customWidth="1"/>
    <col min="13315" max="13315" width="2.109375" style="2782" customWidth="1"/>
    <col min="13316" max="13316" width="50.44140625" style="2782" customWidth="1"/>
    <col min="13317" max="13317" width="8.6640625" style="2782"/>
    <col min="13318" max="13318" width="2.109375" style="2782" customWidth="1"/>
    <col min="13319" max="13319" width="23.6640625" style="2782" customWidth="1"/>
    <col min="13320" max="13320" width="2.109375" style="2782" customWidth="1"/>
    <col min="13321" max="13321" width="23.6640625" style="2782" customWidth="1"/>
    <col min="13322" max="13322" width="2.109375" style="2782" customWidth="1"/>
    <col min="13323" max="13323" width="23.6640625" style="2782" customWidth="1"/>
    <col min="13324" max="13324" width="2.109375" style="2782" customWidth="1"/>
    <col min="13325" max="13325" width="23.6640625" style="2782" customWidth="1"/>
    <col min="13326" max="13326" width="2.109375" style="2782" customWidth="1"/>
    <col min="13327" max="13327" width="23.6640625" style="2782" customWidth="1"/>
    <col min="13328" max="13328" width="2.6640625" style="2782" bestFit="1" customWidth="1"/>
    <col min="13329" max="13567" width="8.6640625" style="2782"/>
    <col min="13568" max="13569" width="8.6640625" style="2782" customWidth="1"/>
    <col min="13570" max="13570" width="10.109375" style="2782" customWidth="1"/>
    <col min="13571" max="13571" width="2.109375" style="2782" customWidth="1"/>
    <col min="13572" max="13572" width="50.44140625" style="2782" customWidth="1"/>
    <col min="13573" max="13573" width="8.6640625" style="2782"/>
    <col min="13574" max="13574" width="2.109375" style="2782" customWidth="1"/>
    <col min="13575" max="13575" width="23.6640625" style="2782" customWidth="1"/>
    <col min="13576" max="13576" width="2.109375" style="2782" customWidth="1"/>
    <col min="13577" max="13577" width="23.6640625" style="2782" customWidth="1"/>
    <col min="13578" max="13578" width="2.109375" style="2782" customWidth="1"/>
    <col min="13579" max="13579" width="23.6640625" style="2782" customWidth="1"/>
    <col min="13580" max="13580" width="2.109375" style="2782" customWidth="1"/>
    <col min="13581" max="13581" width="23.6640625" style="2782" customWidth="1"/>
    <col min="13582" max="13582" width="2.109375" style="2782" customWidth="1"/>
    <col min="13583" max="13583" width="23.6640625" style="2782" customWidth="1"/>
    <col min="13584" max="13584" width="2.6640625" style="2782" bestFit="1" customWidth="1"/>
    <col min="13585" max="13823" width="8.6640625" style="2782"/>
    <col min="13824" max="13825" width="8.6640625" style="2782" customWidth="1"/>
    <col min="13826" max="13826" width="10.109375" style="2782" customWidth="1"/>
    <col min="13827" max="13827" width="2.109375" style="2782" customWidth="1"/>
    <col min="13828" max="13828" width="50.44140625" style="2782" customWidth="1"/>
    <col min="13829" max="13829" width="8.6640625" style="2782"/>
    <col min="13830" max="13830" width="2.109375" style="2782" customWidth="1"/>
    <col min="13831" max="13831" width="23.6640625" style="2782" customWidth="1"/>
    <col min="13832" max="13832" width="2.109375" style="2782" customWidth="1"/>
    <col min="13833" max="13833" width="23.6640625" style="2782" customWidth="1"/>
    <col min="13834" max="13834" width="2.109375" style="2782" customWidth="1"/>
    <col min="13835" max="13835" width="23.6640625" style="2782" customWidth="1"/>
    <col min="13836" max="13836" width="2.109375" style="2782" customWidth="1"/>
    <col min="13837" max="13837" width="23.6640625" style="2782" customWidth="1"/>
    <col min="13838" max="13838" width="2.109375" style="2782" customWidth="1"/>
    <col min="13839" max="13839" width="23.6640625" style="2782" customWidth="1"/>
    <col min="13840" max="13840" width="2.6640625" style="2782" bestFit="1" customWidth="1"/>
    <col min="13841" max="14079" width="8.6640625" style="2782"/>
    <col min="14080" max="14081" width="8.6640625" style="2782" customWidth="1"/>
    <col min="14082" max="14082" width="10.109375" style="2782" customWidth="1"/>
    <col min="14083" max="14083" width="2.109375" style="2782" customWidth="1"/>
    <col min="14084" max="14084" width="50.44140625" style="2782" customWidth="1"/>
    <col min="14085" max="14085" width="8.6640625" style="2782"/>
    <col min="14086" max="14086" width="2.109375" style="2782" customWidth="1"/>
    <col min="14087" max="14087" width="23.6640625" style="2782" customWidth="1"/>
    <col min="14088" max="14088" width="2.109375" style="2782" customWidth="1"/>
    <col min="14089" max="14089" width="23.6640625" style="2782" customWidth="1"/>
    <col min="14090" max="14090" width="2.109375" style="2782" customWidth="1"/>
    <col min="14091" max="14091" width="23.6640625" style="2782" customWidth="1"/>
    <col min="14092" max="14092" width="2.109375" style="2782" customWidth="1"/>
    <col min="14093" max="14093" width="23.6640625" style="2782" customWidth="1"/>
    <col min="14094" max="14094" width="2.109375" style="2782" customWidth="1"/>
    <col min="14095" max="14095" width="23.6640625" style="2782" customWidth="1"/>
    <col min="14096" max="14096" width="2.6640625" style="2782" bestFit="1" customWidth="1"/>
    <col min="14097" max="14335" width="8.6640625" style="2782"/>
    <col min="14336" max="14337" width="8.6640625" style="2782" customWidth="1"/>
    <col min="14338" max="14338" width="10.109375" style="2782" customWidth="1"/>
    <col min="14339" max="14339" width="2.109375" style="2782" customWidth="1"/>
    <col min="14340" max="14340" width="50.44140625" style="2782" customWidth="1"/>
    <col min="14341" max="14341" width="8.6640625" style="2782"/>
    <col min="14342" max="14342" width="2.109375" style="2782" customWidth="1"/>
    <col min="14343" max="14343" width="23.6640625" style="2782" customWidth="1"/>
    <col min="14344" max="14344" width="2.109375" style="2782" customWidth="1"/>
    <col min="14345" max="14345" width="23.6640625" style="2782" customWidth="1"/>
    <col min="14346" max="14346" width="2.109375" style="2782" customWidth="1"/>
    <col min="14347" max="14347" width="23.6640625" style="2782" customWidth="1"/>
    <col min="14348" max="14348" width="2.109375" style="2782" customWidth="1"/>
    <col min="14349" max="14349" width="23.6640625" style="2782" customWidth="1"/>
    <col min="14350" max="14350" width="2.109375" style="2782" customWidth="1"/>
    <col min="14351" max="14351" width="23.6640625" style="2782" customWidth="1"/>
    <col min="14352" max="14352" width="2.6640625" style="2782" bestFit="1" customWidth="1"/>
    <col min="14353" max="14591" width="8.6640625" style="2782"/>
    <col min="14592" max="14593" width="8.6640625" style="2782" customWidth="1"/>
    <col min="14594" max="14594" width="10.109375" style="2782" customWidth="1"/>
    <col min="14595" max="14595" width="2.109375" style="2782" customWidth="1"/>
    <col min="14596" max="14596" width="50.44140625" style="2782" customWidth="1"/>
    <col min="14597" max="14597" width="8.6640625" style="2782"/>
    <col min="14598" max="14598" width="2.109375" style="2782" customWidth="1"/>
    <col min="14599" max="14599" width="23.6640625" style="2782" customWidth="1"/>
    <col min="14600" max="14600" width="2.109375" style="2782" customWidth="1"/>
    <col min="14601" max="14601" width="23.6640625" style="2782" customWidth="1"/>
    <col min="14602" max="14602" width="2.109375" style="2782" customWidth="1"/>
    <col min="14603" max="14603" width="23.6640625" style="2782" customWidth="1"/>
    <col min="14604" max="14604" width="2.109375" style="2782" customWidth="1"/>
    <col min="14605" max="14605" width="23.6640625" style="2782" customWidth="1"/>
    <col min="14606" max="14606" width="2.109375" style="2782" customWidth="1"/>
    <col min="14607" max="14607" width="23.6640625" style="2782" customWidth="1"/>
    <col min="14608" max="14608" width="2.6640625" style="2782" bestFit="1" customWidth="1"/>
    <col min="14609" max="14847" width="8.6640625" style="2782"/>
    <col min="14848" max="14849" width="8.6640625" style="2782" customWidth="1"/>
    <col min="14850" max="14850" width="10.109375" style="2782" customWidth="1"/>
    <col min="14851" max="14851" width="2.109375" style="2782" customWidth="1"/>
    <col min="14852" max="14852" width="50.44140625" style="2782" customWidth="1"/>
    <col min="14853" max="14853" width="8.6640625" style="2782"/>
    <col min="14854" max="14854" width="2.109375" style="2782" customWidth="1"/>
    <col min="14855" max="14855" width="23.6640625" style="2782" customWidth="1"/>
    <col min="14856" max="14856" width="2.109375" style="2782" customWidth="1"/>
    <col min="14857" max="14857" width="23.6640625" style="2782" customWidth="1"/>
    <col min="14858" max="14858" width="2.109375" style="2782" customWidth="1"/>
    <col min="14859" max="14859" width="23.6640625" style="2782" customWidth="1"/>
    <col min="14860" max="14860" width="2.109375" style="2782" customWidth="1"/>
    <col min="14861" max="14861" width="23.6640625" style="2782" customWidth="1"/>
    <col min="14862" max="14862" width="2.109375" style="2782" customWidth="1"/>
    <col min="14863" max="14863" width="23.6640625" style="2782" customWidth="1"/>
    <col min="14864" max="14864" width="2.6640625" style="2782" bestFit="1" customWidth="1"/>
    <col min="14865" max="15103" width="8.6640625" style="2782"/>
    <col min="15104" max="15105" width="8.6640625" style="2782" customWidth="1"/>
    <col min="15106" max="15106" width="10.109375" style="2782" customWidth="1"/>
    <col min="15107" max="15107" width="2.109375" style="2782" customWidth="1"/>
    <col min="15108" max="15108" width="50.44140625" style="2782" customWidth="1"/>
    <col min="15109" max="15109" width="8.6640625" style="2782"/>
    <col min="15110" max="15110" width="2.109375" style="2782" customWidth="1"/>
    <col min="15111" max="15111" width="23.6640625" style="2782" customWidth="1"/>
    <col min="15112" max="15112" width="2.109375" style="2782" customWidth="1"/>
    <col min="15113" max="15113" width="23.6640625" style="2782" customWidth="1"/>
    <col min="15114" max="15114" width="2.109375" style="2782" customWidth="1"/>
    <col min="15115" max="15115" width="23.6640625" style="2782" customWidth="1"/>
    <col min="15116" max="15116" width="2.109375" style="2782" customWidth="1"/>
    <col min="15117" max="15117" width="23.6640625" style="2782" customWidth="1"/>
    <col min="15118" max="15118" width="2.109375" style="2782" customWidth="1"/>
    <col min="15119" max="15119" width="23.6640625" style="2782" customWidth="1"/>
    <col min="15120" max="15120" width="2.6640625" style="2782" bestFit="1" customWidth="1"/>
    <col min="15121" max="15359" width="8.6640625" style="2782"/>
    <col min="15360" max="15361" width="8.6640625" style="2782" customWidth="1"/>
    <col min="15362" max="15362" width="10.109375" style="2782" customWidth="1"/>
    <col min="15363" max="15363" width="2.109375" style="2782" customWidth="1"/>
    <col min="15364" max="15364" width="50.44140625" style="2782" customWidth="1"/>
    <col min="15365" max="15365" width="8.6640625" style="2782"/>
    <col min="15366" max="15366" width="2.109375" style="2782" customWidth="1"/>
    <col min="15367" max="15367" width="23.6640625" style="2782" customWidth="1"/>
    <col min="15368" max="15368" width="2.109375" style="2782" customWidth="1"/>
    <col min="15369" max="15369" width="23.6640625" style="2782" customWidth="1"/>
    <col min="15370" max="15370" width="2.109375" style="2782" customWidth="1"/>
    <col min="15371" max="15371" width="23.6640625" style="2782" customWidth="1"/>
    <col min="15372" max="15372" width="2.109375" style="2782" customWidth="1"/>
    <col min="15373" max="15373" width="23.6640625" style="2782" customWidth="1"/>
    <col min="15374" max="15374" width="2.109375" style="2782" customWidth="1"/>
    <col min="15375" max="15375" width="23.6640625" style="2782" customWidth="1"/>
    <col min="15376" max="15376" width="2.6640625" style="2782" bestFit="1" customWidth="1"/>
    <col min="15377" max="15615" width="8.6640625" style="2782"/>
    <col min="15616" max="15617" width="8.6640625" style="2782" customWidth="1"/>
    <col min="15618" max="15618" width="10.109375" style="2782" customWidth="1"/>
    <col min="15619" max="15619" width="2.109375" style="2782" customWidth="1"/>
    <col min="15620" max="15620" width="50.44140625" style="2782" customWidth="1"/>
    <col min="15621" max="15621" width="8.6640625" style="2782"/>
    <col min="15622" max="15622" width="2.109375" style="2782" customWidth="1"/>
    <col min="15623" max="15623" width="23.6640625" style="2782" customWidth="1"/>
    <col min="15624" max="15624" width="2.109375" style="2782" customWidth="1"/>
    <col min="15625" max="15625" width="23.6640625" style="2782" customWidth="1"/>
    <col min="15626" max="15626" width="2.109375" style="2782" customWidth="1"/>
    <col min="15627" max="15627" width="23.6640625" style="2782" customWidth="1"/>
    <col min="15628" max="15628" width="2.109375" style="2782" customWidth="1"/>
    <col min="15629" max="15629" width="23.6640625" style="2782" customWidth="1"/>
    <col min="15630" max="15630" width="2.109375" style="2782" customWidth="1"/>
    <col min="15631" max="15631" width="23.6640625" style="2782" customWidth="1"/>
    <col min="15632" max="15632" width="2.6640625" style="2782" bestFit="1" customWidth="1"/>
    <col min="15633" max="15871" width="8.6640625" style="2782"/>
    <col min="15872" max="15873" width="8.6640625" style="2782" customWidth="1"/>
    <col min="15874" max="15874" width="10.109375" style="2782" customWidth="1"/>
    <col min="15875" max="15875" width="2.109375" style="2782" customWidth="1"/>
    <col min="15876" max="15876" width="50.44140625" style="2782" customWidth="1"/>
    <col min="15877" max="15877" width="8.6640625" style="2782"/>
    <col min="15878" max="15878" width="2.109375" style="2782" customWidth="1"/>
    <col min="15879" max="15879" width="23.6640625" style="2782" customWidth="1"/>
    <col min="15880" max="15880" width="2.109375" style="2782" customWidth="1"/>
    <col min="15881" max="15881" width="23.6640625" style="2782" customWidth="1"/>
    <col min="15882" max="15882" width="2.109375" style="2782" customWidth="1"/>
    <col min="15883" max="15883" width="23.6640625" style="2782" customWidth="1"/>
    <col min="15884" max="15884" width="2.109375" style="2782" customWidth="1"/>
    <col min="15885" max="15885" width="23.6640625" style="2782" customWidth="1"/>
    <col min="15886" max="15886" width="2.109375" style="2782" customWidth="1"/>
    <col min="15887" max="15887" width="23.6640625" style="2782" customWidth="1"/>
    <col min="15888" max="15888" width="2.6640625" style="2782" bestFit="1" customWidth="1"/>
    <col min="15889" max="16127" width="8.6640625" style="2782"/>
    <col min="16128" max="16129" width="8.6640625" style="2782" customWidth="1"/>
    <col min="16130" max="16130" width="10.109375" style="2782" customWidth="1"/>
    <col min="16131" max="16131" width="2.109375" style="2782" customWidth="1"/>
    <col min="16132" max="16132" width="50.44140625" style="2782" customWidth="1"/>
    <col min="16133" max="16133" width="8.6640625" style="2782"/>
    <col min="16134" max="16134" width="2.109375" style="2782" customWidth="1"/>
    <col min="16135" max="16135" width="23.6640625" style="2782" customWidth="1"/>
    <col min="16136" max="16136" width="2.109375" style="2782" customWidth="1"/>
    <col min="16137" max="16137" width="23.6640625" style="2782" customWidth="1"/>
    <col min="16138" max="16138" width="2.109375" style="2782" customWidth="1"/>
    <col min="16139" max="16139" width="23.6640625" style="2782" customWidth="1"/>
    <col min="16140" max="16140" width="2.109375" style="2782" customWidth="1"/>
    <col min="16141" max="16141" width="23.6640625" style="2782" customWidth="1"/>
    <col min="16142" max="16142" width="2.109375" style="2782" customWidth="1"/>
    <col min="16143" max="16143" width="23.6640625" style="2782" customWidth="1"/>
    <col min="16144" max="16144" width="2.6640625" style="2782" bestFit="1" customWidth="1"/>
    <col min="16145" max="16384" width="8.6640625" style="2782"/>
  </cols>
  <sheetData>
    <row r="1" spans="2:17" ht="15.75">
      <c r="B1" s="2779"/>
      <c r="C1" s="2780"/>
      <c r="D1" s="2171" t="s">
        <v>870</v>
      </c>
      <c r="E1" s="2780"/>
      <c r="F1" s="2781"/>
      <c r="G1" s="2779"/>
      <c r="H1" s="2780"/>
      <c r="I1" s="2779"/>
      <c r="J1" s="2780"/>
      <c r="K1" s="2779"/>
      <c r="L1" s="2780"/>
      <c r="M1" s="2779"/>
      <c r="N1" s="2780"/>
      <c r="P1" s="2783"/>
    </row>
    <row r="2" spans="2:17" ht="15.75">
      <c r="B2" s="2779"/>
      <c r="C2" s="2780"/>
      <c r="D2" s="2779"/>
      <c r="E2" s="2780"/>
      <c r="F2" s="2781"/>
      <c r="G2" s="2779"/>
      <c r="H2" s="2780"/>
      <c r="I2" s="2779"/>
      <c r="J2" s="2780"/>
      <c r="K2" s="2779"/>
      <c r="L2" s="2780"/>
      <c r="M2" s="2779"/>
      <c r="N2" s="2780"/>
      <c r="O2" s="3499" t="s">
        <v>530</v>
      </c>
      <c r="P2" s="2783"/>
    </row>
    <row r="3" spans="2:17" ht="15.75">
      <c r="B3" s="2779"/>
      <c r="C3" s="2780"/>
      <c r="D3" s="2779"/>
      <c r="E3" s="2780"/>
      <c r="F3" s="2781"/>
      <c r="G3" s="2779"/>
      <c r="H3" s="2780"/>
      <c r="I3" s="2779"/>
      <c r="J3" s="2780"/>
      <c r="K3" s="2779"/>
      <c r="L3" s="2780"/>
      <c r="M3" s="2779"/>
      <c r="N3" s="2780"/>
      <c r="O3" s="3500"/>
      <c r="P3" s="2784"/>
    </row>
    <row r="4" spans="2:17" ht="18">
      <c r="B4" s="2785"/>
      <c r="C4" s="2786"/>
      <c r="D4" s="2787" t="s">
        <v>0</v>
      </c>
      <c r="E4" s="2786"/>
      <c r="F4" s="2786"/>
      <c r="G4" s="2445"/>
      <c r="H4" s="2788"/>
      <c r="I4" s="2445"/>
      <c r="J4" s="2788"/>
      <c r="K4" s="2445"/>
      <c r="L4" s="2788"/>
      <c r="M4" s="2789"/>
      <c r="N4" s="2789"/>
      <c r="O4" s="3501"/>
      <c r="P4" s="2790"/>
    </row>
    <row r="5" spans="2:17" ht="18">
      <c r="B5" s="2785"/>
      <c r="C5" s="2786"/>
      <c r="D5" s="2787" t="s">
        <v>767</v>
      </c>
      <c r="E5" s="2786"/>
      <c r="F5" s="2786"/>
      <c r="G5" s="2445"/>
      <c r="H5" s="2788"/>
      <c r="I5" s="2445"/>
      <c r="J5" s="2788"/>
      <c r="K5" s="2445"/>
      <c r="L5" s="2788"/>
      <c r="M5" s="2791"/>
      <c r="N5" s="2791"/>
      <c r="O5" s="2791"/>
      <c r="P5" s="2792"/>
    </row>
    <row r="6" spans="2:17" ht="15.75">
      <c r="B6" s="2785"/>
      <c r="C6" s="2786"/>
      <c r="D6" s="2793"/>
      <c r="E6" s="2786"/>
      <c r="F6" s="2786"/>
      <c r="G6" s="2445"/>
      <c r="H6" s="2788"/>
      <c r="I6" s="2445"/>
      <c r="J6" s="2788"/>
      <c r="K6" s="2445"/>
      <c r="L6" s="2788"/>
      <c r="M6" s="2794"/>
      <c r="N6" s="2794"/>
      <c r="O6" s="2794"/>
      <c r="P6" s="2795"/>
    </row>
    <row r="7" spans="2:17" ht="15.75">
      <c r="B7" s="2785"/>
      <c r="C7" s="2796"/>
      <c r="D7" s="2797"/>
      <c r="E7" s="2798"/>
      <c r="F7" s="2798"/>
      <c r="G7" s="2445"/>
      <c r="H7" s="2788"/>
      <c r="I7" s="2445"/>
      <c r="J7" s="2788"/>
      <c r="K7" s="2445"/>
      <c r="L7" s="2788"/>
      <c r="M7" s="2799"/>
      <c r="N7" s="2799"/>
      <c r="O7" s="2799"/>
      <c r="P7" s="2800"/>
    </row>
    <row r="8" spans="2:17" s="2807" customFormat="1" ht="16.5" thickBot="1">
      <c r="B8" s="2801" t="s">
        <v>549</v>
      </c>
      <c r="C8" s="2802"/>
      <c r="D8" s="2803" t="s">
        <v>550</v>
      </c>
      <c r="E8" s="2803"/>
      <c r="F8" s="2803"/>
      <c r="G8" s="3502" t="s">
        <v>1460</v>
      </c>
      <c r="H8" s="2804"/>
      <c r="I8" s="3502" t="s">
        <v>1463</v>
      </c>
      <c r="J8" s="2804"/>
      <c r="K8" s="3502" t="s">
        <v>1471</v>
      </c>
      <c r="L8" s="2804"/>
      <c r="M8" s="2804" t="s">
        <v>551</v>
      </c>
      <c r="N8" s="2805"/>
      <c r="O8" s="3502" t="s">
        <v>1517</v>
      </c>
      <c r="P8" s="2806"/>
    </row>
    <row r="9" spans="2:17" s="2807" customFormat="1" ht="15.75">
      <c r="B9" s="2808"/>
      <c r="C9" s="2809"/>
      <c r="D9" s="2810" t="s">
        <v>143</v>
      </c>
      <c r="E9" s="2811"/>
      <c r="F9" s="2811"/>
      <c r="G9" s="3503"/>
      <c r="H9" s="3904"/>
      <c r="I9" s="3503"/>
      <c r="J9" s="3904"/>
      <c r="K9" s="3503"/>
      <c r="L9" s="3904"/>
      <c r="M9" s="3503"/>
      <c r="N9" s="3503"/>
      <c r="O9" s="3503"/>
      <c r="P9" s="3403"/>
    </row>
    <row r="10" spans="2:17" s="2807" customFormat="1" ht="15.75">
      <c r="B10" s="2813">
        <v>10050</v>
      </c>
      <c r="C10" s="2808"/>
      <c r="D10" s="2814" t="s">
        <v>871</v>
      </c>
      <c r="E10" s="2445"/>
      <c r="F10" s="2815"/>
      <c r="G10" s="2816">
        <v>0</v>
      </c>
      <c r="H10" s="2816"/>
      <c r="I10" s="2816">
        <v>0</v>
      </c>
      <c r="J10" s="2816"/>
      <c r="K10" s="2816">
        <v>0</v>
      </c>
      <c r="L10" s="2816"/>
      <c r="M10" s="2816">
        <f>ROUND(SUM(O10)-SUM(K10),2)</f>
        <v>0</v>
      </c>
      <c r="N10" s="2816"/>
      <c r="O10" s="2816">
        <v>0</v>
      </c>
      <c r="P10" s="2817" t="s">
        <v>764</v>
      </c>
      <c r="Q10" s="2818"/>
    </row>
    <row r="11" spans="2:17" s="2807" customFormat="1" ht="16.5" thickBot="1">
      <c r="B11" s="2819"/>
      <c r="C11" s="2809"/>
      <c r="D11" s="2820" t="s">
        <v>552</v>
      </c>
      <c r="E11" s="2811"/>
      <c r="F11" s="2811"/>
      <c r="G11" s="3504">
        <f>ROUND(SUM(G10),2)</f>
        <v>0</v>
      </c>
      <c r="H11" s="3505"/>
      <c r="I11" s="3504">
        <f>ROUND(SUM(I10),2)</f>
        <v>0</v>
      </c>
      <c r="J11" s="3505"/>
      <c r="K11" s="3504">
        <f>ROUND(SUM(K10),2)</f>
        <v>0</v>
      </c>
      <c r="L11" s="3505"/>
      <c r="M11" s="3504">
        <f>ROUND(SUM(M10),2)</f>
        <v>0</v>
      </c>
      <c r="N11" s="3505"/>
      <c r="O11" s="3504">
        <f>ROUND(SUM(O10),2)</f>
        <v>0</v>
      </c>
      <c r="P11" s="2817"/>
      <c r="Q11" s="2818"/>
    </row>
    <row r="12" spans="2:17" s="2807" customFormat="1" ht="16.5" thickTop="1">
      <c r="B12" s="2819"/>
      <c r="C12" s="2821"/>
      <c r="D12" s="2822"/>
      <c r="E12" s="2823"/>
      <c r="F12" s="2823"/>
      <c r="G12" s="3505"/>
      <c r="H12" s="3506"/>
      <c r="I12" s="3505"/>
      <c r="J12" s="3506"/>
      <c r="K12" s="3505"/>
      <c r="L12" s="3506"/>
      <c r="M12" s="3505"/>
      <c r="N12" s="3505"/>
      <c r="O12" s="3505"/>
      <c r="P12" s="2824"/>
      <c r="Q12" s="2818"/>
    </row>
    <row r="13" spans="2:17" s="2807" customFormat="1" ht="15.75">
      <c r="B13" s="2819"/>
      <c r="C13" s="2809"/>
      <c r="D13" s="2810" t="s">
        <v>553</v>
      </c>
      <c r="E13" s="2811"/>
      <c r="F13" s="2811"/>
      <c r="G13" s="3506"/>
      <c r="H13" s="2457"/>
      <c r="I13" s="3506"/>
      <c r="J13" s="2457"/>
      <c r="K13" s="3506"/>
      <c r="L13" s="2457"/>
      <c r="M13" s="3506"/>
      <c r="N13" s="3506"/>
      <c r="O13" s="3506"/>
      <c r="P13" s="2824"/>
      <c r="Q13" s="2818"/>
    </row>
    <row r="14" spans="2:17" s="2807" customFormat="1" ht="15.75">
      <c r="B14" s="2813">
        <v>30051</v>
      </c>
      <c r="C14" s="2779"/>
      <c r="D14" s="2814" t="s">
        <v>554</v>
      </c>
      <c r="E14" s="2779"/>
      <c r="F14" s="1190">
        <v>227042324.13</v>
      </c>
      <c r="G14" s="1190">
        <v>0</v>
      </c>
      <c r="H14" s="1190"/>
      <c r="I14" s="1190">
        <v>0</v>
      </c>
      <c r="J14" s="1190"/>
      <c r="K14" s="1190">
        <v>0</v>
      </c>
      <c r="L14" s="1190"/>
      <c r="M14" s="1190">
        <f>ROUND(SUM(O14)-SUM(K14),2)</f>
        <v>0</v>
      </c>
      <c r="N14" s="1190"/>
      <c r="O14" s="1190">
        <v>0</v>
      </c>
      <c r="P14" s="2817"/>
      <c r="Q14" s="2818"/>
    </row>
    <row r="15" spans="2:17" s="2807" customFormat="1" ht="15.75">
      <c r="B15" s="2813">
        <v>30053</v>
      </c>
      <c r="C15" s="2779"/>
      <c r="D15" s="2814" t="s">
        <v>1159</v>
      </c>
      <c r="E15" s="2779"/>
      <c r="F15" s="1190"/>
      <c r="G15" s="1190">
        <v>0</v>
      </c>
      <c r="H15" s="1190"/>
      <c r="I15" s="1190">
        <v>0</v>
      </c>
      <c r="J15" s="1190"/>
      <c r="K15" s="1190">
        <v>0</v>
      </c>
      <c r="L15" s="1190"/>
      <c r="M15" s="1190">
        <f>ROUND(SUM(O15)-SUM(K15),2)</f>
        <v>0</v>
      </c>
      <c r="N15" s="1190"/>
      <c r="O15" s="1190">
        <v>0</v>
      </c>
      <c r="P15" s="2817"/>
      <c r="Q15" s="2818"/>
    </row>
    <row r="16" spans="2:17" s="2807" customFormat="1" ht="15.75">
      <c r="B16" s="2813">
        <v>30101</v>
      </c>
      <c r="C16" s="3748"/>
      <c r="D16" s="2814" t="s">
        <v>1405</v>
      </c>
      <c r="E16" s="2779"/>
      <c r="F16" s="1190"/>
      <c r="G16" s="1190">
        <v>0</v>
      </c>
      <c r="H16" s="1190"/>
      <c r="I16" s="1190">
        <v>0</v>
      </c>
      <c r="J16" s="1190"/>
      <c r="K16" s="1190">
        <v>0</v>
      </c>
      <c r="L16" s="1190"/>
      <c r="M16" s="1190">
        <f t="shared" ref="M16:M61" si="0">ROUND(SUM(O16)-SUM(K16),2)</f>
        <v>0</v>
      </c>
      <c r="N16" s="1190"/>
      <c r="O16" s="1190">
        <v>0</v>
      </c>
      <c r="P16" s="2817"/>
      <c r="Q16" s="2818"/>
    </row>
    <row r="17" spans="2:17" s="2807" customFormat="1" ht="15.75">
      <c r="B17" s="2813">
        <v>30102</v>
      </c>
      <c r="C17" s="2779"/>
      <c r="D17" s="2814" t="s">
        <v>1360</v>
      </c>
      <c r="E17" s="2779"/>
      <c r="F17" s="1190"/>
      <c r="G17" s="1190">
        <v>0</v>
      </c>
      <c r="H17" s="1190"/>
      <c r="I17" s="1190">
        <v>0</v>
      </c>
      <c r="J17" s="1190"/>
      <c r="K17" s="1190">
        <v>0</v>
      </c>
      <c r="L17" s="1190"/>
      <c r="M17" s="1190">
        <f t="shared" si="0"/>
        <v>0</v>
      </c>
      <c r="N17" s="1190"/>
      <c r="O17" s="1190">
        <v>0</v>
      </c>
      <c r="P17" s="2817"/>
      <c r="Q17" s="2818"/>
    </row>
    <row r="18" spans="2:17" s="2807" customFormat="1" ht="15.75">
      <c r="B18" s="2813">
        <v>30103</v>
      </c>
      <c r="C18" s="2779"/>
      <c r="D18" s="2814" t="s">
        <v>1361</v>
      </c>
      <c r="E18" s="2779"/>
      <c r="F18" s="1190"/>
      <c r="G18" s="1190">
        <v>0</v>
      </c>
      <c r="H18" s="1190"/>
      <c r="I18" s="1190">
        <v>0</v>
      </c>
      <c r="J18" s="1190"/>
      <c r="K18" s="1190">
        <v>0</v>
      </c>
      <c r="L18" s="1190"/>
      <c r="M18" s="1190">
        <f t="shared" si="0"/>
        <v>0</v>
      </c>
      <c r="N18" s="1190"/>
      <c r="O18" s="1190">
        <v>0</v>
      </c>
      <c r="P18" s="2817"/>
      <c r="Q18" s="2818"/>
    </row>
    <row r="19" spans="2:17" s="2807" customFormat="1" ht="15.75">
      <c r="B19" s="2813">
        <v>30104</v>
      </c>
      <c r="C19" s="2779"/>
      <c r="D19" s="2814" t="s">
        <v>1362</v>
      </c>
      <c r="E19" s="2779"/>
      <c r="F19" s="1190"/>
      <c r="G19" s="1190">
        <v>0</v>
      </c>
      <c r="H19" s="1190"/>
      <c r="I19" s="1190">
        <v>0</v>
      </c>
      <c r="J19" s="1190"/>
      <c r="K19" s="1190">
        <v>0</v>
      </c>
      <c r="L19" s="1190"/>
      <c r="M19" s="1190">
        <f t="shared" si="0"/>
        <v>0</v>
      </c>
      <c r="N19" s="1190"/>
      <c r="O19" s="1190">
        <v>0</v>
      </c>
      <c r="P19" s="2817"/>
      <c r="Q19" s="2818"/>
    </row>
    <row r="20" spans="2:17" s="2807" customFormat="1" ht="15.75">
      <c r="B20" s="2813">
        <v>30105</v>
      </c>
      <c r="C20" s="2779"/>
      <c r="D20" s="2814" t="s">
        <v>1363</v>
      </c>
      <c r="E20" s="2779"/>
      <c r="F20" s="1190"/>
      <c r="G20" s="1190">
        <v>0</v>
      </c>
      <c r="H20" s="1190"/>
      <c r="I20" s="1190">
        <v>0</v>
      </c>
      <c r="J20" s="1190"/>
      <c r="K20" s="1190">
        <v>0</v>
      </c>
      <c r="L20" s="1190"/>
      <c r="M20" s="1190">
        <f t="shared" si="0"/>
        <v>0</v>
      </c>
      <c r="N20" s="1190"/>
      <c r="O20" s="1190">
        <v>0</v>
      </c>
      <c r="P20" s="2817"/>
      <c r="Q20" s="2818"/>
    </row>
    <row r="21" spans="2:17" s="2807" customFormat="1" ht="15.75">
      <c r="B21" s="2813">
        <v>30106</v>
      </c>
      <c r="C21" s="2779"/>
      <c r="D21" s="2814" t="s">
        <v>1364</v>
      </c>
      <c r="E21" s="2779"/>
      <c r="F21" s="1190"/>
      <c r="G21" s="1190">
        <v>0</v>
      </c>
      <c r="H21" s="1190"/>
      <c r="I21" s="1190">
        <v>0</v>
      </c>
      <c r="J21" s="1190"/>
      <c r="K21" s="1190">
        <v>0</v>
      </c>
      <c r="L21" s="1190"/>
      <c r="M21" s="1190">
        <f t="shared" si="0"/>
        <v>0</v>
      </c>
      <c r="N21" s="1190"/>
      <c r="O21" s="1190">
        <v>0</v>
      </c>
      <c r="P21" s="2817"/>
      <c r="Q21" s="2818"/>
    </row>
    <row r="22" spans="2:17" s="2807" customFormat="1" ht="15.75">
      <c r="B22" s="2813">
        <v>30107</v>
      </c>
      <c r="C22" s="2779"/>
      <c r="D22" s="2814" t="s">
        <v>1365</v>
      </c>
      <c r="E22" s="2779"/>
      <c r="F22" s="1190"/>
      <c r="G22" s="1190">
        <v>0</v>
      </c>
      <c r="H22" s="1190"/>
      <c r="I22" s="1190">
        <v>0</v>
      </c>
      <c r="J22" s="1190"/>
      <c r="K22" s="1190">
        <v>0</v>
      </c>
      <c r="L22" s="1190"/>
      <c r="M22" s="1190">
        <f t="shared" si="0"/>
        <v>0</v>
      </c>
      <c r="N22" s="1190"/>
      <c r="O22" s="1190">
        <v>0</v>
      </c>
      <c r="P22" s="2817"/>
      <c r="Q22" s="2818"/>
    </row>
    <row r="23" spans="2:17" s="2807" customFormat="1" ht="15.75">
      <c r="B23" s="2813">
        <v>30108</v>
      </c>
      <c r="C23" s="2779"/>
      <c r="D23" s="2814" t="s">
        <v>1366</v>
      </c>
      <c r="E23" s="2779"/>
      <c r="F23" s="1190"/>
      <c r="G23" s="1190">
        <v>0</v>
      </c>
      <c r="H23" s="1190"/>
      <c r="I23" s="1190">
        <v>0</v>
      </c>
      <c r="J23" s="1190"/>
      <c r="K23" s="1190">
        <v>0</v>
      </c>
      <c r="L23" s="1190"/>
      <c r="M23" s="1190">
        <f t="shared" si="0"/>
        <v>0</v>
      </c>
      <c r="N23" s="1190"/>
      <c r="O23" s="1190">
        <v>0</v>
      </c>
      <c r="P23" s="2817"/>
      <c r="Q23" s="2818"/>
    </row>
    <row r="24" spans="2:17" s="2807" customFormat="1" ht="15.75">
      <c r="B24" s="2813">
        <v>30109</v>
      </c>
      <c r="C24" s="2779"/>
      <c r="D24" s="2814" t="s">
        <v>1367</v>
      </c>
      <c r="E24" s="2779"/>
      <c r="F24" s="1190"/>
      <c r="G24" s="1190">
        <v>0</v>
      </c>
      <c r="H24" s="1190"/>
      <c r="I24" s="1190">
        <v>0</v>
      </c>
      <c r="J24" s="1190"/>
      <c r="K24" s="1190">
        <v>0</v>
      </c>
      <c r="L24" s="1190"/>
      <c r="M24" s="1190">
        <f t="shared" si="0"/>
        <v>0</v>
      </c>
      <c r="N24" s="1190"/>
      <c r="O24" s="1190">
        <v>0</v>
      </c>
      <c r="P24" s="2817"/>
      <c r="Q24" s="2818"/>
    </row>
    <row r="25" spans="2:17" s="2807" customFormat="1" ht="15.75">
      <c r="B25" s="2813">
        <v>30110</v>
      </c>
      <c r="C25" s="2779"/>
      <c r="D25" s="2814" t="s">
        <v>1368</v>
      </c>
      <c r="E25" s="2779"/>
      <c r="F25" s="1190"/>
      <c r="G25" s="1190">
        <v>0</v>
      </c>
      <c r="H25" s="1190"/>
      <c r="I25" s="1190">
        <v>0</v>
      </c>
      <c r="J25" s="1190"/>
      <c r="K25" s="1190">
        <v>0</v>
      </c>
      <c r="L25" s="1190"/>
      <c r="M25" s="1190">
        <f t="shared" si="0"/>
        <v>0</v>
      </c>
      <c r="N25" s="1190"/>
      <c r="O25" s="1190">
        <v>0</v>
      </c>
      <c r="P25" s="2817"/>
      <c r="Q25" s="2818"/>
    </row>
    <row r="26" spans="2:17" s="2807" customFormat="1" ht="15.75">
      <c r="B26" s="2813">
        <v>30111</v>
      </c>
      <c r="C26" s="2779"/>
      <c r="D26" s="2814" t="s">
        <v>1369</v>
      </c>
      <c r="E26" s="2779"/>
      <c r="F26" s="1190"/>
      <c r="G26" s="1190">
        <v>0</v>
      </c>
      <c r="H26" s="1190"/>
      <c r="I26" s="1190">
        <v>0</v>
      </c>
      <c r="J26" s="1190"/>
      <c r="K26" s="1190">
        <v>0</v>
      </c>
      <c r="L26" s="1190"/>
      <c r="M26" s="1190">
        <f t="shared" si="0"/>
        <v>0</v>
      </c>
      <c r="N26" s="1190"/>
      <c r="O26" s="1190">
        <v>0</v>
      </c>
      <c r="P26" s="2817"/>
      <c r="Q26" s="2818"/>
    </row>
    <row r="27" spans="2:17" s="2807" customFormat="1" ht="15.75">
      <c r="B27" s="2813">
        <v>30112</v>
      </c>
      <c r="C27" s="2779"/>
      <c r="D27" s="2814" t="s">
        <v>1370</v>
      </c>
      <c r="E27" s="2779"/>
      <c r="F27" s="1190"/>
      <c r="G27" s="1190">
        <v>0</v>
      </c>
      <c r="H27" s="1190"/>
      <c r="I27" s="1190">
        <v>0</v>
      </c>
      <c r="J27" s="1190"/>
      <c r="K27" s="1190">
        <v>0</v>
      </c>
      <c r="L27" s="1190"/>
      <c r="M27" s="1190">
        <f t="shared" si="0"/>
        <v>0</v>
      </c>
      <c r="N27" s="1190"/>
      <c r="O27" s="1190">
        <v>0</v>
      </c>
      <c r="P27" s="2817"/>
      <c r="Q27" s="2818"/>
    </row>
    <row r="28" spans="2:17" s="2807" customFormat="1" ht="15.75">
      <c r="B28" s="2813">
        <v>30113</v>
      </c>
      <c r="C28" s="2779"/>
      <c r="D28" s="2814" t="s">
        <v>1371</v>
      </c>
      <c r="E28" s="2779"/>
      <c r="F28" s="1190"/>
      <c r="G28" s="1190">
        <v>0</v>
      </c>
      <c r="H28" s="1190"/>
      <c r="I28" s="1190">
        <v>0</v>
      </c>
      <c r="J28" s="1190"/>
      <c r="K28" s="1190">
        <v>0</v>
      </c>
      <c r="L28" s="1190"/>
      <c r="M28" s="1190">
        <f t="shared" si="0"/>
        <v>0</v>
      </c>
      <c r="N28" s="1190"/>
      <c r="O28" s="1190">
        <v>0</v>
      </c>
      <c r="P28" s="2817"/>
      <c r="Q28" s="2818"/>
    </row>
    <row r="29" spans="2:17" s="2807" customFormat="1" ht="15.75">
      <c r="B29" s="2813">
        <v>30114</v>
      </c>
      <c r="C29" s="2779"/>
      <c r="D29" s="2814" t="s">
        <v>1372</v>
      </c>
      <c r="E29" s="2779"/>
      <c r="F29" s="1190"/>
      <c r="G29" s="1190">
        <v>0</v>
      </c>
      <c r="H29" s="1190"/>
      <c r="I29" s="1190">
        <v>0</v>
      </c>
      <c r="J29" s="1190"/>
      <c r="K29" s="1190">
        <v>0</v>
      </c>
      <c r="L29" s="1190"/>
      <c r="M29" s="1190">
        <f t="shared" si="0"/>
        <v>0</v>
      </c>
      <c r="N29" s="1190"/>
      <c r="O29" s="1190">
        <v>0</v>
      </c>
      <c r="P29" s="2817"/>
      <c r="Q29" s="2818"/>
    </row>
    <row r="30" spans="2:17" s="2807" customFormat="1" ht="15.75">
      <c r="B30" s="2813">
        <v>30115</v>
      </c>
      <c r="C30" s="2779"/>
      <c r="D30" s="2814" t="s">
        <v>1373</v>
      </c>
      <c r="E30" s="2779"/>
      <c r="F30" s="1190"/>
      <c r="G30" s="1190">
        <v>0</v>
      </c>
      <c r="H30" s="1190"/>
      <c r="I30" s="1190">
        <v>0</v>
      </c>
      <c r="J30" s="1190"/>
      <c r="K30" s="1190">
        <v>0</v>
      </c>
      <c r="L30" s="1190"/>
      <c r="M30" s="1190">
        <f t="shared" si="0"/>
        <v>0</v>
      </c>
      <c r="N30" s="1190"/>
      <c r="O30" s="1190">
        <v>0</v>
      </c>
      <c r="P30" s="2817"/>
      <c r="Q30" s="2818"/>
    </row>
    <row r="31" spans="2:17" s="2807" customFormat="1" ht="15.75">
      <c r="B31" s="2813">
        <v>30116</v>
      </c>
      <c r="C31" s="2779"/>
      <c r="D31" s="2814" t="s">
        <v>1374</v>
      </c>
      <c r="E31" s="2779"/>
      <c r="F31" s="1190"/>
      <c r="G31" s="1190">
        <v>0</v>
      </c>
      <c r="H31" s="1190"/>
      <c r="I31" s="1190">
        <v>0</v>
      </c>
      <c r="J31" s="1190"/>
      <c r="K31" s="1190">
        <v>0</v>
      </c>
      <c r="L31" s="1190"/>
      <c r="M31" s="1190">
        <f t="shared" si="0"/>
        <v>0</v>
      </c>
      <c r="N31" s="1190"/>
      <c r="O31" s="1190">
        <v>0</v>
      </c>
      <c r="P31" s="2817"/>
      <c r="Q31" s="2818"/>
    </row>
    <row r="32" spans="2:17" s="2807" customFormat="1" ht="15.75">
      <c r="B32" s="2813">
        <v>30117</v>
      </c>
      <c r="C32" s="2779"/>
      <c r="D32" s="2814" t="s">
        <v>1375</v>
      </c>
      <c r="E32" s="2779"/>
      <c r="F32" s="1190"/>
      <c r="G32" s="1190">
        <v>0</v>
      </c>
      <c r="H32" s="1190"/>
      <c r="I32" s="1190">
        <v>0</v>
      </c>
      <c r="J32" s="1190"/>
      <c r="K32" s="1190">
        <v>0</v>
      </c>
      <c r="L32" s="1190"/>
      <c r="M32" s="1190">
        <f t="shared" si="0"/>
        <v>0</v>
      </c>
      <c r="N32" s="1190"/>
      <c r="O32" s="1190">
        <v>0</v>
      </c>
      <c r="P32" s="2817"/>
      <c r="Q32" s="2818"/>
    </row>
    <row r="33" spans="2:17" s="2807" customFormat="1" ht="15.75">
      <c r="B33" s="2813">
        <v>30118</v>
      </c>
      <c r="C33" s="2779"/>
      <c r="D33" s="2814" t="s">
        <v>1376</v>
      </c>
      <c r="E33" s="2779"/>
      <c r="F33" s="1190"/>
      <c r="G33" s="1190">
        <v>0</v>
      </c>
      <c r="H33" s="1190"/>
      <c r="I33" s="1190">
        <v>0</v>
      </c>
      <c r="J33" s="1190"/>
      <c r="K33" s="1190">
        <v>0</v>
      </c>
      <c r="L33" s="1190"/>
      <c r="M33" s="1190">
        <f t="shared" si="0"/>
        <v>0</v>
      </c>
      <c r="N33" s="1190"/>
      <c r="O33" s="1190">
        <v>0</v>
      </c>
      <c r="P33" s="2817"/>
      <c r="Q33" s="2818"/>
    </row>
    <row r="34" spans="2:17" s="2807" customFormat="1" ht="15.75">
      <c r="B34" s="2813">
        <v>30119</v>
      </c>
      <c r="C34" s="2779"/>
      <c r="D34" s="2814" t="s">
        <v>1377</v>
      </c>
      <c r="E34" s="2779"/>
      <c r="F34" s="1190"/>
      <c r="G34" s="1190">
        <v>0</v>
      </c>
      <c r="H34" s="1190"/>
      <c r="I34" s="1190">
        <v>0</v>
      </c>
      <c r="J34" s="1190"/>
      <c r="K34" s="1190">
        <v>0</v>
      </c>
      <c r="L34" s="1190"/>
      <c r="M34" s="1190">
        <f t="shared" si="0"/>
        <v>0</v>
      </c>
      <c r="N34" s="1190"/>
      <c r="O34" s="1190">
        <v>0</v>
      </c>
      <c r="P34" s="2817"/>
      <c r="Q34" s="2818"/>
    </row>
    <row r="35" spans="2:17" s="2807" customFormat="1" ht="15.75">
      <c r="B35" s="2813">
        <v>30120</v>
      </c>
      <c r="C35" s="2779"/>
      <c r="D35" s="2814" t="s">
        <v>1378</v>
      </c>
      <c r="E35" s="2779"/>
      <c r="F35" s="1190"/>
      <c r="G35" s="1190">
        <v>0</v>
      </c>
      <c r="H35" s="1190"/>
      <c r="I35" s="1190">
        <v>0</v>
      </c>
      <c r="J35" s="1190"/>
      <c r="K35" s="1190">
        <v>0</v>
      </c>
      <c r="L35" s="1190"/>
      <c r="M35" s="1190">
        <f t="shared" si="0"/>
        <v>0</v>
      </c>
      <c r="N35" s="1190"/>
      <c r="O35" s="1190">
        <v>0</v>
      </c>
      <c r="P35" s="2817"/>
      <c r="Q35" s="2818"/>
    </row>
    <row r="36" spans="2:17" s="2807" customFormat="1" ht="15.75">
      <c r="B36" s="2813">
        <v>30121</v>
      </c>
      <c r="C36" s="2779"/>
      <c r="D36" s="2814" t="s">
        <v>1379</v>
      </c>
      <c r="E36" s="2779"/>
      <c r="F36" s="1190"/>
      <c r="G36" s="1190">
        <v>0</v>
      </c>
      <c r="H36" s="1190"/>
      <c r="I36" s="1190">
        <v>0</v>
      </c>
      <c r="J36" s="1190"/>
      <c r="K36" s="1190">
        <v>0</v>
      </c>
      <c r="L36" s="1190"/>
      <c r="M36" s="1190">
        <f t="shared" si="0"/>
        <v>0</v>
      </c>
      <c r="N36" s="1190"/>
      <c r="O36" s="1190">
        <v>0</v>
      </c>
      <c r="P36" s="2817"/>
      <c r="Q36" s="2818"/>
    </row>
    <row r="37" spans="2:17" s="2807" customFormat="1" ht="15.75">
      <c r="B37" s="2813">
        <v>30122</v>
      </c>
      <c r="C37" s="2779"/>
      <c r="D37" s="2814" t="s">
        <v>1380</v>
      </c>
      <c r="E37" s="2779"/>
      <c r="F37" s="1190"/>
      <c r="G37" s="1190">
        <v>0</v>
      </c>
      <c r="H37" s="1190"/>
      <c r="I37" s="1190">
        <v>0</v>
      </c>
      <c r="J37" s="1190"/>
      <c r="K37" s="1190">
        <v>0</v>
      </c>
      <c r="L37" s="1190"/>
      <c r="M37" s="1190">
        <f t="shared" si="0"/>
        <v>0</v>
      </c>
      <c r="N37" s="1190"/>
      <c r="O37" s="1190">
        <v>0</v>
      </c>
      <c r="P37" s="2817"/>
      <c r="Q37" s="2818"/>
    </row>
    <row r="38" spans="2:17" s="2807" customFormat="1" ht="15.75">
      <c r="B38" s="2813">
        <v>30123</v>
      </c>
      <c r="C38" s="2779"/>
      <c r="D38" s="2814" t="s">
        <v>1381</v>
      </c>
      <c r="E38" s="2779"/>
      <c r="F38" s="1190"/>
      <c r="G38" s="1190">
        <v>0</v>
      </c>
      <c r="H38" s="1190"/>
      <c r="I38" s="1190">
        <v>0</v>
      </c>
      <c r="J38" s="1190"/>
      <c r="K38" s="1190">
        <v>0</v>
      </c>
      <c r="L38" s="1190"/>
      <c r="M38" s="1190">
        <f t="shared" si="0"/>
        <v>0</v>
      </c>
      <c r="N38" s="1190"/>
      <c r="O38" s="1190">
        <v>0</v>
      </c>
      <c r="P38" s="2817"/>
      <c r="Q38" s="2818"/>
    </row>
    <row r="39" spans="2:17" s="2807" customFormat="1" ht="15.75">
      <c r="B39" s="2813">
        <v>30124</v>
      </c>
      <c r="C39" s="2779"/>
      <c r="D39" s="2814" t="s">
        <v>1382</v>
      </c>
      <c r="E39" s="2779"/>
      <c r="F39" s="1190"/>
      <c r="G39" s="1190">
        <v>0</v>
      </c>
      <c r="H39" s="1190"/>
      <c r="I39" s="1190">
        <v>0</v>
      </c>
      <c r="J39" s="1190"/>
      <c r="K39" s="1190">
        <v>0</v>
      </c>
      <c r="L39" s="1190"/>
      <c r="M39" s="1190">
        <f t="shared" si="0"/>
        <v>0</v>
      </c>
      <c r="N39" s="1190"/>
      <c r="O39" s="1190">
        <v>0</v>
      </c>
      <c r="P39" s="2817"/>
      <c r="Q39" s="2818"/>
    </row>
    <row r="40" spans="2:17" s="2807" customFormat="1" ht="15.75">
      <c r="B40" s="2813">
        <v>30125</v>
      </c>
      <c r="C40" s="2779"/>
      <c r="D40" s="2814" t="s">
        <v>1383</v>
      </c>
      <c r="E40" s="2779"/>
      <c r="F40" s="1190"/>
      <c r="G40" s="1190">
        <v>0</v>
      </c>
      <c r="H40" s="1190"/>
      <c r="I40" s="1190">
        <v>0</v>
      </c>
      <c r="J40" s="1190"/>
      <c r="K40" s="1190">
        <v>0</v>
      </c>
      <c r="L40" s="1190"/>
      <c r="M40" s="1190">
        <f t="shared" si="0"/>
        <v>0</v>
      </c>
      <c r="N40" s="1190"/>
      <c r="O40" s="1190">
        <v>0</v>
      </c>
      <c r="P40" s="2817"/>
      <c r="Q40" s="2818"/>
    </row>
    <row r="41" spans="2:17" s="2807" customFormat="1" ht="15.75">
      <c r="B41" s="2813">
        <v>30126</v>
      </c>
      <c r="C41" s="2779"/>
      <c r="D41" s="2814" t="s">
        <v>1384</v>
      </c>
      <c r="E41" s="2779"/>
      <c r="F41" s="1190"/>
      <c r="G41" s="1190">
        <v>0</v>
      </c>
      <c r="H41" s="1190"/>
      <c r="I41" s="1190">
        <v>0</v>
      </c>
      <c r="J41" s="1190"/>
      <c r="K41" s="1190">
        <v>0</v>
      </c>
      <c r="L41" s="1190"/>
      <c r="M41" s="1190">
        <f t="shared" si="0"/>
        <v>0</v>
      </c>
      <c r="N41" s="1190"/>
      <c r="O41" s="1190">
        <v>0</v>
      </c>
      <c r="P41" s="2817"/>
      <c r="Q41" s="2818"/>
    </row>
    <row r="42" spans="2:17" s="2807" customFormat="1" ht="15.75">
      <c r="B42" s="2813">
        <v>30127</v>
      </c>
      <c r="C42" s="2779"/>
      <c r="D42" s="2814" t="s">
        <v>1385</v>
      </c>
      <c r="E42" s="2779"/>
      <c r="F42" s="1190"/>
      <c r="G42" s="1190">
        <v>0</v>
      </c>
      <c r="H42" s="1190"/>
      <c r="I42" s="1190">
        <v>0</v>
      </c>
      <c r="J42" s="1190"/>
      <c r="K42" s="1190">
        <v>0</v>
      </c>
      <c r="L42" s="1190"/>
      <c r="M42" s="1190">
        <f t="shared" si="0"/>
        <v>0</v>
      </c>
      <c r="N42" s="1190"/>
      <c r="O42" s="1190">
        <v>0</v>
      </c>
      <c r="P42" s="2817"/>
      <c r="Q42" s="2818"/>
    </row>
    <row r="43" spans="2:17" s="2807" customFormat="1" ht="15.75">
      <c r="B43" s="2813">
        <v>30128</v>
      </c>
      <c r="C43" s="2779"/>
      <c r="D43" s="2814" t="s">
        <v>1386</v>
      </c>
      <c r="E43" s="2779"/>
      <c r="F43" s="1190"/>
      <c r="G43" s="1190">
        <v>0</v>
      </c>
      <c r="H43" s="1190"/>
      <c r="I43" s="1190">
        <v>0</v>
      </c>
      <c r="J43" s="1190"/>
      <c r="K43" s="1190">
        <v>0</v>
      </c>
      <c r="L43" s="1190"/>
      <c r="M43" s="1190">
        <f t="shared" si="0"/>
        <v>0</v>
      </c>
      <c r="N43" s="1190"/>
      <c r="O43" s="1190">
        <v>0</v>
      </c>
      <c r="P43" s="2817"/>
      <c r="Q43" s="2818"/>
    </row>
    <row r="44" spans="2:17" s="2807" customFormat="1" ht="15.75">
      <c r="B44" s="2813">
        <v>30129</v>
      </c>
      <c r="C44" s="2779"/>
      <c r="D44" s="2814" t="s">
        <v>1387</v>
      </c>
      <c r="E44" s="2779"/>
      <c r="F44" s="1190"/>
      <c r="G44" s="1190">
        <v>0</v>
      </c>
      <c r="H44" s="1190"/>
      <c r="I44" s="1190">
        <v>0</v>
      </c>
      <c r="J44" s="1190"/>
      <c r="K44" s="1190">
        <v>0</v>
      </c>
      <c r="L44" s="1190"/>
      <c r="M44" s="1190">
        <f t="shared" si="0"/>
        <v>0</v>
      </c>
      <c r="N44" s="1190"/>
      <c r="O44" s="1190">
        <v>0</v>
      </c>
      <c r="P44" s="2817"/>
      <c r="Q44" s="2818"/>
    </row>
    <row r="45" spans="2:17" s="2807" customFormat="1" ht="15.75">
      <c r="B45" s="2813">
        <v>30130</v>
      </c>
      <c r="C45" s="2779"/>
      <c r="D45" s="2814" t="s">
        <v>1388</v>
      </c>
      <c r="E45" s="2779"/>
      <c r="F45" s="1190"/>
      <c r="G45" s="1190">
        <v>0</v>
      </c>
      <c r="H45" s="1190"/>
      <c r="I45" s="1190">
        <v>0</v>
      </c>
      <c r="J45" s="1190"/>
      <c r="K45" s="1190">
        <v>0</v>
      </c>
      <c r="L45" s="1190"/>
      <c r="M45" s="1190">
        <f t="shared" si="0"/>
        <v>0</v>
      </c>
      <c r="N45" s="1190"/>
      <c r="O45" s="1190">
        <v>0</v>
      </c>
      <c r="P45" s="2817"/>
      <c r="Q45" s="2818"/>
    </row>
    <row r="46" spans="2:17" s="2807" customFormat="1" ht="15.75">
      <c r="B46" s="2813">
        <v>30131</v>
      </c>
      <c r="C46" s="2779"/>
      <c r="D46" s="2814" t="s">
        <v>1389</v>
      </c>
      <c r="E46" s="2779"/>
      <c r="F46" s="1190"/>
      <c r="G46" s="1190">
        <v>0</v>
      </c>
      <c r="H46" s="1190"/>
      <c r="I46" s="1190">
        <v>0</v>
      </c>
      <c r="J46" s="1190"/>
      <c r="K46" s="1190">
        <v>0</v>
      </c>
      <c r="L46" s="1190"/>
      <c r="M46" s="1190">
        <f t="shared" si="0"/>
        <v>0</v>
      </c>
      <c r="N46" s="1190"/>
      <c r="O46" s="1190">
        <v>0</v>
      </c>
      <c r="P46" s="2817"/>
      <c r="Q46" s="2818"/>
    </row>
    <row r="47" spans="2:17" s="2807" customFormat="1" ht="15.75">
      <c r="B47" s="2813">
        <v>30132</v>
      </c>
      <c r="C47" s="2779"/>
      <c r="D47" s="2814" t="s">
        <v>1390</v>
      </c>
      <c r="E47" s="2779"/>
      <c r="F47" s="1190"/>
      <c r="G47" s="1190">
        <v>0</v>
      </c>
      <c r="H47" s="1190"/>
      <c r="I47" s="1190">
        <v>0</v>
      </c>
      <c r="J47" s="1190"/>
      <c r="K47" s="1190">
        <v>0</v>
      </c>
      <c r="L47" s="1190"/>
      <c r="M47" s="1190">
        <f t="shared" si="0"/>
        <v>0</v>
      </c>
      <c r="N47" s="1190"/>
      <c r="O47" s="1190">
        <v>0</v>
      </c>
      <c r="P47" s="2817"/>
      <c r="Q47" s="2818"/>
    </row>
    <row r="48" spans="2:17" s="2807" customFormat="1" ht="15.75">
      <c r="B48" s="2813">
        <v>30133</v>
      </c>
      <c r="C48" s="2779"/>
      <c r="D48" s="2814" t="s">
        <v>1391</v>
      </c>
      <c r="E48" s="2779"/>
      <c r="F48" s="1190"/>
      <c r="G48" s="1190">
        <v>0</v>
      </c>
      <c r="H48" s="1190"/>
      <c r="I48" s="1190">
        <v>0</v>
      </c>
      <c r="J48" s="1190"/>
      <c r="K48" s="1190">
        <v>36331.29</v>
      </c>
      <c r="L48" s="1190"/>
      <c r="M48" s="1190">
        <f t="shared" si="0"/>
        <v>-36331.29</v>
      </c>
      <c r="N48" s="1190"/>
      <c r="O48" s="1190">
        <v>0</v>
      </c>
      <c r="P48" s="2817"/>
      <c r="Q48" s="2818"/>
    </row>
    <row r="49" spans="2:17" s="2807" customFormat="1" ht="15.75">
      <c r="B49" s="2813">
        <v>30134</v>
      </c>
      <c r="C49" s="2779"/>
      <c r="D49" s="2814" t="s">
        <v>1392</v>
      </c>
      <c r="E49" s="2779"/>
      <c r="F49" s="1190"/>
      <c r="G49" s="1190">
        <v>0</v>
      </c>
      <c r="H49" s="1190"/>
      <c r="I49" s="1190">
        <v>0</v>
      </c>
      <c r="J49" s="1190"/>
      <c r="K49" s="1190">
        <v>0</v>
      </c>
      <c r="L49" s="1190"/>
      <c r="M49" s="1190">
        <f t="shared" si="0"/>
        <v>0</v>
      </c>
      <c r="N49" s="1190"/>
      <c r="O49" s="1190">
        <v>0</v>
      </c>
      <c r="P49" s="2817"/>
      <c r="Q49" s="2818"/>
    </row>
    <row r="50" spans="2:17" s="2807" customFormat="1" ht="15.75">
      <c r="B50" s="2813">
        <v>30135</v>
      </c>
      <c r="C50" s="2779"/>
      <c r="D50" s="2814" t="s">
        <v>1393</v>
      </c>
      <c r="E50" s="2779"/>
      <c r="F50" s="1190"/>
      <c r="G50" s="1190">
        <v>0</v>
      </c>
      <c r="H50" s="1190"/>
      <c r="I50" s="1190">
        <v>0</v>
      </c>
      <c r="J50" s="1190"/>
      <c r="K50" s="1190">
        <v>0</v>
      </c>
      <c r="L50" s="1190"/>
      <c r="M50" s="1190">
        <f t="shared" si="0"/>
        <v>0</v>
      </c>
      <c r="N50" s="1190"/>
      <c r="O50" s="1190">
        <v>0</v>
      </c>
      <c r="P50" s="2817"/>
      <c r="Q50" s="2818"/>
    </row>
    <row r="51" spans="2:17" s="2807" customFormat="1" ht="15.75">
      <c r="B51" s="2813">
        <v>30136</v>
      </c>
      <c r="C51" s="2779"/>
      <c r="D51" s="2814" t="s">
        <v>1394</v>
      </c>
      <c r="E51" s="2779"/>
      <c r="F51" s="1190"/>
      <c r="G51" s="1190">
        <v>0</v>
      </c>
      <c r="H51" s="1190"/>
      <c r="I51" s="1190">
        <v>0</v>
      </c>
      <c r="J51" s="1190"/>
      <c r="K51" s="1190">
        <v>0</v>
      </c>
      <c r="L51" s="1190"/>
      <c r="M51" s="1190">
        <f t="shared" si="0"/>
        <v>0</v>
      </c>
      <c r="N51" s="1190"/>
      <c r="O51" s="1190">
        <v>0</v>
      </c>
      <c r="P51" s="2817"/>
      <c r="Q51" s="2818"/>
    </row>
    <row r="52" spans="2:17" s="2807" customFormat="1" ht="15.75">
      <c r="B52" s="2813">
        <v>30137</v>
      </c>
      <c r="C52" s="2779"/>
      <c r="D52" s="2814" t="s">
        <v>1395</v>
      </c>
      <c r="E52" s="2779"/>
      <c r="F52" s="1190"/>
      <c r="G52" s="1190">
        <v>0</v>
      </c>
      <c r="H52" s="1190"/>
      <c r="I52" s="1190">
        <v>0</v>
      </c>
      <c r="J52" s="1190"/>
      <c r="K52" s="1190">
        <v>0</v>
      </c>
      <c r="L52" s="1190"/>
      <c r="M52" s="1190">
        <f t="shared" si="0"/>
        <v>0</v>
      </c>
      <c r="N52" s="1190"/>
      <c r="O52" s="1190">
        <v>0</v>
      </c>
      <c r="P52" s="2817"/>
      <c r="Q52" s="2818"/>
    </row>
    <row r="53" spans="2:17" s="2807" customFormat="1" ht="15.75">
      <c r="B53" s="2813">
        <v>30138</v>
      </c>
      <c r="C53" s="2779"/>
      <c r="D53" s="2814" t="s">
        <v>1396</v>
      </c>
      <c r="E53" s="2779"/>
      <c r="F53" s="1190"/>
      <c r="G53" s="1190">
        <v>0</v>
      </c>
      <c r="H53" s="1190"/>
      <c r="I53" s="1190">
        <v>0</v>
      </c>
      <c r="J53" s="1190"/>
      <c r="K53" s="1190">
        <v>0</v>
      </c>
      <c r="L53" s="1190"/>
      <c r="M53" s="1190">
        <f t="shared" si="0"/>
        <v>0</v>
      </c>
      <c r="N53" s="1190"/>
      <c r="O53" s="1190">
        <v>0</v>
      </c>
      <c r="P53" s="2817"/>
      <c r="Q53" s="2818"/>
    </row>
    <row r="54" spans="2:17" s="2807" customFormat="1" ht="15.75">
      <c r="B54" s="2813">
        <v>30139</v>
      </c>
      <c r="C54" s="2779"/>
      <c r="D54" s="2814" t="s">
        <v>1397</v>
      </c>
      <c r="E54" s="2779"/>
      <c r="F54" s="1190"/>
      <c r="G54" s="1190">
        <v>0</v>
      </c>
      <c r="H54" s="1190"/>
      <c r="I54" s="1190">
        <v>0</v>
      </c>
      <c r="J54" s="1190"/>
      <c r="K54" s="1190">
        <v>0</v>
      </c>
      <c r="L54" s="1190"/>
      <c r="M54" s="1190">
        <f t="shared" si="0"/>
        <v>0</v>
      </c>
      <c r="N54" s="1190"/>
      <c r="O54" s="1190">
        <v>0</v>
      </c>
      <c r="P54" s="2817"/>
      <c r="Q54" s="2818"/>
    </row>
    <row r="55" spans="2:17" s="2807" customFormat="1" ht="15.75">
      <c r="B55" s="2813">
        <v>30140</v>
      </c>
      <c r="C55" s="2779"/>
      <c r="D55" s="2814" t="s">
        <v>1398</v>
      </c>
      <c r="E55" s="2779"/>
      <c r="F55" s="1190"/>
      <c r="G55" s="1190">
        <v>0</v>
      </c>
      <c r="H55" s="1190"/>
      <c r="I55" s="1190">
        <v>0</v>
      </c>
      <c r="J55" s="1190"/>
      <c r="K55" s="1190">
        <v>0</v>
      </c>
      <c r="L55" s="1190"/>
      <c r="M55" s="1190">
        <f t="shared" si="0"/>
        <v>0</v>
      </c>
      <c r="N55" s="1190"/>
      <c r="O55" s="1190">
        <v>0</v>
      </c>
      <c r="P55" s="2817"/>
      <c r="Q55" s="2818"/>
    </row>
    <row r="56" spans="2:17" s="2807" customFormat="1" ht="15.75">
      <c r="B56" s="2813">
        <v>30141</v>
      </c>
      <c r="C56" s="2779"/>
      <c r="D56" s="2814" t="s">
        <v>1399</v>
      </c>
      <c r="E56" s="2779"/>
      <c r="F56" s="1190"/>
      <c r="G56" s="1190">
        <v>0</v>
      </c>
      <c r="H56" s="1190"/>
      <c r="I56" s="1190">
        <v>0</v>
      </c>
      <c r="J56" s="1190"/>
      <c r="K56" s="1190">
        <v>0</v>
      </c>
      <c r="L56" s="1190"/>
      <c r="M56" s="1190">
        <f t="shared" si="0"/>
        <v>0</v>
      </c>
      <c r="N56" s="1190"/>
      <c r="O56" s="1190">
        <v>0</v>
      </c>
      <c r="P56" s="2817"/>
      <c r="Q56" s="2818"/>
    </row>
    <row r="57" spans="2:17" s="2807" customFormat="1" ht="15.75">
      <c r="B57" s="2813">
        <v>30142</v>
      </c>
      <c r="C57" s="2779"/>
      <c r="D57" s="2814" t="s">
        <v>1400</v>
      </c>
      <c r="E57" s="2779"/>
      <c r="F57" s="1190"/>
      <c r="G57" s="1190">
        <v>0</v>
      </c>
      <c r="H57" s="1190"/>
      <c r="I57" s="1190">
        <v>0</v>
      </c>
      <c r="J57" s="1190"/>
      <c r="K57" s="1190">
        <v>0</v>
      </c>
      <c r="L57" s="1190"/>
      <c r="M57" s="1190">
        <f t="shared" si="0"/>
        <v>0</v>
      </c>
      <c r="N57" s="1190"/>
      <c r="O57" s="1190">
        <v>0</v>
      </c>
      <c r="P57" s="2817"/>
      <c r="Q57" s="2818"/>
    </row>
    <row r="58" spans="2:17" s="2807" customFormat="1" ht="15.75">
      <c r="B58" s="2813">
        <v>30143</v>
      </c>
      <c r="C58" s="2779"/>
      <c r="D58" s="2814" t="s">
        <v>1401</v>
      </c>
      <c r="E58" s="2779"/>
      <c r="F58" s="1190"/>
      <c r="G58" s="1190">
        <v>0</v>
      </c>
      <c r="H58" s="1190"/>
      <c r="I58" s="1190">
        <v>0</v>
      </c>
      <c r="J58" s="1190"/>
      <c r="K58" s="1190">
        <v>0</v>
      </c>
      <c r="L58" s="1190"/>
      <c r="M58" s="1190">
        <f t="shared" si="0"/>
        <v>0</v>
      </c>
      <c r="N58" s="1190"/>
      <c r="O58" s="1190">
        <v>0</v>
      </c>
      <c r="P58" s="2817"/>
      <c r="Q58" s="2818"/>
    </row>
    <row r="59" spans="2:17" s="2807" customFormat="1" ht="15.75">
      <c r="B59" s="2813">
        <v>30144</v>
      </c>
      <c r="C59" s="2779"/>
      <c r="D59" s="2814" t="s">
        <v>1402</v>
      </c>
      <c r="E59" s="2779"/>
      <c r="F59" s="1190"/>
      <c r="G59" s="1190">
        <v>0</v>
      </c>
      <c r="H59" s="1190"/>
      <c r="I59" s="1190">
        <v>0</v>
      </c>
      <c r="J59" s="1190"/>
      <c r="K59" s="1190">
        <v>0</v>
      </c>
      <c r="L59" s="1190"/>
      <c r="M59" s="1190">
        <f t="shared" si="0"/>
        <v>0</v>
      </c>
      <c r="N59" s="1190"/>
      <c r="O59" s="1190">
        <v>0</v>
      </c>
      <c r="P59" s="2817"/>
      <c r="Q59" s="2818"/>
    </row>
    <row r="60" spans="2:17" s="2807" customFormat="1" ht="15.75">
      <c r="B60" s="2813">
        <v>30145</v>
      </c>
      <c r="C60" s="2779"/>
      <c r="D60" s="2814" t="s">
        <v>1403</v>
      </c>
      <c r="E60" s="2779"/>
      <c r="F60" s="1190"/>
      <c r="G60" s="1190">
        <v>0</v>
      </c>
      <c r="H60" s="1190"/>
      <c r="I60" s="1190">
        <v>0</v>
      </c>
      <c r="J60" s="1190"/>
      <c r="K60" s="1190">
        <v>0</v>
      </c>
      <c r="L60" s="1190"/>
      <c r="M60" s="1190">
        <f t="shared" si="0"/>
        <v>0</v>
      </c>
      <c r="N60" s="1190"/>
      <c r="O60" s="1190">
        <v>0</v>
      </c>
      <c r="P60" s="2817"/>
      <c r="Q60" s="2818"/>
    </row>
    <row r="61" spans="2:17" s="2807" customFormat="1" ht="15.75">
      <c r="B61" s="2813">
        <v>30146</v>
      </c>
      <c r="C61" s="2779"/>
      <c r="D61" s="2814" t="s">
        <v>1404</v>
      </c>
      <c r="E61" s="2779"/>
      <c r="F61" s="1190"/>
      <c r="G61" s="1190">
        <v>0</v>
      </c>
      <c r="H61" s="1190"/>
      <c r="I61" s="1190">
        <v>0</v>
      </c>
      <c r="J61" s="1190"/>
      <c r="K61" s="1190">
        <v>0</v>
      </c>
      <c r="L61" s="1190"/>
      <c r="M61" s="1190">
        <f t="shared" si="0"/>
        <v>0</v>
      </c>
      <c r="N61" s="1190"/>
      <c r="O61" s="1190">
        <v>0</v>
      </c>
      <c r="P61" s="2817"/>
      <c r="Q61" s="2818"/>
    </row>
    <row r="62" spans="2:17" s="2807" customFormat="1" ht="15.75">
      <c r="B62" s="2813">
        <v>30147</v>
      </c>
      <c r="C62" s="2779"/>
      <c r="D62" s="2814" t="s">
        <v>555</v>
      </c>
      <c r="E62" s="2779"/>
      <c r="F62" s="1190">
        <v>0</v>
      </c>
      <c r="G62" s="1190">
        <v>0</v>
      </c>
      <c r="H62" s="1190"/>
      <c r="I62" s="1190">
        <v>0</v>
      </c>
      <c r="J62" s="1190"/>
      <c r="K62" s="1190">
        <v>0</v>
      </c>
      <c r="L62" s="1190"/>
      <c r="M62" s="1190">
        <f t="shared" ref="M62:M75" si="1">ROUND(SUM(O62)-SUM(K62),2)</f>
        <v>0</v>
      </c>
      <c r="N62" s="1190"/>
      <c r="O62" s="1190">
        <v>0</v>
      </c>
      <c r="P62" s="2824"/>
      <c r="Q62" s="2818"/>
    </row>
    <row r="63" spans="2:17" s="2807" customFormat="1" ht="15.75">
      <c r="B63" s="2813">
        <v>30148</v>
      </c>
      <c r="C63" s="2779"/>
      <c r="D63" s="2814" t="s">
        <v>1406</v>
      </c>
      <c r="E63" s="2779"/>
      <c r="F63" s="1190"/>
      <c r="G63" s="1190">
        <v>0</v>
      </c>
      <c r="H63" s="1190"/>
      <c r="I63" s="1190">
        <v>0</v>
      </c>
      <c r="J63" s="1190"/>
      <c r="K63" s="1190">
        <v>0</v>
      </c>
      <c r="L63" s="1190"/>
      <c r="M63" s="1190">
        <f t="shared" ref="M63:M69" si="2">ROUND(SUM(O63)-SUM(K63),2)</f>
        <v>0</v>
      </c>
      <c r="N63" s="1190"/>
      <c r="O63" s="1190">
        <v>0</v>
      </c>
      <c r="P63" s="2824"/>
      <c r="Q63" s="2818"/>
    </row>
    <row r="64" spans="2:17" s="2807" customFormat="1" ht="15.75">
      <c r="B64" s="2813">
        <v>30149</v>
      </c>
      <c r="C64" s="2779"/>
      <c r="D64" s="2814" t="s">
        <v>1407</v>
      </c>
      <c r="E64" s="2779"/>
      <c r="F64" s="1190"/>
      <c r="G64" s="1190">
        <v>0</v>
      </c>
      <c r="H64" s="1190"/>
      <c r="I64" s="1190">
        <v>0</v>
      </c>
      <c r="J64" s="1190"/>
      <c r="K64" s="1190">
        <v>0</v>
      </c>
      <c r="L64" s="1190"/>
      <c r="M64" s="1190">
        <f t="shared" si="2"/>
        <v>0</v>
      </c>
      <c r="N64" s="1190"/>
      <c r="O64" s="1190">
        <v>0</v>
      </c>
      <c r="P64" s="2824"/>
      <c r="Q64" s="2818"/>
    </row>
    <row r="65" spans="2:17" s="2807" customFormat="1" ht="15.75">
      <c r="B65" s="2813">
        <v>30150</v>
      </c>
      <c r="C65" s="2779"/>
      <c r="D65" s="2814" t="s">
        <v>1408</v>
      </c>
      <c r="E65" s="2779"/>
      <c r="F65" s="1190"/>
      <c r="G65" s="1190">
        <v>0</v>
      </c>
      <c r="H65" s="1190"/>
      <c r="I65" s="1190">
        <v>0</v>
      </c>
      <c r="J65" s="1190"/>
      <c r="K65" s="1190">
        <v>0</v>
      </c>
      <c r="L65" s="1190"/>
      <c r="M65" s="1190">
        <f t="shared" si="2"/>
        <v>0</v>
      </c>
      <c r="N65" s="1190"/>
      <c r="O65" s="1190">
        <v>0</v>
      </c>
      <c r="P65" s="2824"/>
      <c r="Q65" s="2818"/>
    </row>
    <row r="66" spans="2:17" s="2807" customFormat="1" ht="15.75">
      <c r="B66" s="2813">
        <v>30151</v>
      </c>
      <c r="C66" s="2779"/>
      <c r="D66" s="2814" t="s">
        <v>1409</v>
      </c>
      <c r="E66" s="2779"/>
      <c r="F66" s="1190"/>
      <c r="G66" s="1190">
        <v>0</v>
      </c>
      <c r="H66" s="1190"/>
      <c r="I66" s="1190">
        <v>0</v>
      </c>
      <c r="J66" s="1190"/>
      <c r="K66" s="1190">
        <v>0</v>
      </c>
      <c r="L66" s="1190"/>
      <c r="M66" s="1190">
        <f t="shared" si="2"/>
        <v>0</v>
      </c>
      <c r="N66" s="1190"/>
      <c r="O66" s="1190">
        <v>0</v>
      </c>
      <c r="P66" s="2824"/>
      <c r="Q66" s="2818"/>
    </row>
    <row r="67" spans="2:17" s="2807" customFormat="1" ht="15.75">
      <c r="B67" s="2813">
        <v>30152</v>
      </c>
      <c r="C67" s="2779"/>
      <c r="D67" s="2814" t="s">
        <v>1410</v>
      </c>
      <c r="E67" s="2779"/>
      <c r="F67" s="1190"/>
      <c r="G67" s="1190">
        <v>0</v>
      </c>
      <c r="H67" s="1190"/>
      <c r="I67" s="1190">
        <v>0</v>
      </c>
      <c r="J67" s="1190"/>
      <c r="K67" s="1190">
        <v>0</v>
      </c>
      <c r="L67" s="1190"/>
      <c r="M67" s="1190">
        <f t="shared" si="2"/>
        <v>0</v>
      </c>
      <c r="N67" s="1190"/>
      <c r="O67" s="1190">
        <v>0</v>
      </c>
      <c r="P67" s="2824"/>
      <c r="Q67" s="2818"/>
    </row>
    <row r="68" spans="2:17" s="2807" customFormat="1" ht="15.75">
      <c r="B68" s="2813">
        <v>30153</v>
      </c>
      <c r="C68" s="2779"/>
      <c r="D68" s="2814" t="s">
        <v>1411</v>
      </c>
      <c r="E68" s="2779"/>
      <c r="F68" s="1190"/>
      <c r="G68" s="1190">
        <v>0</v>
      </c>
      <c r="H68" s="1190"/>
      <c r="I68" s="1190">
        <v>0</v>
      </c>
      <c r="J68" s="1190"/>
      <c r="K68" s="1190">
        <v>0</v>
      </c>
      <c r="L68" s="1190"/>
      <c r="M68" s="1190">
        <f t="shared" si="2"/>
        <v>0</v>
      </c>
      <c r="N68" s="1190"/>
      <c r="O68" s="1190">
        <v>0</v>
      </c>
      <c r="P68" s="2824"/>
      <c r="Q68" s="2818"/>
    </row>
    <row r="69" spans="2:17" s="2807" customFormat="1" ht="15.75">
      <c r="B69" s="2813">
        <v>30154</v>
      </c>
      <c r="C69" s="2779"/>
      <c r="D69" s="2814" t="s">
        <v>1412</v>
      </c>
      <c r="E69" s="2779"/>
      <c r="F69" s="1190"/>
      <c r="G69" s="1190">
        <v>0</v>
      </c>
      <c r="H69" s="1190"/>
      <c r="I69" s="1190">
        <v>0</v>
      </c>
      <c r="J69" s="1190"/>
      <c r="K69" s="1190">
        <v>0</v>
      </c>
      <c r="L69" s="1190"/>
      <c r="M69" s="1190">
        <f t="shared" si="2"/>
        <v>0</v>
      </c>
      <c r="N69" s="1190"/>
      <c r="O69" s="1190">
        <v>0</v>
      </c>
      <c r="P69" s="2824"/>
      <c r="Q69" s="2818"/>
    </row>
    <row r="70" spans="2:17" s="2807" customFormat="1" ht="15.75">
      <c r="B70" s="2813">
        <v>30351</v>
      </c>
      <c r="C70" s="2779"/>
      <c r="D70" s="2814" t="s">
        <v>556</v>
      </c>
      <c r="E70" s="2779"/>
      <c r="F70" s="1190">
        <v>72792259.140000001</v>
      </c>
      <c r="G70" s="1190">
        <v>46849231.899999999</v>
      </c>
      <c r="H70" s="1190"/>
      <c r="I70" s="1190">
        <v>52462647</v>
      </c>
      <c r="J70" s="1190"/>
      <c r="K70" s="1190">
        <v>56221853.609999999</v>
      </c>
      <c r="L70" s="1190"/>
      <c r="M70" s="1190">
        <f t="shared" si="1"/>
        <v>4541111.72</v>
      </c>
      <c r="N70" s="1190"/>
      <c r="O70" s="1190">
        <v>60762965.329999998</v>
      </c>
      <c r="P70" s="2824"/>
      <c r="Q70" s="2818"/>
    </row>
    <row r="71" spans="2:17" s="2807" customFormat="1" ht="15.75">
      <c r="B71" s="2813">
        <v>30501</v>
      </c>
      <c r="C71" s="2779"/>
      <c r="D71" s="2814" t="s">
        <v>1413</v>
      </c>
      <c r="E71" s="2779"/>
      <c r="F71" s="1190"/>
      <c r="G71" s="1190">
        <v>0</v>
      </c>
      <c r="H71" s="1190"/>
      <c r="I71" s="1190">
        <v>0</v>
      </c>
      <c r="J71" s="1190"/>
      <c r="K71" s="1190">
        <v>0</v>
      </c>
      <c r="L71" s="1190"/>
      <c r="M71" s="1190">
        <f>ROUND(SUM(O71)-SUM(K71),2)</f>
        <v>0</v>
      </c>
      <c r="N71" s="1190"/>
      <c r="O71" s="1190">
        <v>0</v>
      </c>
      <c r="P71" s="2824"/>
      <c r="Q71" s="2818"/>
    </row>
    <row r="72" spans="2:17" s="2807" customFormat="1" ht="15.75">
      <c r="B72" s="2813">
        <v>30502</v>
      </c>
      <c r="C72" s="2779"/>
      <c r="D72" s="2814" t="s">
        <v>1414</v>
      </c>
      <c r="E72" s="2779"/>
      <c r="F72" s="1190"/>
      <c r="G72" s="1190">
        <v>0</v>
      </c>
      <c r="H72" s="1190"/>
      <c r="I72" s="1190">
        <v>0</v>
      </c>
      <c r="J72" s="1190"/>
      <c r="K72" s="1190">
        <v>0</v>
      </c>
      <c r="L72" s="1190"/>
      <c r="M72" s="1190">
        <f>ROUND(SUM(O72)-SUM(K72),2)</f>
        <v>0</v>
      </c>
      <c r="N72" s="1190"/>
      <c r="O72" s="1190">
        <v>0</v>
      </c>
      <c r="P72" s="2824"/>
      <c r="Q72" s="2818"/>
    </row>
    <row r="73" spans="2:17" s="2807" customFormat="1" ht="15.75">
      <c r="B73" s="2813">
        <v>30503</v>
      </c>
      <c r="C73" s="2779"/>
      <c r="D73" s="2814" t="s">
        <v>1415</v>
      </c>
      <c r="E73" s="2779"/>
      <c r="F73" s="1190"/>
      <c r="G73" s="1190">
        <v>0</v>
      </c>
      <c r="H73" s="1190"/>
      <c r="I73" s="1190">
        <v>0</v>
      </c>
      <c r="J73" s="1190"/>
      <c r="K73" s="1190">
        <v>0</v>
      </c>
      <c r="L73" s="1190"/>
      <c r="M73" s="1190">
        <f>ROUND(SUM(O73)-SUM(K73),2)</f>
        <v>0</v>
      </c>
      <c r="N73" s="1190"/>
      <c r="O73" s="1190">
        <v>0</v>
      </c>
      <c r="P73" s="2824"/>
      <c r="Q73" s="2818"/>
    </row>
    <row r="74" spans="2:17" s="2807" customFormat="1" ht="15.75">
      <c r="B74" s="2813">
        <v>30504</v>
      </c>
      <c r="C74" s="2779"/>
      <c r="D74" s="2814" t="s">
        <v>1416</v>
      </c>
      <c r="E74" s="2779"/>
      <c r="F74" s="1190"/>
      <c r="G74" s="1190">
        <v>0</v>
      </c>
      <c r="H74" s="1190"/>
      <c r="I74" s="1190">
        <v>0</v>
      </c>
      <c r="J74" s="1190"/>
      <c r="K74" s="1190">
        <v>0</v>
      </c>
      <c r="L74" s="1190"/>
      <c r="M74" s="1190">
        <f>ROUND(SUM(O74)-SUM(K74),2)</f>
        <v>0</v>
      </c>
      <c r="N74" s="1190"/>
      <c r="O74" s="1190">
        <v>0</v>
      </c>
      <c r="P74" s="2824"/>
      <c r="Q74" s="2818"/>
    </row>
    <row r="75" spans="2:17" s="2807" customFormat="1" ht="15.75">
      <c r="B75" s="2813">
        <v>31506</v>
      </c>
      <c r="C75" s="2826"/>
      <c r="D75" s="2827" t="s">
        <v>557</v>
      </c>
      <c r="E75" s="2828"/>
      <c r="F75" s="1190">
        <v>109849194.79000001</v>
      </c>
      <c r="G75" s="1190">
        <v>124405912.88</v>
      </c>
      <c r="H75" s="1190"/>
      <c r="I75" s="1190">
        <v>135656206.99000001</v>
      </c>
      <c r="J75" s="1190"/>
      <c r="K75" s="1190">
        <v>141051260.56</v>
      </c>
      <c r="L75" s="1190"/>
      <c r="M75" s="1190">
        <f t="shared" si="1"/>
        <v>7653854.2800000003</v>
      </c>
      <c r="N75" s="1190"/>
      <c r="O75" s="1190">
        <v>148705114.84</v>
      </c>
      <c r="P75" s="2824"/>
      <c r="Q75" s="2818"/>
    </row>
    <row r="76" spans="2:17" s="2807" customFormat="1" ht="15.75">
      <c r="B76" s="2813">
        <v>31701</v>
      </c>
      <c r="C76" s="2779"/>
      <c r="D76" s="2814" t="s">
        <v>558</v>
      </c>
      <c r="E76" s="2779"/>
      <c r="F76" s="1190">
        <v>7423246.6200000001</v>
      </c>
      <c r="G76" s="1190">
        <v>15760942.720000001</v>
      </c>
      <c r="H76" s="1190"/>
      <c r="I76" s="1190">
        <v>16352219.359999999</v>
      </c>
      <c r="J76" s="1190"/>
      <c r="K76" s="1190">
        <v>16422266.359999999</v>
      </c>
      <c r="L76" s="1190"/>
      <c r="M76" s="1190">
        <f t="shared" ref="M76:M83" si="3">ROUND(SUM(O76)-SUM(K76),2)</f>
        <v>822300.26</v>
      </c>
      <c r="N76" s="1190"/>
      <c r="O76" s="1190">
        <v>17244566.620000001</v>
      </c>
      <c r="P76" s="2824"/>
      <c r="Q76" s="2818"/>
    </row>
    <row r="77" spans="2:17" s="2807" customFormat="1" ht="15.75">
      <c r="B77" s="2813">
        <v>31801</v>
      </c>
      <c r="C77" s="2779"/>
      <c r="D77" s="2814" t="s">
        <v>559</v>
      </c>
      <c r="E77" s="2779"/>
      <c r="F77" s="1190">
        <v>13150846.050000001</v>
      </c>
      <c r="G77" s="1190">
        <v>12941967.060000001</v>
      </c>
      <c r="H77" s="1190"/>
      <c r="I77" s="1190">
        <v>12941967.060000001</v>
      </c>
      <c r="J77" s="1190"/>
      <c r="K77" s="1190">
        <v>12941967.060000001</v>
      </c>
      <c r="L77" s="1190"/>
      <c r="M77" s="1190">
        <f t="shared" si="3"/>
        <v>0</v>
      </c>
      <c r="N77" s="1190"/>
      <c r="O77" s="1190">
        <v>12941967.060000001</v>
      </c>
      <c r="P77" s="2824"/>
      <c r="Q77" s="2818"/>
    </row>
    <row r="78" spans="2:17" s="2807" customFormat="1" ht="15.75">
      <c r="B78" s="2813">
        <v>31851</v>
      </c>
      <c r="C78" s="2779"/>
      <c r="D78" s="2825" t="s">
        <v>560</v>
      </c>
      <c r="E78" s="2779"/>
      <c r="F78" s="1190">
        <v>0</v>
      </c>
      <c r="G78" s="1190">
        <v>338242983.12</v>
      </c>
      <c r="H78" s="1190"/>
      <c r="I78" s="1190">
        <v>225815408.97</v>
      </c>
      <c r="J78" s="1190"/>
      <c r="K78" s="1190">
        <v>270491916.97000003</v>
      </c>
      <c r="L78" s="1190"/>
      <c r="M78" s="1190">
        <f t="shared" si="3"/>
        <v>37605426.030000001</v>
      </c>
      <c r="N78" s="1190"/>
      <c r="O78" s="1190">
        <v>308097343</v>
      </c>
      <c r="P78" s="2824"/>
      <c r="Q78" s="2818"/>
    </row>
    <row r="79" spans="2:17" s="2807" customFormat="1" ht="15.75">
      <c r="B79" s="2813">
        <v>31852</v>
      </c>
      <c r="C79" s="2779"/>
      <c r="D79" s="2814" t="s">
        <v>561</v>
      </c>
      <c r="E79" s="2779"/>
      <c r="F79" s="1190">
        <v>40679225.310000002</v>
      </c>
      <c r="G79" s="1190">
        <v>42902924.850000001</v>
      </c>
      <c r="H79" s="1190"/>
      <c r="I79" s="1190">
        <v>44502924.850000001</v>
      </c>
      <c r="J79" s="1190"/>
      <c r="K79" s="1190">
        <v>46312227.850000001</v>
      </c>
      <c r="L79" s="1190"/>
      <c r="M79" s="1190">
        <f t="shared" si="3"/>
        <v>1447086</v>
      </c>
      <c r="N79" s="1190"/>
      <c r="O79" s="1190">
        <v>47759313.850000001</v>
      </c>
      <c r="P79" s="2824"/>
      <c r="Q79" s="2818"/>
    </row>
    <row r="80" spans="2:17" s="2807" customFormat="1" ht="15.75">
      <c r="B80" s="2813">
        <v>31853</v>
      </c>
      <c r="C80" s="2779"/>
      <c r="D80" s="2825" t="s">
        <v>562</v>
      </c>
      <c r="E80" s="2779"/>
      <c r="F80" s="1190">
        <v>76297899.909999996</v>
      </c>
      <c r="G80" s="1190">
        <v>126730710.25</v>
      </c>
      <c r="H80" s="1190"/>
      <c r="I80" s="1190">
        <v>148730710.25</v>
      </c>
      <c r="J80" s="1190"/>
      <c r="K80" s="1190">
        <v>148730710.25</v>
      </c>
      <c r="L80" s="1190"/>
      <c r="M80" s="1190">
        <f t="shared" si="3"/>
        <v>0</v>
      </c>
      <c r="N80" s="1190"/>
      <c r="O80" s="1190">
        <v>148730710.25</v>
      </c>
      <c r="P80" s="2824"/>
      <c r="Q80" s="2818"/>
    </row>
    <row r="81" spans="2:17" s="2807" customFormat="1" ht="15.75">
      <c r="B81" s="2813">
        <v>31854</v>
      </c>
      <c r="C81" s="2779"/>
      <c r="D81" s="2825" t="s">
        <v>1417</v>
      </c>
      <c r="E81" s="2779"/>
      <c r="F81" s="1190"/>
      <c r="G81" s="1190">
        <v>0</v>
      </c>
      <c r="H81" s="1190"/>
      <c r="I81" s="1190">
        <v>0</v>
      </c>
      <c r="J81" s="1190"/>
      <c r="K81" s="1190">
        <v>0</v>
      </c>
      <c r="L81" s="1190"/>
      <c r="M81" s="1190">
        <f t="shared" ref="M81" si="4">ROUND(SUM(O81)-SUM(K81),2)</f>
        <v>0</v>
      </c>
      <c r="N81" s="1190"/>
      <c r="O81" s="1190">
        <v>0</v>
      </c>
      <c r="P81" s="2824"/>
      <c r="Q81" s="2818"/>
    </row>
    <row r="82" spans="2:17" s="2807" customFormat="1" ht="15.75">
      <c r="B82" s="2813">
        <v>31951</v>
      </c>
      <c r="C82" s="2779"/>
      <c r="D82" s="2825" t="s">
        <v>563</v>
      </c>
      <c r="E82" s="2779"/>
      <c r="F82" s="1190">
        <v>12348115.710000001</v>
      </c>
      <c r="G82" s="1190">
        <v>11951597.85</v>
      </c>
      <c r="H82" s="1190"/>
      <c r="I82" s="1190">
        <v>12015920.550000001</v>
      </c>
      <c r="J82" s="1190"/>
      <c r="K82" s="1190">
        <v>12015920.550000001</v>
      </c>
      <c r="L82" s="1190"/>
      <c r="M82" s="1190">
        <f t="shared" si="3"/>
        <v>0</v>
      </c>
      <c r="N82" s="1190"/>
      <c r="O82" s="1190">
        <v>12015920.550000001</v>
      </c>
      <c r="P82" s="2824"/>
      <c r="Q82" s="2818"/>
    </row>
    <row r="83" spans="2:17" s="2807" customFormat="1" ht="15.75">
      <c r="B83" s="2813">
        <v>32213</v>
      </c>
      <c r="C83" s="2779"/>
      <c r="D83" s="2814" t="s">
        <v>564</v>
      </c>
      <c r="E83" s="2779"/>
      <c r="F83" s="1190">
        <v>153750</v>
      </c>
      <c r="G83" s="1190">
        <v>153750</v>
      </c>
      <c r="H83" s="1190"/>
      <c r="I83" s="1190">
        <v>153750</v>
      </c>
      <c r="J83" s="1190"/>
      <c r="K83" s="1190">
        <v>153750</v>
      </c>
      <c r="L83" s="1190"/>
      <c r="M83" s="1190">
        <f t="shared" si="3"/>
        <v>0</v>
      </c>
      <c r="N83" s="1190"/>
      <c r="O83" s="1190">
        <v>153750</v>
      </c>
      <c r="P83" s="2824"/>
      <c r="Q83" s="2818"/>
    </row>
    <row r="84" spans="2:17" s="2807" customFormat="1" ht="15.75">
      <c r="B84" s="2813">
        <v>32214</v>
      </c>
      <c r="C84" s="2779"/>
      <c r="D84" s="2814" t="s">
        <v>1160</v>
      </c>
      <c r="E84" s="2779"/>
      <c r="F84" s="1190"/>
      <c r="G84" s="1190">
        <v>0</v>
      </c>
      <c r="H84" s="1190"/>
      <c r="I84" s="1190">
        <v>0</v>
      </c>
      <c r="J84" s="1190"/>
      <c r="K84" s="1190">
        <v>0</v>
      </c>
      <c r="L84" s="1190"/>
      <c r="M84" s="1190">
        <f t="shared" ref="M84" si="5">ROUND(SUM(O84)-SUM(K84),2)</f>
        <v>0</v>
      </c>
      <c r="N84" s="1190"/>
      <c r="O84" s="1190">
        <v>0</v>
      </c>
      <c r="P84" s="2824"/>
      <c r="Q84" s="2818"/>
    </row>
    <row r="85" spans="2:17" s="2807" customFormat="1" ht="15.75">
      <c r="B85" s="2813">
        <v>32215</v>
      </c>
      <c r="C85" s="2779"/>
      <c r="D85" s="2814" t="s">
        <v>1136</v>
      </c>
      <c r="E85" s="2779"/>
      <c r="F85" s="1190"/>
      <c r="G85" s="1190">
        <v>1401613.81</v>
      </c>
      <c r="H85" s="1190"/>
      <c r="I85" s="1190">
        <v>1502800.32</v>
      </c>
      <c r="J85" s="1190"/>
      <c r="K85" s="1190">
        <v>1531640.86</v>
      </c>
      <c r="L85" s="1190"/>
      <c r="M85" s="1190">
        <f>ROUND(SUM(O85)-SUM(K85),2)</f>
        <v>33655.82</v>
      </c>
      <c r="N85" s="1190"/>
      <c r="O85" s="1190">
        <v>1565296.68</v>
      </c>
      <c r="P85" s="2824"/>
      <c r="Q85" s="2818"/>
    </row>
    <row r="86" spans="2:17" s="2807" customFormat="1" ht="15.75">
      <c r="B86" s="2813">
        <v>32219</v>
      </c>
      <c r="C86" s="2779"/>
      <c r="D86" s="2814" t="s">
        <v>1189</v>
      </c>
      <c r="E86" s="2779"/>
      <c r="F86" s="1190"/>
      <c r="G86" s="1190">
        <v>0</v>
      </c>
      <c r="H86" s="1190"/>
      <c r="I86" s="1190">
        <v>0</v>
      </c>
      <c r="J86" s="1190"/>
      <c r="K86" s="1190">
        <v>0</v>
      </c>
      <c r="L86" s="1190"/>
      <c r="M86" s="1190">
        <f>ROUND(SUM(O86)-SUM(K86),2)</f>
        <v>0</v>
      </c>
      <c r="N86" s="1190"/>
      <c r="O86" s="1190">
        <v>0</v>
      </c>
      <c r="P86" s="2824"/>
      <c r="Q86" s="2818"/>
    </row>
    <row r="87" spans="2:17" s="2807" customFormat="1" ht="15.75">
      <c r="B87" s="2813">
        <v>32301</v>
      </c>
      <c r="C87" s="2779"/>
      <c r="D87" s="2814" t="s">
        <v>1418</v>
      </c>
      <c r="E87" s="2779"/>
      <c r="F87" s="1190"/>
      <c r="G87" s="1190">
        <v>0</v>
      </c>
      <c r="H87" s="1190"/>
      <c r="I87" s="1190">
        <v>0</v>
      </c>
      <c r="J87" s="1190"/>
      <c r="K87" s="1190">
        <v>0</v>
      </c>
      <c r="L87" s="1190"/>
      <c r="M87" s="1190">
        <f t="shared" ref="M87:M88" si="6">ROUND(SUM(O87)-SUM(K87),2)</f>
        <v>0</v>
      </c>
      <c r="N87" s="1190"/>
      <c r="O87" s="1190">
        <v>0</v>
      </c>
      <c r="P87" s="2824"/>
      <c r="Q87" s="2818"/>
    </row>
    <row r="88" spans="2:17" s="2807" customFormat="1" ht="15.75">
      <c r="B88" s="2813">
        <v>32302</v>
      </c>
      <c r="C88" s="2779"/>
      <c r="D88" s="2814" t="s">
        <v>1419</v>
      </c>
      <c r="E88" s="2779"/>
      <c r="F88" s="1190"/>
      <c r="G88" s="1190">
        <v>0</v>
      </c>
      <c r="H88" s="1190"/>
      <c r="I88" s="1190">
        <v>0</v>
      </c>
      <c r="J88" s="1190"/>
      <c r="K88" s="1190">
        <v>0</v>
      </c>
      <c r="L88" s="1190"/>
      <c r="M88" s="1190">
        <f t="shared" si="6"/>
        <v>0</v>
      </c>
      <c r="N88" s="1190"/>
      <c r="O88" s="1190">
        <v>0</v>
      </c>
      <c r="P88" s="2824"/>
      <c r="Q88" s="2818"/>
    </row>
    <row r="89" spans="2:17" s="2807" customFormat="1" ht="15.75">
      <c r="B89" s="2813">
        <v>32303</v>
      </c>
      <c r="C89" s="2779"/>
      <c r="D89" s="2814" t="s">
        <v>565</v>
      </c>
      <c r="E89" s="2828"/>
      <c r="F89" s="1190">
        <v>87723047.260000005</v>
      </c>
      <c r="G89" s="1190">
        <v>85524746.189999998</v>
      </c>
      <c r="H89" s="1190"/>
      <c r="I89" s="1190">
        <v>87594432.540000007</v>
      </c>
      <c r="J89" s="1190"/>
      <c r="K89" s="1190">
        <v>89012904.260000005</v>
      </c>
      <c r="L89" s="1190"/>
      <c r="M89" s="1190">
        <f>ROUND(SUM(O89)-SUM(K89),2)</f>
        <v>3245850.61</v>
      </c>
      <c r="N89" s="1190"/>
      <c r="O89" s="1190">
        <v>92258754.870000005</v>
      </c>
      <c r="P89" s="2824"/>
      <c r="Q89" s="2818"/>
    </row>
    <row r="90" spans="2:17" s="2807" customFormat="1" ht="15.75">
      <c r="B90" s="2813">
        <v>32304</v>
      </c>
      <c r="C90" s="2779"/>
      <c r="D90" s="2814" t="s">
        <v>1420</v>
      </c>
      <c r="E90" s="2828"/>
      <c r="F90" s="1190"/>
      <c r="G90" s="1190">
        <v>0</v>
      </c>
      <c r="H90" s="1190"/>
      <c r="I90" s="1190">
        <v>0</v>
      </c>
      <c r="J90" s="1190"/>
      <c r="K90" s="1190">
        <v>0</v>
      </c>
      <c r="L90" s="1190"/>
      <c r="M90" s="1190">
        <f>ROUND(SUM(O90)-SUM(K90),2)</f>
        <v>0</v>
      </c>
      <c r="N90" s="1190"/>
      <c r="O90" s="1190">
        <v>0</v>
      </c>
      <c r="P90" s="2824"/>
      <c r="Q90" s="2818"/>
    </row>
    <row r="91" spans="2:17" s="2807" customFormat="1" ht="15.75">
      <c r="B91" s="2813">
        <v>32305</v>
      </c>
      <c r="C91" s="2779"/>
      <c r="D91" s="2814" t="s">
        <v>912</v>
      </c>
      <c r="E91" s="2828"/>
      <c r="F91" s="1190">
        <v>172362230.61000001</v>
      </c>
      <c r="G91" s="1190">
        <v>198671726.81</v>
      </c>
      <c r="H91" s="1190"/>
      <c r="I91" s="1190">
        <v>219538562.30000001</v>
      </c>
      <c r="J91" s="1190"/>
      <c r="K91" s="1190">
        <v>220538562.30000001</v>
      </c>
      <c r="L91" s="1190"/>
      <c r="M91" s="1190">
        <f t="shared" ref="M91:M101" si="7">ROUND(SUM(O91)-SUM(K91),2)</f>
        <v>-16559866.98</v>
      </c>
      <c r="N91" s="1190"/>
      <c r="O91" s="1190">
        <v>203978695.31999999</v>
      </c>
      <c r="P91" s="2824"/>
      <c r="Q91" s="2818"/>
    </row>
    <row r="92" spans="2:17" s="2807" customFormat="1" ht="15.75">
      <c r="B92" s="2813">
        <v>32306</v>
      </c>
      <c r="C92" s="2779"/>
      <c r="D92" s="2814" t="s">
        <v>1421</v>
      </c>
      <c r="E92" s="2828"/>
      <c r="F92" s="1190"/>
      <c r="G92" s="1190">
        <v>0</v>
      </c>
      <c r="H92" s="1190"/>
      <c r="I92" s="1190">
        <v>0</v>
      </c>
      <c r="J92" s="1190"/>
      <c r="K92" s="1190">
        <v>0</v>
      </c>
      <c r="L92" s="1190"/>
      <c r="M92" s="1190">
        <f t="shared" ref="M92" si="8">ROUND(SUM(O92)-SUM(K92),2)</f>
        <v>0</v>
      </c>
      <c r="N92" s="1190"/>
      <c r="O92" s="1190">
        <v>0</v>
      </c>
      <c r="P92" s="2824"/>
      <c r="Q92" s="2818"/>
    </row>
    <row r="93" spans="2:17" s="2807" customFormat="1" ht="15.75">
      <c r="B93" s="2813">
        <v>32307</v>
      </c>
      <c r="C93" s="2779"/>
      <c r="D93" s="2825" t="s">
        <v>566</v>
      </c>
      <c r="E93" s="2828"/>
      <c r="F93" s="1190">
        <v>5430710.0300000003</v>
      </c>
      <c r="G93" s="1190">
        <v>11416852.32</v>
      </c>
      <c r="H93" s="1190"/>
      <c r="I93" s="1190">
        <v>2390002.04</v>
      </c>
      <c r="J93" s="1190"/>
      <c r="K93" s="1190">
        <v>6142952.04</v>
      </c>
      <c r="L93" s="1190"/>
      <c r="M93" s="1190">
        <f t="shared" si="7"/>
        <v>0</v>
      </c>
      <c r="N93" s="1190"/>
      <c r="O93" s="1190">
        <v>6142952.04</v>
      </c>
      <c r="P93" s="2824"/>
      <c r="Q93" s="2818"/>
    </row>
    <row r="94" spans="2:17" s="2807" customFormat="1" ht="15.75">
      <c r="B94" s="2813">
        <v>32308</v>
      </c>
      <c r="C94" s="2779"/>
      <c r="D94" s="2825" t="s">
        <v>567</v>
      </c>
      <c r="E94" s="2828"/>
      <c r="F94" s="1190">
        <v>539890.44999999995</v>
      </c>
      <c r="G94" s="1190">
        <v>2694963.09</v>
      </c>
      <c r="H94" s="1190"/>
      <c r="I94" s="1190">
        <v>0</v>
      </c>
      <c r="J94" s="1190"/>
      <c r="K94" s="1190">
        <v>0</v>
      </c>
      <c r="L94" s="1190"/>
      <c r="M94" s="1190">
        <f t="shared" si="7"/>
        <v>0</v>
      </c>
      <c r="N94" s="1190"/>
      <c r="O94" s="1190">
        <v>0</v>
      </c>
      <c r="P94" s="2824"/>
      <c r="Q94" s="2818"/>
    </row>
    <row r="95" spans="2:17" s="2807" customFormat="1" ht="15.75">
      <c r="B95" s="2813">
        <v>32309</v>
      </c>
      <c r="C95" s="2779"/>
      <c r="D95" s="2825" t="s">
        <v>568</v>
      </c>
      <c r="E95" s="2828"/>
      <c r="F95" s="1190">
        <v>104401100.42</v>
      </c>
      <c r="G95" s="1190">
        <v>191623832.75</v>
      </c>
      <c r="H95" s="1190"/>
      <c r="I95" s="1190">
        <v>95011671.489999995</v>
      </c>
      <c r="J95" s="1190"/>
      <c r="K95" s="1190">
        <v>124179634.66</v>
      </c>
      <c r="L95" s="1190"/>
      <c r="M95" s="1190">
        <f t="shared" si="7"/>
        <v>5221179.3</v>
      </c>
      <c r="N95" s="1190"/>
      <c r="O95" s="1190">
        <v>129400813.95999999</v>
      </c>
      <c r="P95" s="2824"/>
      <c r="Q95" s="2818"/>
    </row>
    <row r="96" spans="2:17" s="2807" customFormat="1" ht="15.75">
      <c r="B96" s="2813">
        <v>32310</v>
      </c>
      <c r="C96" s="2779"/>
      <c r="D96" s="2825" t="s">
        <v>569</v>
      </c>
      <c r="E96" s="2828"/>
      <c r="F96" s="1190">
        <v>0</v>
      </c>
      <c r="G96" s="1190">
        <v>46728883.159999996</v>
      </c>
      <c r="H96" s="1190"/>
      <c r="I96" s="1190">
        <v>31806590.739999998</v>
      </c>
      <c r="J96" s="1190"/>
      <c r="K96" s="1190">
        <v>31806590.739999998</v>
      </c>
      <c r="L96" s="1190"/>
      <c r="M96" s="1190">
        <f t="shared" si="7"/>
        <v>2416209.14</v>
      </c>
      <c r="N96" s="1190"/>
      <c r="O96" s="1190">
        <v>34222799.880000003</v>
      </c>
      <c r="P96" s="2824"/>
      <c r="Q96" s="2818"/>
    </row>
    <row r="97" spans="2:17" s="2807" customFormat="1" ht="15.75">
      <c r="B97" s="2813">
        <v>32311</v>
      </c>
      <c r="C97" s="2779"/>
      <c r="D97" s="3753" t="s">
        <v>570</v>
      </c>
      <c r="E97" s="2828"/>
      <c r="F97" s="1190">
        <v>2486315.4700000002</v>
      </c>
      <c r="G97" s="1190">
        <v>4011591.55</v>
      </c>
      <c r="H97" s="1190"/>
      <c r="I97" s="1190">
        <v>4049584.77</v>
      </c>
      <c r="J97" s="1190"/>
      <c r="K97" s="1190">
        <v>5236094.8899999997</v>
      </c>
      <c r="L97" s="1190"/>
      <c r="M97" s="1190">
        <f t="shared" si="7"/>
        <v>113893.19</v>
      </c>
      <c r="N97" s="1190"/>
      <c r="O97" s="1190">
        <v>5349988.08</v>
      </c>
      <c r="P97" s="2824"/>
      <c r="Q97" s="2818"/>
    </row>
    <row r="98" spans="2:17" s="2807" customFormat="1" ht="15.75">
      <c r="B98" s="2813">
        <v>32351</v>
      </c>
      <c r="C98" s="3748"/>
      <c r="D98" s="2825" t="s">
        <v>571</v>
      </c>
      <c r="E98" s="2828"/>
      <c r="F98" s="1190"/>
      <c r="G98" s="1190">
        <v>0</v>
      </c>
      <c r="H98" s="1190"/>
      <c r="I98" s="1190">
        <v>0</v>
      </c>
      <c r="J98" s="1190"/>
      <c r="K98" s="1190">
        <v>0</v>
      </c>
      <c r="L98" s="1190"/>
      <c r="M98" s="1190">
        <f t="shared" si="7"/>
        <v>0</v>
      </c>
      <c r="N98" s="1190"/>
      <c r="O98" s="1190">
        <v>0</v>
      </c>
      <c r="P98" s="2824"/>
      <c r="Q98" s="2818"/>
    </row>
    <row r="99" spans="2:17" s="2807" customFormat="1" ht="15.75">
      <c r="B99" s="2829">
        <v>32352</v>
      </c>
      <c r="C99" s="2830"/>
      <c r="D99" s="2831" t="s">
        <v>572</v>
      </c>
      <c r="E99" s="2832"/>
      <c r="F99" s="1190">
        <v>65245293.57</v>
      </c>
      <c r="G99" s="1190">
        <v>302784228.67000002</v>
      </c>
      <c r="H99" s="1190"/>
      <c r="I99" s="1190">
        <v>239538504.66999999</v>
      </c>
      <c r="J99" s="1190"/>
      <c r="K99" s="1190">
        <v>253771636.63</v>
      </c>
      <c r="L99" s="1190"/>
      <c r="M99" s="1190">
        <f t="shared" ref="M99" si="9">ROUND(SUM(O99)-SUM(K99),2)</f>
        <v>25006762.039999999</v>
      </c>
      <c r="N99" s="1190"/>
      <c r="O99" s="1190">
        <v>278778398.67000002</v>
      </c>
      <c r="P99" s="2817"/>
      <c r="Q99" s="2818"/>
    </row>
    <row r="100" spans="2:17" s="2807" customFormat="1" ht="15.75">
      <c r="B100" s="2829">
        <v>32353</v>
      </c>
      <c r="C100" s="3749"/>
      <c r="D100" s="2831" t="s">
        <v>1422</v>
      </c>
      <c r="E100" s="2832"/>
      <c r="F100" s="1190"/>
      <c r="G100" s="1190">
        <v>0</v>
      </c>
      <c r="H100" s="1190"/>
      <c r="I100" s="1190">
        <v>0</v>
      </c>
      <c r="J100" s="1190"/>
      <c r="K100" s="1190">
        <v>0</v>
      </c>
      <c r="L100" s="1190"/>
      <c r="M100" s="1190">
        <f t="shared" ref="M100" si="10">ROUND(SUM(O100)-SUM(K100),2)</f>
        <v>0</v>
      </c>
      <c r="N100" s="1190"/>
      <c r="O100" s="1190">
        <v>0</v>
      </c>
      <c r="P100" s="2817"/>
      <c r="Q100" s="2818"/>
    </row>
    <row r="101" spans="2:17" s="2807" customFormat="1" ht="15.75">
      <c r="B101" s="2813">
        <v>33001</v>
      </c>
      <c r="C101" s="2779"/>
      <c r="D101" s="2814" t="s">
        <v>573</v>
      </c>
      <c r="E101" s="2828"/>
      <c r="F101" s="1190">
        <v>10000000</v>
      </c>
      <c r="G101" s="1190">
        <v>64995155.539999999</v>
      </c>
      <c r="H101" s="1190"/>
      <c r="I101" s="1190">
        <v>65824313.909999996</v>
      </c>
      <c r="J101" s="1190"/>
      <c r="K101" s="1190">
        <v>60647628.229999997</v>
      </c>
      <c r="L101" s="1190"/>
      <c r="M101" s="1190">
        <f t="shared" si="7"/>
        <v>-409815.45</v>
      </c>
      <c r="N101" s="1190"/>
      <c r="O101" s="1190">
        <v>60237812.780000001</v>
      </c>
      <c r="P101" s="2824"/>
      <c r="Q101" s="2818"/>
    </row>
    <row r="102" spans="2:17" s="2807" customFormat="1" ht="16.5" thickBot="1">
      <c r="B102" s="2834"/>
      <c r="C102" s="2835"/>
      <c r="D102" s="2820" t="s">
        <v>574</v>
      </c>
      <c r="E102" s="2811"/>
      <c r="F102" s="2811"/>
      <c r="G102" s="1535">
        <f>ROUND(SUM(G14:G101),2)</f>
        <v>1629793614.52</v>
      </c>
      <c r="H102" s="2067"/>
      <c r="I102" s="1535">
        <f>ROUND(SUM(I14:I101),2)</f>
        <v>1395888217.8099999</v>
      </c>
      <c r="J102" s="2067"/>
      <c r="K102" s="1535">
        <f>ROUND(SUM(K14:K101),2)</f>
        <v>1497245849.1099999</v>
      </c>
      <c r="L102" s="2457"/>
      <c r="M102" s="1192">
        <f>ROUND(SUM(M14:M101),2)</f>
        <v>71101314.670000002</v>
      </c>
      <c r="N102" s="2457"/>
      <c r="O102" s="1535">
        <f>ROUND(SUM(O14:O101),2)</f>
        <v>1568347163.78</v>
      </c>
      <c r="P102" s="2824"/>
      <c r="Q102" s="2818"/>
    </row>
    <row r="103" spans="2:17" s="2807" customFormat="1" ht="16.5" thickTop="1">
      <c r="B103" s="2836"/>
      <c r="C103" s="2836"/>
      <c r="D103" s="2837"/>
      <c r="E103" s="2812"/>
      <c r="F103" s="2812"/>
      <c r="G103" s="3905"/>
      <c r="H103" s="3513"/>
      <c r="I103" s="3507"/>
      <c r="J103" s="3513"/>
      <c r="K103" s="3507"/>
      <c r="L103" s="3513"/>
      <c r="M103" s="3905"/>
      <c r="N103" s="3513"/>
      <c r="O103" s="3507"/>
      <c r="P103" s="2838"/>
      <c r="Q103" s="2818"/>
    </row>
    <row r="104" spans="2:17" s="2807" customFormat="1" ht="15.75">
      <c r="B104" s="2808"/>
      <c r="C104" s="2835"/>
      <c r="D104" s="2839" t="s">
        <v>575</v>
      </c>
      <c r="E104" s="2840"/>
      <c r="F104" s="2840"/>
      <c r="G104" s="3004"/>
      <c r="H104" s="3004"/>
      <c r="I104" s="3508"/>
      <c r="J104" s="3004"/>
      <c r="K104" s="3508"/>
      <c r="L104" s="3004"/>
      <c r="M104" s="3402"/>
      <c r="N104" s="3402"/>
      <c r="O104" s="3508"/>
      <c r="P104" s="3403"/>
      <c r="Q104" s="2818"/>
    </row>
    <row r="105" spans="2:17" s="2983" customFormat="1" ht="15.75">
      <c r="B105" s="2813">
        <v>20401</v>
      </c>
      <c r="C105" s="3400"/>
      <c r="D105" s="2831" t="s">
        <v>1243</v>
      </c>
      <c r="E105" s="3401"/>
      <c r="F105" s="3401"/>
      <c r="G105" s="1190">
        <v>0</v>
      </c>
      <c r="H105" s="3004"/>
      <c r="I105" s="1190">
        <v>0</v>
      </c>
      <c r="J105" s="3004"/>
      <c r="K105" s="1190">
        <v>0</v>
      </c>
      <c r="L105" s="3004"/>
      <c r="M105" s="1190">
        <f t="shared" ref="M105:M165" si="11">ROUND(SUM(O105)-SUM(K105),2)</f>
        <v>0</v>
      </c>
      <c r="N105" s="3402"/>
      <c r="O105" s="1190">
        <v>0</v>
      </c>
      <c r="P105" s="3403"/>
      <c r="Q105" s="2982"/>
    </row>
    <row r="106" spans="2:17" s="2807" customFormat="1" ht="15.75">
      <c r="B106" s="2813">
        <v>20501</v>
      </c>
      <c r="C106" s="2841"/>
      <c r="D106" s="2814" t="s">
        <v>576</v>
      </c>
      <c r="E106" s="2842"/>
      <c r="F106" s="2842"/>
      <c r="G106" s="1190">
        <v>0</v>
      </c>
      <c r="H106" s="1190"/>
      <c r="I106" s="1190">
        <v>0</v>
      </c>
      <c r="J106" s="1190"/>
      <c r="K106" s="1190">
        <v>0</v>
      </c>
      <c r="L106" s="1190"/>
      <c r="M106" s="1190">
        <f t="shared" si="11"/>
        <v>0</v>
      </c>
      <c r="N106" s="1190"/>
      <c r="O106" s="1190">
        <v>0</v>
      </c>
      <c r="P106" s="2824"/>
      <c r="Q106" s="2818"/>
    </row>
    <row r="107" spans="2:17" s="2807" customFormat="1" ht="15.75">
      <c r="B107" s="2813">
        <v>20810</v>
      </c>
      <c r="C107" s="2826"/>
      <c r="D107" s="2843" t="s">
        <v>577</v>
      </c>
      <c r="E107" s="2828"/>
      <c r="F107" s="2828"/>
      <c r="G107" s="1190">
        <v>88816201.299999997</v>
      </c>
      <c r="H107" s="1190"/>
      <c r="I107" s="1190">
        <v>0</v>
      </c>
      <c r="J107" s="1190"/>
      <c r="K107" s="1190">
        <v>44028445.600000001</v>
      </c>
      <c r="L107" s="1190"/>
      <c r="M107" s="1190">
        <f t="shared" si="11"/>
        <v>32597640.93</v>
      </c>
      <c r="N107" s="1190"/>
      <c r="O107" s="1190">
        <v>76626086.530000001</v>
      </c>
      <c r="P107" s="2096"/>
      <c r="Q107" s="2818"/>
    </row>
    <row r="108" spans="2:17" s="2807" customFormat="1" ht="15.75">
      <c r="B108" s="2813">
        <v>20818</v>
      </c>
      <c r="C108" s="2826"/>
      <c r="D108" s="2843" t="s">
        <v>578</v>
      </c>
      <c r="E108" s="2828"/>
      <c r="F108" s="2828"/>
      <c r="G108" s="1190">
        <v>5733466.1500000004</v>
      </c>
      <c r="H108" s="1190"/>
      <c r="I108" s="1190">
        <v>0</v>
      </c>
      <c r="J108" s="1190"/>
      <c r="K108" s="1190">
        <v>0</v>
      </c>
      <c r="L108" s="1190"/>
      <c r="M108" s="1190">
        <f t="shared" si="11"/>
        <v>5094504.5599999996</v>
      </c>
      <c r="N108" s="1190"/>
      <c r="O108" s="1190">
        <v>5094504.5599999996</v>
      </c>
      <c r="P108" s="2096"/>
      <c r="Q108" s="2818"/>
    </row>
    <row r="109" spans="2:17" s="2807" customFormat="1" ht="15.75">
      <c r="B109" s="2813">
        <v>20901</v>
      </c>
      <c r="C109" s="2826"/>
      <c r="D109" s="2843" t="s">
        <v>579</v>
      </c>
      <c r="E109" s="2828"/>
      <c r="F109" s="2828"/>
      <c r="G109" s="1190">
        <v>609974015.13</v>
      </c>
      <c r="H109" s="1190"/>
      <c r="I109" s="1190">
        <v>0</v>
      </c>
      <c r="J109" s="1190"/>
      <c r="K109" s="1190">
        <v>0</v>
      </c>
      <c r="L109" s="1190"/>
      <c r="M109" s="1190">
        <f t="shared" si="11"/>
        <v>0</v>
      </c>
      <c r="N109" s="1190"/>
      <c r="O109" s="1190">
        <v>0</v>
      </c>
      <c r="P109" s="2096"/>
      <c r="Q109" s="2818"/>
    </row>
    <row r="110" spans="2:17" s="2807" customFormat="1" ht="15.75">
      <c r="B110" s="2813">
        <v>20904</v>
      </c>
      <c r="C110" s="2844"/>
      <c r="D110" s="2845" t="s">
        <v>580</v>
      </c>
      <c r="E110" s="2832"/>
      <c r="F110" s="2832"/>
      <c r="G110" s="1190">
        <v>0</v>
      </c>
      <c r="H110" s="1190"/>
      <c r="I110" s="1190">
        <v>0</v>
      </c>
      <c r="J110" s="1190"/>
      <c r="K110" s="1190">
        <v>0</v>
      </c>
      <c r="L110" s="1190"/>
      <c r="M110" s="1190">
        <f t="shared" si="11"/>
        <v>0</v>
      </c>
      <c r="N110" s="1190"/>
      <c r="O110" s="1190">
        <v>0</v>
      </c>
      <c r="P110" s="2096"/>
      <c r="Q110" s="2818"/>
    </row>
    <row r="111" spans="2:17" s="2807" customFormat="1" ht="15.75">
      <c r="B111" s="2813">
        <v>21001</v>
      </c>
      <c r="C111" s="2844"/>
      <c r="D111" s="2845" t="s">
        <v>1423</v>
      </c>
      <c r="E111" s="2832"/>
      <c r="F111" s="2832"/>
      <c r="G111" s="1190">
        <v>0</v>
      </c>
      <c r="H111" s="1190"/>
      <c r="I111" s="1190">
        <v>0</v>
      </c>
      <c r="J111" s="1190"/>
      <c r="K111" s="1190">
        <v>0</v>
      </c>
      <c r="L111" s="1190"/>
      <c r="M111" s="1190">
        <f>ROUND(SUM(O111)-SUM(K111),2)</f>
        <v>0</v>
      </c>
      <c r="N111" s="1190"/>
      <c r="O111" s="1190">
        <v>0</v>
      </c>
      <c r="P111" s="2096"/>
      <c r="Q111" s="2818"/>
    </row>
    <row r="112" spans="2:17" s="2807" customFormat="1" ht="15.75">
      <c r="B112" s="2813">
        <v>21002</v>
      </c>
      <c r="C112" s="2826"/>
      <c r="D112" s="2843" t="s">
        <v>1200</v>
      </c>
      <c r="E112" s="2828"/>
      <c r="F112" s="2828"/>
      <c r="G112" s="1190">
        <v>3746164.01</v>
      </c>
      <c r="H112" s="1190"/>
      <c r="I112" s="1190">
        <v>18442.77</v>
      </c>
      <c r="J112" s="1190"/>
      <c r="K112" s="1190">
        <v>68961.31</v>
      </c>
      <c r="L112" s="1190"/>
      <c r="M112" s="1190">
        <f t="shared" si="11"/>
        <v>50297.98</v>
      </c>
      <c r="N112" s="1190"/>
      <c r="O112" s="1190">
        <v>119259.29</v>
      </c>
      <c r="P112" s="2096"/>
      <c r="Q112" s="2818"/>
    </row>
    <row r="113" spans="2:17" s="2807" customFormat="1" ht="15.75">
      <c r="B113" s="2813">
        <v>21061</v>
      </c>
      <c r="C113" s="2826"/>
      <c r="D113" s="2843" t="s">
        <v>581</v>
      </c>
      <c r="E113" s="2828"/>
      <c r="F113" s="2828"/>
      <c r="G113" s="1190">
        <v>0</v>
      </c>
      <c r="H113" s="1190"/>
      <c r="I113" s="1190">
        <v>0</v>
      </c>
      <c r="J113" s="1190"/>
      <c r="K113" s="1190">
        <v>0</v>
      </c>
      <c r="L113" s="1190"/>
      <c r="M113" s="1190">
        <f t="shared" si="11"/>
        <v>0</v>
      </c>
      <c r="N113" s="1190"/>
      <c r="O113" s="1190">
        <v>0</v>
      </c>
      <c r="P113" s="2096"/>
      <c r="Q113" s="2818"/>
    </row>
    <row r="114" spans="2:17" s="2807" customFormat="1" ht="15.75">
      <c r="B114" s="2813">
        <v>21064</v>
      </c>
      <c r="C114" s="2826"/>
      <c r="D114" s="2843" t="s">
        <v>1190</v>
      </c>
      <c r="E114" s="2828"/>
      <c r="F114" s="2828"/>
      <c r="G114" s="1190">
        <v>1655399.98</v>
      </c>
      <c r="H114" s="1190"/>
      <c r="I114" s="1190">
        <v>399.98</v>
      </c>
      <c r="J114" s="1190"/>
      <c r="K114" s="1190">
        <v>399.98</v>
      </c>
      <c r="L114" s="1190"/>
      <c r="M114" s="1190">
        <f t="shared" ref="M114" si="12">ROUND(SUM(O114)-SUM(K114),2)</f>
        <v>0</v>
      </c>
      <c r="N114" s="1190"/>
      <c r="O114" s="1190">
        <v>399.98</v>
      </c>
      <c r="P114" s="2096"/>
      <c r="Q114" s="2818"/>
    </row>
    <row r="115" spans="2:17" s="2807" customFormat="1" ht="15.75">
      <c r="B115" s="2813">
        <v>21065</v>
      </c>
      <c r="C115" s="2826"/>
      <c r="D115" s="2843" t="s">
        <v>582</v>
      </c>
      <c r="E115" s="2828"/>
      <c r="F115" s="2828"/>
      <c r="G115" s="1190">
        <v>2488457.9500000002</v>
      </c>
      <c r="H115" s="1190"/>
      <c r="I115" s="1190">
        <v>0</v>
      </c>
      <c r="J115" s="1190"/>
      <c r="K115" s="1190">
        <v>79619.710000000006</v>
      </c>
      <c r="L115" s="1190"/>
      <c r="M115" s="1190">
        <f t="shared" si="11"/>
        <v>596581.25</v>
      </c>
      <c r="N115" s="1190"/>
      <c r="O115" s="1190">
        <v>676200.95999999996</v>
      </c>
      <c r="P115" s="2096"/>
      <c r="Q115" s="2818"/>
    </row>
    <row r="116" spans="2:17" s="2807" customFormat="1" ht="15.75">
      <c r="B116" s="2813">
        <v>21066</v>
      </c>
      <c r="C116" s="2826"/>
      <c r="D116" s="2827" t="s">
        <v>583</v>
      </c>
      <c r="E116" s="2828"/>
      <c r="F116" s="2828"/>
      <c r="G116" s="1190">
        <v>3925389.52</v>
      </c>
      <c r="H116" s="1190"/>
      <c r="I116" s="1190">
        <v>172133.6</v>
      </c>
      <c r="J116" s="1190"/>
      <c r="K116" s="1190">
        <v>321165.58</v>
      </c>
      <c r="L116" s="1190"/>
      <c r="M116" s="1190">
        <f t="shared" si="11"/>
        <v>144289.47</v>
      </c>
      <c r="N116" s="1190"/>
      <c r="O116" s="1190">
        <v>465455.05</v>
      </c>
      <c r="P116" s="2096"/>
      <c r="Q116" s="2818"/>
    </row>
    <row r="117" spans="2:17" s="2807" customFormat="1" ht="15.75">
      <c r="B117" s="2813">
        <v>21067</v>
      </c>
      <c r="C117" s="2826"/>
      <c r="D117" s="2827" t="s">
        <v>584</v>
      </c>
      <c r="E117" s="2828"/>
      <c r="F117" s="2828"/>
      <c r="G117" s="1190">
        <v>0</v>
      </c>
      <c r="H117" s="1190"/>
      <c r="I117" s="1190">
        <v>0</v>
      </c>
      <c r="J117" s="1190"/>
      <c r="K117" s="1190">
        <v>0</v>
      </c>
      <c r="L117" s="1190"/>
      <c r="M117" s="1190">
        <f t="shared" si="11"/>
        <v>0</v>
      </c>
      <c r="N117" s="1190"/>
      <c r="O117" s="1190">
        <v>0</v>
      </c>
      <c r="P117" s="2096"/>
      <c r="Q117" s="2818"/>
    </row>
    <row r="118" spans="2:17" s="2807" customFormat="1" ht="15.75">
      <c r="B118" s="2813">
        <v>21077</v>
      </c>
      <c r="C118" s="2826"/>
      <c r="D118" s="2843" t="s">
        <v>585</v>
      </c>
      <c r="E118" s="2828"/>
      <c r="F118" s="2828"/>
      <c r="G118" s="1190">
        <v>0</v>
      </c>
      <c r="H118" s="1190"/>
      <c r="I118" s="1190">
        <v>0</v>
      </c>
      <c r="J118" s="1190"/>
      <c r="K118" s="1190">
        <v>0</v>
      </c>
      <c r="L118" s="1190"/>
      <c r="M118" s="1190">
        <f t="shared" si="11"/>
        <v>0</v>
      </c>
      <c r="N118" s="1190"/>
      <c r="O118" s="1190">
        <v>0</v>
      </c>
      <c r="P118" s="2096"/>
      <c r="Q118" s="2818"/>
    </row>
    <row r="119" spans="2:17" s="2807" customFormat="1" ht="15.75">
      <c r="B119" s="2813">
        <v>21081</v>
      </c>
      <c r="C119" s="2826"/>
      <c r="D119" s="2827" t="s">
        <v>586</v>
      </c>
      <c r="E119" s="2828"/>
      <c r="F119" s="2828"/>
      <c r="G119" s="1190">
        <v>70601071.430000007</v>
      </c>
      <c r="H119" s="1190"/>
      <c r="I119" s="1190">
        <v>70069077.870000005</v>
      </c>
      <c r="J119" s="1190"/>
      <c r="K119" s="1190">
        <v>74811665.379999995</v>
      </c>
      <c r="L119" s="1190"/>
      <c r="M119" s="1190">
        <f t="shared" si="11"/>
        <v>764405.32</v>
      </c>
      <c r="N119" s="1190"/>
      <c r="O119" s="1190">
        <v>75576070.700000003</v>
      </c>
      <c r="P119" s="2096"/>
      <c r="Q119" s="2818"/>
    </row>
    <row r="120" spans="2:17" s="2807" customFormat="1" ht="15.75">
      <c r="B120" s="2813">
        <v>21082</v>
      </c>
      <c r="C120" s="2826"/>
      <c r="D120" s="2843" t="s">
        <v>587</v>
      </c>
      <c r="E120" s="2828"/>
      <c r="F120" s="2828"/>
      <c r="G120" s="1190">
        <v>16989758.949999999</v>
      </c>
      <c r="H120" s="1190"/>
      <c r="I120" s="1190">
        <v>2043414.86</v>
      </c>
      <c r="J120" s="1190"/>
      <c r="K120" s="1190">
        <v>1949470.06</v>
      </c>
      <c r="L120" s="1190"/>
      <c r="M120" s="1190">
        <f t="shared" si="11"/>
        <v>153138.10999999999</v>
      </c>
      <c r="N120" s="1190"/>
      <c r="O120" s="1190">
        <v>2102608.17</v>
      </c>
      <c r="P120" s="2096"/>
      <c r="Q120" s="2818"/>
    </row>
    <row r="121" spans="2:17" s="2807" customFormat="1" ht="15.75">
      <c r="B121" s="2813">
        <v>21084</v>
      </c>
      <c r="C121" s="2826"/>
      <c r="D121" s="2843" t="s">
        <v>588</v>
      </c>
      <c r="E121" s="2828"/>
      <c r="F121" s="2828"/>
      <c r="G121" s="1190">
        <v>0</v>
      </c>
      <c r="H121" s="1190"/>
      <c r="I121" s="1190">
        <v>0</v>
      </c>
      <c r="J121" s="1190"/>
      <c r="K121" s="1190">
        <v>0</v>
      </c>
      <c r="L121" s="1190"/>
      <c r="M121" s="1190">
        <f t="shared" si="11"/>
        <v>0</v>
      </c>
      <c r="N121" s="1190"/>
      <c r="O121" s="1190">
        <v>0</v>
      </c>
      <c r="P121" s="2096"/>
      <c r="Q121" s="2818"/>
    </row>
    <row r="122" spans="2:17" s="2807" customFormat="1" ht="15.75">
      <c r="B122" s="2813">
        <v>21087</v>
      </c>
      <c r="C122" s="2826"/>
      <c r="D122" s="2843" t="s">
        <v>589</v>
      </c>
      <c r="E122" s="2828"/>
      <c r="F122" s="2828"/>
      <c r="G122" s="1190">
        <v>0</v>
      </c>
      <c r="H122" s="1190"/>
      <c r="I122" s="1190">
        <v>0</v>
      </c>
      <c r="J122" s="1190"/>
      <c r="K122" s="1190">
        <v>0</v>
      </c>
      <c r="L122" s="1190"/>
      <c r="M122" s="1190">
        <f t="shared" si="11"/>
        <v>0</v>
      </c>
      <c r="N122" s="1190"/>
      <c r="O122" s="1190">
        <v>0</v>
      </c>
      <c r="P122" s="2096"/>
      <c r="Q122" s="2818"/>
    </row>
    <row r="123" spans="2:17" s="2807" customFormat="1" ht="15.75">
      <c r="B123" s="2813">
        <v>21201</v>
      </c>
      <c r="C123" s="2826"/>
      <c r="D123" s="2843" t="s">
        <v>590</v>
      </c>
      <c r="E123" s="2828"/>
      <c r="F123" s="2828"/>
      <c r="G123" s="1190">
        <v>0.01</v>
      </c>
      <c r="H123" s="1190"/>
      <c r="I123" s="1190">
        <v>0</v>
      </c>
      <c r="J123" s="1190"/>
      <c r="K123" s="1190">
        <v>0</v>
      </c>
      <c r="L123" s="1190"/>
      <c r="M123" s="1190">
        <f t="shared" si="11"/>
        <v>0</v>
      </c>
      <c r="N123" s="1190"/>
      <c r="O123" s="1190">
        <v>0</v>
      </c>
      <c r="P123" s="2096"/>
      <c r="Q123" s="2818"/>
    </row>
    <row r="124" spans="2:17" s="2807" customFormat="1" ht="15.75">
      <c r="B124" s="2813">
        <v>21202</v>
      </c>
      <c r="C124" s="2826"/>
      <c r="D124" s="2843" t="s">
        <v>591</v>
      </c>
      <c r="E124" s="2828"/>
      <c r="F124" s="2828"/>
      <c r="G124" s="1190">
        <v>0.01</v>
      </c>
      <c r="H124" s="1190"/>
      <c r="I124" s="1190">
        <v>0</v>
      </c>
      <c r="J124" s="1190"/>
      <c r="K124" s="1190">
        <v>0</v>
      </c>
      <c r="L124" s="1190"/>
      <c r="M124" s="1190">
        <f t="shared" si="11"/>
        <v>0</v>
      </c>
      <c r="N124" s="1190"/>
      <c r="O124" s="1190">
        <v>0</v>
      </c>
      <c r="P124" s="2096"/>
      <c r="Q124" s="2818"/>
    </row>
    <row r="125" spans="2:17" s="2807" customFormat="1" ht="15.75">
      <c r="B125" s="2813">
        <v>21203</v>
      </c>
      <c r="C125" s="2826"/>
      <c r="D125" s="2843" t="s">
        <v>592</v>
      </c>
      <c r="E125" s="2828"/>
      <c r="F125" s="2828"/>
      <c r="G125" s="1190">
        <v>0.51000000000021795</v>
      </c>
      <c r="H125" s="1190"/>
      <c r="I125" s="1190">
        <v>0</v>
      </c>
      <c r="J125" s="1190"/>
      <c r="K125" s="1190">
        <v>0</v>
      </c>
      <c r="L125" s="1190"/>
      <c r="M125" s="1190">
        <f t="shared" si="11"/>
        <v>0</v>
      </c>
      <c r="N125" s="1190"/>
      <c r="O125" s="1190">
        <v>0</v>
      </c>
      <c r="P125" s="2096"/>
      <c r="Q125" s="2818"/>
    </row>
    <row r="126" spans="2:17" s="2807" customFormat="1" ht="15.75">
      <c r="B126" s="2813">
        <v>21204</v>
      </c>
      <c r="C126" s="2826"/>
      <c r="D126" s="2843" t="s">
        <v>1424</v>
      </c>
      <c r="E126" s="2828"/>
      <c r="F126" s="2828"/>
      <c r="G126" s="1190">
        <v>0</v>
      </c>
      <c r="H126" s="1190"/>
      <c r="I126" s="1190">
        <v>0</v>
      </c>
      <c r="J126" s="1190"/>
      <c r="K126" s="1190">
        <v>0</v>
      </c>
      <c r="L126" s="1190"/>
      <c r="M126" s="1190">
        <f t="shared" ref="M126:M127" si="13">ROUND(SUM(O126)-SUM(K126),2)</f>
        <v>0</v>
      </c>
      <c r="N126" s="1190"/>
      <c r="O126" s="1190">
        <v>0</v>
      </c>
      <c r="P126" s="2096"/>
      <c r="Q126" s="2818"/>
    </row>
    <row r="127" spans="2:17" s="2807" customFormat="1" ht="15.75">
      <c r="B127" s="2813">
        <v>21205</v>
      </c>
      <c r="C127" s="2826"/>
      <c r="D127" s="2843" t="s">
        <v>1425</v>
      </c>
      <c r="E127" s="2828"/>
      <c r="F127" s="2828"/>
      <c r="G127" s="1190">
        <v>0</v>
      </c>
      <c r="H127" s="1190"/>
      <c r="I127" s="1190">
        <v>0</v>
      </c>
      <c r="J127" s="1190"/>
      <c r="K127" s="1190">
        <v>0</v>
      </c>
      <c r="L127" s="1190"/>
      <c r="M127" s="1190">
        <f t="shared" si="13"/>
        <v>0</v>
      </c>
      <c r="N127" s="1190"/>
      <c r="O127" s="1190">
        <v>0</v>
      </c>
      <c r="P127" s="2096"/>
      <c r="Q127" s="2818"/>
    </row>
    <row r="128" spans="2:17" s="2807" customFormat="1" ht="15.75">
      <c r="B128" s="2829">
        <v>21401</v>
      </c>
      <c r="C128" s="2844"/>
      <c r="D128" s="2846" t="s">
        <v>593</v>
      </c>
      <c r="E128" s="2832"/>
      <c r="F128" s="2832"/>
      <c r="G128" s="1190">
        <v>2601264.09</v>
      </c>
      <c r="H128" s="1190"/>
      <c r="I128" s="1190">
        <v>0</v>
      </c>
      <c r="J128" s="1190"/>
      <c r="K128" s="1190">
        <v>0</v>
      </c>
      <c r="L128" s="1190"/>
      <c r="M128" s="1190">
        <f t="shared" si="11"/>
        <v>7401709.1100000003</v>
      </c>
      <c r="N128" s="1190"/>
      <c r="O128" s="1190">
        <v>7401709.1100000003</v>
      </c>
      <c r="P128" s="2096"/>
      <c r="Q128" s="2818"/>
    </row>
    <row r="129" spans="2:17" s="2807" customFormat="1" ht="15.75">
      <c r="B129" s="2829">
        <v>21402</v>
      </c>
      <c r="C129" s="2844"/>
      <c r="D129" s="2846" t="s">
        <v>594</v>
      </c>
      <c r="E129" s="2832"/>
      <c r="F129" s="2832"/>
      <c r="G129" s="1190">
        <v>0</v>
      </c>
      <c r="H129" s="1190"/>
      <c r="I129" s="1190">
        <v>0</v>
      </c>
      <c r="J129" s="1190"/>
      <c r="K129" s="1190">
        <v>0</v>
      </c>
      <c r="L129" s="1190"/>
      <c r="M129" s="1190">
        <f t="shared" si="11"/>
        <v>0</v>
      </c>
      <c r="N129" s="1190"/>
      <c r="O129" s="1190">
        <v>0</v>
      </c>
      <c r="P129" s="2096"/>
      <c r="Q129" s="2818"/>
    </row>
    <row r="130" spans="2:17" s="2807" customFormat="1" ht="15.75">
      <c r="B130" s="2813">
        <v>21451</v>
      </c>
      <c r="C130" s="2826"/>
      <c r="D130" s="2827" t="s">
        <v>595</v>
      </c>
      <c r="E130" s="2828"/>
      <c r="F130" s="2828"/>
      <c r="G130" s="1190">
        <v>37279448.299999997</v>
      </c>
      <c r="H130" s="1190"/>
      <c r="I130" s="1190">
        <v>37762135.090000004</v>
      </c>
      <c r="J130" s="1190"/>
      <c r="K130" s="1190">
        <v>38195803.32</v>
      </c>
      <c r="L130" s="1190"/>
      <c r="M130" s="1190">
        <f t="shared" si="11"/>
        <v>610545.46</v>
      </c>
      <c r="N130" s="1190"/>
      <c r="O130" s="1190">
        <v>38806348.780000001</v>
      </c>
      <c r="P130" s="2096"/>
      <c r="Q130" s="2818"/>
    </row>
    <row r="131" spans="2:17" s="2807" customFormat="1" ht="15.75">
      <c r="B131" s="2813">
        <v>21452</v>
      </c>
      <c r="C131" s="2826"/>
      <c r="D131" s="2843" t="s">
        <v>596</v>
      </c>
      <c r="E131" s="2828"/>
      <c r="F131" s="2828"/>
      <c r="G131" s="1190">
        <v>0</v>
      </c>
      <c r="H131" s="1190"/>
      <c r="I131" s="1190">
        <v>755395.93</v>
      </c>
      <c r="J131" s="1190"/>
      <c r="K131" s="1190">
        <v>0</v>
      </c>
      <c r="L131" s="1190"/>
      <c r="M131" s="1190">
        <f t="shared" si="11"/>
        <v>0</v>
      </c>
      <c r="N131" s="1190"/>
      <c r="O131" s="1190">
        <v>0</v>
      </c>
      <c r="P131" s="2096"/>
      <c r="Q131" s="2818"/>
    </row>
    <row r="132" spans="2:17" s="2807" customFormat="1" ht="15.75">
      <c r="B132" s="2813">
        <v>21902</v>
      </c>
      <c r="C132" s="2826"/>
      <c r="D132" s="2827" t="s">
        <v>1137</v>
      </c>
      <c r="E132" s="2828"/>
      <c r="F132" s="2828"/>
      <c r="G132" s="1190">
        <v>0</v>
      </c>
      <c r="H132" s="1190"/>
      <c r="I132" s="1190">
        <v>0</v>
      </c>
      <c r="J132" s="1190"/>
      <c r="K132" s="1190">
        <v>0</v>
      </c>
      <c r="L132" s="1190"/>
      <c r="M132" s="1190">
        <f t="shared" si="11"/>
        <v>0</v>
      </c>
      <c r="N132" s="1190"/>
      <c r="O132" s="1190">
        <v>0</v>
      </c>
      <c r="P132" s="2096"/>
      <c r="Q132" s="2818"/>
    </row>
    <row r="133" spans="2:17" s="2807" customFormat="1" ht="15.75">
      <c r="B133" s="2813">
        <v>21905</v>
      </c>
      <c r="C133" s="2826"/>
      <c r="D133" s="2994" t="s">
        <v>1140</v>
      </c>
      <c r="E133" s="2828"/>
      <c r="F133" s="2828"/>
      <c r="G133" s="1190">
        <v>6457445.4100000001</v>
      </c>
      <c r="H133" s="1190"/>
      <c r="I133" s="1190">
        <v>1891481.66</v>
      </c>
      <c r="J133" s="1190"/>
      <c r="K133" s="1190">
        <v>1836671.98999999</v>
      </c>
      <c r="L133" s="1190"/>
      <c r="M133" s="1190">
        <f t="shared" si="11"/>
        <v>-1836671.99</v>
      </c>
      <c r="N133" s="1190"/>
      <c r="O133" s="1190">
        <v>0</v>
      </c>
      <c r="P133" s="2096"/>
      <c r="Q133" s="2818"/>
    </row>
    <row r="134" spans="2:17" s="2807" customFormat="1" ht="15.75">
      <c r="B134" s="2813">
        <v>21907</v>
      </c>
      <c r="C134" s="2826"/>
      <c r="D134" s="2843" t="s">
        <v>597</v>
      </c>
      <c r="E134" s="2828"/>
      <c r="F134" s="2828"/>
      <c r="G134" s="1190">
        <v>0</v>
      </c>
      <c r="H134" s="1190"/>
      <c r="I134" s="1190">
        <v>0</v>
      </c>
      <c r="J134" s="1190"/>
      <c r="K134" s="1190">
        <v>0</v>
      </c>
      <c r="L134" s="1190"/>
      <c r="M134" s="1190">
        <f t="shared" si="11"/>
        <v>0</v>
      </c>
      <c r="N134" s="1190"/>
      <c r="O134" s="1190">
        <v>0</v>
      </c>
      <c r="P134" s="2096"/>
      <c r="Q134" s="2818"/>
    </row>
    <row r="135" spans="2:17" s="2807" customFormat="1" ht="15.75">
      <c r="B135" s="2813">
        <v>21909</v>
      </c>
      <c r="C135" s="2826"/>
      <c r="D135" s="2843" t="s">
        <v>598</v>
      </c>
      <c r="E135" s="2828"/>
      <c r="F135" s="2828"/>
      <c r="G135" s="1190">
        <v>0</v>
      </c>
      <c r="H135" s="1190"/>
      <c r="I135" s="1190">
        <v>0</v>
      </c>
      <c r="J135" s="1190"/>
      <c r="K135" s="1190">
        <v>0</v>
      </c>
      <c r="L135" s="1190"/>
      <c r="M135" s="1190">
        <f t="shared" si="11"/>
        <v>0</v>
      </c>
      <c r="N135" s="1190"/>
      <c r="O135" s="1190">
        <v>0</v>
      </c>
      <c r="P135" s="2096"/>
      <c r="Q135" s="2818"/>
    </row>
    <row r="136" spans="2:17" s="2807" customFormat="1" ht="15.75">
      <c r="B136" s="2813">
        <v>21911</v>
      </c>
      <c r="C136" s="2826"/>
      <c r="D136" s="2843" t="s">
        <v>599</v>
      </c>
      <c r="E136" s="2828"/>
      <c r="F136" s="2828"/>
      <c r="G136" s="1190">
        <v>329016.48</v>
      </c>
      <c r="H136" s="1190"/>
      <c r="I136" s="1190">
        <v>599464.93000000005</v>
      </c>
      <c r="J136" s="1190"/>
      <c r="K136" s="1190">
        <v>122716.94</v>
      </c>
      <c r="L136" s="1190"/>
      <c r="M136" s="1190">
        <f t="shared" si="11"/>
        <v>136366.75</v>
      </c>
      <c r="N136" s="1190"/>
      <c r="O136" s="1190">
        <v>259083.69</v>
      </c>
      <c r="P136" s="2096"/>
      <c r="Q136" s="2818"/>
    </row>
    <row r="137" spans="2:17" s="2807" customFormat="1" ht="15.75">
      <c r="B137" s="2813">
        <v>21912</v>
      </c>
      <c r="C137" s="2826"/>
      <c r="D137" s="2827" t="s">
        <v>600</v>
      </c>
      <c r="E137" s="2828"/>
      <c r="F137" s="2828"/>
      <c r="G137" s="1190">
        <v>4692902.05</v>
      </c>
      <c r="H137" s="1190"/>
      <c r="I137" s="1190">
        <v>5334203.5</v>
      </c>
      <c r="J137" s="1190"/>
      <c r="K137" s="1190">
        <v>5067824.8899999997</v>
      </c>
      <c r="L137" s="1190"/>
      <c r="M137" s="1190">
        <f t="shared" si="11"/>
        <v>-26281.39</v>
      </c>
      <c r="N137" s="1190"/>
      <c r="O137" s="1190">
        <v>5041543.5</v>
      </c>
      <c r="P137" s="2096"/>
      <c r="Q137" s="2818"/>
    </row>
    <row r="138" spans="2:17" s="2807" customFormat="1" ht="15.75">
      <c r="B138" s="2813">
        <v>21937</v>
      </c>
      <c r="C138" s="2826"/>
      <c r="D138" s="2843" t="s">
        <v>601</v>
      </c>
      <c r="E138" s="2828"/>
      <c r="F138" s="2828"/>
      <c r="G138" s="1190">
        <v>526819.06999999995</v>
      </c>
      <c r="H138" s="1190"/>
      <c r="I138" s="1190">
        <v>0</v>
      </c>
      <c r="J138" s="1190"/>
      <c r="K138" s="1190">
        <v>0</v>
      </c>
      <c r="L138" s="1190"/>
      <c r="M138" s="1190">
        <f t="shared" si="11"/>
        <v>263128.15999999997</v>
      </c>
      <c r="N138" s="1190"/>
      <c r="O138" s="1190">
        <v>263128.15999999997</v>
      </c>
      <c r="P138" s="2096"/>
      <c r="Q138" s="2818"/>
    </row>
    <row r="139" spans="2:17" s="2807" customFormat="1" ht="15.75">
      <c r="B139" s="2813">
        <v>21945</v>
      </c>
      <c r="C139" s="2826"/>
      <c r="D139" s="2827" t="s">
        <v>602</v>
      </c>
      <c r="E139" s="2828"/>
      <c r="F139" s="2828"/>
      <c r="G139" s="1190">
        <v>0</v>
      </c>
      <c r="H139" s="1190"/>
      <c r="I139" s="1190">
        <v>0</v>
      </c>
      <c r="J139" s="1190"/>
      <c r="K139" s="1190">
        <v>0</v>
      </c>
      <c r="L139" s="1190"/>
      <c r="M139" s="1190">
        <f t="shared" si="11"/>
        <v>0</v>
      </c>
      <c r="N139" s="1190"/>
      <c r="O139" s="1190">
        <v>0</v>
      </c>
      <c r="P139" s="2096"/>
      <c r="Q139" s="2818"/>
    </row>
    <row r="140" spans="2:17" s="2807" customFormat="1" ht="15.75">
      <c r="B140" s="2813">
        <v>21959</v>
      </c>
      <c r="C140" s="2826"/>
      <c r="D140" s="2843" t="s">
        <v>603</v>
      </c>
      <c r="E140" s="2828"/>
      <c r="F140" s="2828"/>
      <c r="G140" s="1190">
        <v>0</v>
      </c>
      <c r="H140" s="1190"/>
      <c r="I140" s="1190">
        <v>0</v>
      </c>
      <c r="J140" s="1190"/>
      <c r="K140" s="1190">
        <v>0</v>
      </c>
      <c r="L140" s="1190"/>
      <c r="M140" s="1190">
        <f t="shared" si="11"/>
        <v>0</v>
      </c>
      <c r="N140" s="1190"/>
      <c r="O140" s="1190">
        <v>0</v>
      </c>
      <c r="P140" s="2096"/>
      <c r="Q140" s="2818"/>
    </row>
    <row r="141" spans="2:17" s="2983" customFormat="1" ht="15.75">
      <c r="B141" s="2829">
        <v>21961</v>
      </c>
      <c r="C141" s="2844"/>
      <c r="D141" s="2845" t="s">
        <v>1244</v>
      </c>
      <c r="E141" s="2832"/>
      <c r="F141" s="2832"/>
      <c r="G141" s="1190">
        <v>372522.02</v>
      </c>
      <c r="H141" s="1190"/>
      <c r="I141" s="1190">
        <v>508862.31</v>
      </c>
      <c r="J141" s="1190"/>
      <c r="K141" s="1190">
        <v>589191.03</v>
      </c>
      <c r="L141" s="1190"/>
      <c r="M141" s="1190">
        <f t="shared" si="11"/>
        <v>15135.83</v>
      </c>
      <c r="N141" s="1190"/>
      <c r="O141" s="1190">
        <v>604326.86</v>
      </c>
      <c r="P141" s="2096"/>
      <c r="Q141" s="2982"/>
    </row>
    <row r="142" spans="2:17" s="2807" customFormat="1" ht="15.75">
      <c r="B142" s="2813">
        <v>21962</v>
      </c>
      <c r="C142" s="2826"/>
      <c r="D142" s="2843" t="s">
        <v>604</v>
      </c>
      <c r="E142" s="2828"/>
      <c r="F142" s="2828"/>
      <c r="G142" s="1190">
        <v>10704018.310000001</v>
      </c>
      <c r="H142" s="1190"/>
      <c r="I142" s="1190">
        <v>11734452.98</v>
      </c>
      <c r="J142" s="1190"/>
      <c r="K142" s="1190">
        <v>12131703.43</v>
      </c>
      <c r="L142" s="1190"/>
      <c r="M142" s="1190">
        <f t="shared" si="11"/>
        <v>289776.89</v>
      </c>
      <c r="N142" s="1190"/>
      <c r="O142" s="1190">
        <v>12421480.32</v>
      </c>
      <c r="P142" s="2096"/>
      <c r="Q142" s="2818"/>
    </row>
    <row r="143" spans="2:17" s="2807" customFormat="1" ht="15.75">
      <c r="B143" s="2813">
        <v>21978</v>
      </c>
      <c r="C143" s="2826"/>
      <c r="D143" s="2827" t="s">
        <v>605</v>
      </c>
      <c r="E143" s="2828"/>
      <c r="F143" s="2828"/>
      <c r="G143" s="1190">
        <v>0</v>
      </c>
      <c r="H143" s="1190"/>
      <c r="I143" s="1190">
        <v>0</v>
      </c>
      <c r="J143" s="1190"/>
      <c r="K143" s="1190">
        <v>465411.49</v>
      </c>
      <c r="L143" s="1190"/>
      <c r="M143" s="1190">
        <f t="shared" si="11"/>
        <v>-465411.49</v>
      </c>
      <c r="N143" s="1190"/>
      <c r="O143" s="1190">
        <v>0</v>
      </c>
      <c r="P143" s="2096"/>
      <c r="Q143" s="2818"/>
    </row>
    <row r="144" spans="2:17" s="2807" customFormat="1" ht="15.75">
      <c r="B144" s="2813">
        <v>21989</v>
      </c>
      <c r="C144" s="2826"/>
      <c r="D144" s="2827" t="s">
        <v>606</v>
      </c>
      <c r="E144" s="2828"/>
      <c r="F144" s="2828"/>
      <c r="G144" s="1190">
        <v>0</v>
      </c>
      <c r="H144" s="1190"/>
      <c r="I144" s="1190">
        <v>0</v>
      </c>
      <c r="J144" s="1190"/>
      <c r="K144" s="1190">
        <v>0</v>
      </c>
      <c r="L144" s="1190"/>
      <c r="M144" s="1190">
        <f t="shared" si="11"/>
        <v>0</v>
      </c>
      <c r="N144" s="1190"/>
      <c r="O144" s="1190">
        <v>0</v>
      </c>
      <c r="P144" s="2096"/>
      <c r="Q144" s="2818"/>
    </row>
    <row r="145" spans="2:17" s="2807" customFormat="1" ht="15.75">
      <c r="B145" s="2813">
        <v>22003</v>
      </c>
      <c r="C145" s="2826"/>
      <c r="D145" s="2827" t="s">
        <v>607</v>
      </c>
      <c r="E145" s="2828"/>
      <c r="F145" s="2828"/>
      <c r="G145" s="1190">
        <v>0</v>
      </c>
      <c r="H145" s="1190"/>
      <c r="I145" s="1190">
        <v>0</v>
      </c>
      <c r="J145" s="1190"/>
      <c r="K145" s="1190">
        <v>0</v>
      </c>
      <c r="L145" s="1190"/>
      <c r="M145" s="1190">
        <f t="shared" si="11"/>
        <v>0</v>
      </c>
      <c r="N145" s="1190"/>
      <c r="O145" s="1190">
        <v>0</v>
      </c>
      <c r="P145" s="2096"/>
      <c r="Q145" s="2818"/>
    </row>
    <row r="146" spans="2:17" s="2807" customFormat="1" ht="15.75">
      <c r="B146" s="2813">
        <v>22004</v>
      </c>
      <c r="C146" s="2826"/>
      <c r="D146" s="2843" t="s">
        <v>608</v>
      </c>
      <c r="E146" s="2828"/>
      <c r="F146" s="2828"/>
      <c r="G146" s="1190">
        <v>0</v>
      </c>
      <c r="H146" s="1190"/>
      <c r="I146" s="1190">
        <v>0</v>
      </c>
      <c r="J146" s="1190"/>
      <c r="K146" s="1190">
        <v>0</v>
      </c>
      <c r="L146" s="1190"/>
      <c r="M146" s="1190">
        <f t="shared" si="11"/>
        <v>0</v>
      </c>
      <c r="N146" s="1190"/>
      <c r="O146" s="1190">
        <v>0</v>
      </c>
      <c r="P146" s="2096"/>
      <c r="Q146" s="2818"/>
    </row>
    <row r="147" spans="2:17" s="2807" customFormat="1" ht="15.75">
      <c r="B147" s="2813">
        <v>22006</v>
      </c>
      <c r="C147" s="2826"/>
      <c r="D147" s="2827" t="s">
        <v>609</v>
      </c>
      <c r="E147" s="2828"/>
      <c r="F147" s="2828"/>
      <c r="G147" s="1190">
        <v>0</v>
      </c>
      <c r="H147" s="1190"/>
      <c r="I147" s="1190">
        <v>0</v>
      </c>
      <c r="J147" s="1190"/>
      <c r="K147" s="1190">
        <v>0</v>
      </c>
      <c r="L147" s="1190"/>
      <c r="M147" s="1190">
        <f t="shared" si="11"/>
        <v>0</v>
      </c>
      <c r="N147" s="1190"/>
      <c r="O147" s="1190">
        <v>0</v>
      </c>
      <c r="P147" s="2096"/>
      <c r="Q147" s="2818"/>
    </row>
    <row r="148" spans="2:17" s="2807" customFormat="1" ht="15.75">
      <c r="B148" s="2813">
        <v>22007</v>
      </c>
      <c r="C148" s="2826"/>
      <c r="D148" s="2843" t="s">
        <v>610</v>
      </c>
      <c r="E148" s="2828"/>
      <c r="F148" s="2828"/>
      <c r="G148" s="1190">
        <v>621705.1</v>
      </c>
      <c r="H148" s="1190"/>
      <c r="I148" s="1190">
        <v>1368553.12</v>
      </c>
      <c r="J148" s="1190"/>
      <c r="K148" s="1190">
        <v>1293744.08</v>
      </c>
      <c r="L148" s="1190"/>
      <c r="M148" s="1190">
        <f t="shared" si="11"/>
        <v>-166821.16</v>
      </c>
      <c r="N148" s="1190"/>
      <c r="O148" s="1190">
        <v>1126922.92</v>
      </c>
      <c r="P148" s="2096"/>
      <c r="Q148" s="2818"/>
    </row>
    <row r="149" spans="2:17" s="2807" customFormat="1" ht="15.75">
      <c r="B149" s="2813">
        <v>22008</v>
      </c>
      <c r="C149" s="2826"/>
      <c r="D149" s="2843" t="s">
        <v>1191</v>
      </c>
      <c r="E149" s="2828"/>
      <c r="F149" s="2828"/>
      <c r="G149" s="1190">
        <v>0</v>
      </c>
      <c r="H149" s="1190"/>
      <c r="I149" s="1190">
        <v>0</v>
      </c>
      <c r="J149" s="1190"/>
      <c r="K149" s="1190">
        <v>0</v>
      </c>
      <c r="L149" s="1190"/>
      <c r="M149" s="1190">
        <f t="shared" ref="M149" si="14">ROUND(SUM(O149)-SUM(K149),2)</f>
        <v>0</v>
      </c>
      <c r="N149" s="1190"/>
      <c r="O149" s="1190">
        <v>0</v>
      </c>
      <c r="P149" s="2096"/>
      <c r="Q149" s="2818"/>
    </row>
    <row r="150" spans="2:17" s="2807" customFormat="1" ht="15.75">
      <c r="B150" s="2813">
        <v>22009</v>
      </c>
      <c r="C150" s="2826"/>
      <c r="D150" s="2843" t="s">
        <v>611</v>
      </c>
      <c r="E150" s="2828"/>
      <c r="F150" s="2828"/>
      <c r="G150" s="1190">
        <v>80172.600000000006</v>
      </c>
      <c r="H150" s="1190"/>
      <c r="I150" s="1190">
        <v>24730.36</v>
      </c>
      <c r="J150" s="1190"/>
      <c r="K150" s="1190">
        <v>0</v>
      </c>
      <c r="L150" s="1190"/>
      <c r="M150" s="1190">
        <f t="shared" si="11"/>
        <v>0</v>
      </c>
      <c r="N150" s="1190"/>
      <c r="O150" s="1190">
        <v>0</v>
      </c>
      <c r="P150" s="2096"/>
      <c r="Q150" s="2818"/>
    </row>
    <row r="151" spans="2:17" s="2983" customFormat="1" ht="15.75">
      <c r="B151" s="2829">
        <v>22017</v>
      </c>
      <c r="C151" s="2844"/>
      <c r="D151" s="2845" t="s">
        <v>1245</v>
      </c>
      <c r="E151" s="2832"/>
      <c r="F151" s="2832"/>
      <c r="G151" s="1190">
        <v>0</v>
      </c>
      <c r="H151" s="1190"/>
      <c r="I151" s="1190">
        <v>0</v>
      </c>
      <c r="J151" s="1190"/>
      <c r="K151" s="1190">
        <v>0</v>
      </c>
      <c r="L151" s="1190"/>
      <c r="M151" s="1190">
        <f t="shared" si="11"/>
        <v>0</v>
      </c>
      <c r="N151" s="1190"/>
      <c r="O151" s="1190">
        <v>0</v>
      </c>
      <c r="P151" s="2096"/>
      <c r="Q151" s="2982"/>
    </row>
    <row r="152" spans="2:17" s="2807" customFormat="1" ht="15.75">
      <c r="B152" s="2813">
        <v>22032</v>
      </c>
      <c r="C152" s="2826"/>
      <c r="D152" s="2843" t="s">
        <v>612</v>
      </c>
      <c r="E152" s="2828"/>
      <c r="F152" s="2828"/>
      <c r="G152" s="1190">
        <v>11933396.880000001</v>
      </c>
      <c r="H152" s="1190"/>
      <c r="I152" s="1190">
        <v>6714410.6500000004</v>
      </c>
      <c r="J152" s="1190"/>
      <c r="K152" s="1190">
        <v>7172567.54</v>
      </c>
      <c r="L152" s="1190"/>
      <c r="M152" s="1190">
        <f t="shared" si="11"/>
        <v>1039262.52</v>
      </c>
      <c r="N152" s="1190"/>
      <c r="O152" s="1190">
        <v>8211830.0599999996</v>
      </c>
      <c r="P152" s="2096"/>
      <c r="Q152" s="2818"/>
    </row>
    <row r="153" spans="2:17" s="2807" customFormat="1" ht="15.75">
      <c r="B153" s="2813">
        <v>22034</v>
      </c>
      <c r="C153" s="2826"/>
      <c r="D153" s="2843" t="s">
        <v>613</v>
      </c>
      <c r="E153" s="2828"/>
      <c r="F153" s="2828"/>
      <c r="G153" s="1190">
        <v>0</v>
      </c>
      <c r="H153" s="1190"/>
      <c r="I153" s="1190">
        <v>0</v>
      </c>
      <c r="J153" s="1190"/>
      <c r="K153" s="1190">
        <v>0</v>
      </c>
      <c r="L153" s="1190"/>
      <c r="M153" s="1190">
        <f t="shared" si="11"/>
        <v>0</v>
      </c>
      <c r="N153" s="1190"/>
      <c r="O153" s="1190">
        <v>0</v>
      </c>
      <c r="P153" s="2096"/>
      <c r="Q153" s="2818"/>
    </row>
    <row r="154" spans="2:17" s="2807" customFormat="1" ht="15.75">
      <c r="B154" s="2813">
        <v>22036</v>
      </c>
      <c r="C154" s="2826"/>
      <c r="D154" s="2843" t="s">
        <v>614</v>
      </c>
      <c r="E154" s="2828"/>
      <c r="F154" s="2828"/>
      <c r="G154" s="1190">
        <v>0</v>
      </c>
      <c r="H154" s="1190"/>
      <c r="I154" s="1190">
        <v>0</v>
      </c>
      <c r="J154" s="1190"/>
      <c r="K154" s="1190">
        <v>0</v>
      </c>
      <c r="L154" s="1190"/>
      <c r="M154" s="1190">
        <f t="shared" si="11"/>
        <v>0</v>
      </c>
      <c r="N154" s="1190"/>
      <c r="O154" s="1190">
        <v>0</v>
      </c>
      <c r="P154" s="2096"/>
      <c r="Q154" s="2818"/>
    </row>
    <row r="155" spans="2:17" s="2807" customFormat="1" ht="15.75">
      <c r="B155" s="2813">
        <v>22039</v>
      </c>
      <c r="C155" s="2826"/>
      <c r="D155" s="2843" t="s">
        <v>615</v>
      </c>
      <c r="E155" s="2828"/>
      <c r="F155" s="2828"/>
      <c r="G155" s="1190">
        <v>624503.46</v>
      </c>
      <c r="H155" s="1190"/>
      <c r="I155" s="1190">
        <v>945726.19</v>
      </c>
      <c r="J155" s="1190"/>
      <c r="K155" s="1190">
        <v>263734.42</v>
      </c>
      <c r="L155" s="1190"/>
      <c r="M155" s="1190">
        <f t="shared" si="11"/>
        <v>298219.76</v>
      </c>
      <c r="N155" s="1190"/>
      <c r="O155" s="1190">
        <v>561954.18000000005</v>
      </c>
      <c r="P155" s="2096"/>
      <c r="Q155" s="2818"/>
    </row>
    <row r="156" spans="2:17" s="2807" customFormat="1" ht="15.75">
      <c r="B156" s="2813">
        <v>22046</v>
      </c>
      <c r="C156" s="2826"/>
      <c r="D156" s="2843" t="s">
        <v>616</v>
      </c>
      <c r="E156" s="2828"/>
      <c r="F156" s="2828"/>
      <c r="G156" s="1190">
        <v>106217812.06999999</v>
      </c>
      <c r="H156" s="1190"/>
      <c r="I156" s="1190">
        <v>107334924.2</v>
      </c>
      <c r="J156" s="1190"/>
      <c r="K156" s="1190">
        <v>107827945.86</v>
      </c>
      <c r="L156" s="1190"/>
      <c r="M156" s="1190">
        <f t="shared" si="11"/>
        <v>1054206.6299999999</v>
      </c>
      <c r="N156" s="1190"/>
      <c r="O156" s="1190">
        <v>108882152.48999999</v>
      </c>
      <c r="P156" s="2096"/>
      <c r="Q156" s="2818"/>
    </row>
    <row r="157" spans="2:17" s="2807" customFormat="1" ht="15.75">
      <c r="B157" s="2813">
        <v>22053</v>
      </c>
      <c r="C157" s="2826"/>
      <c r="D157" s="2843" t="s">
        <v>617</v>
      </c>
      <c r="E157" s="2828"/>
      <c r="F157" s="2828"/>
      <c r="G157" s="1190">
        <v>7218134.25</v>
      </c>
      <c r="H157" s="1190"/>
      <c r="I157" s="1190">
        <v>2865598.32</v>
      </c>
      <c r="J157" s="1190"/>
      <c r="K157" s="1190">
        <v>3071105.21</v>
      </c>
      <c r="L157" s="1190"/>
      <c r="M157" s="1190">
        <f t="shared" si="11"/>
        <v>631355.73</v>
      </c>
      <c r="N157" s="1190"/>
      <c r="O157" s="1190">
        <v>3702460.94</v>
      </c>
      <c r="P157" s="2096"/>
      <c r="Q157" s="2818"/>
    </row>
    <row r="158" spans="2:17" s="2807" customFormat="1" ht="15.75">
      <c r="B158" s="2813">
        <v>22054</v>
      </c>
      <c r="C158" s="2826"/>
      <c r="D158" s="2843" t="s">
        <v>618</v>
      </c>
      <c r="E158" s="2828"/>
      <c r="F158" s="2828"/>
      <c r="G158" s="1190">
        <v>0</v>
      </c>
      <c r="H158" s="1190"/>
      <c r="I158" s="1190">
        <v>0</v>
      </c>
      <c r="J158" s="1190"/>
      <c r="K158" s="1190">
        <v>0</v>
      </c>
      <c r="L158" s="1190"/>
      <c r="M158" s="1190">
        <f t="shared" si="11"/>
        <v>0</v>
      </c>
      <c r="N158" s="1190"/>
      <c r="O158" s="1190">
        <v>0</v>
      </c>
      <c r="P158" s="2096"/>
      <c r="Q158" s="2818"/>
    </row>
    <row r="159" spans="2:17" s="2807" customFormat="1" ht="15.75">
      <c r="B159" s="2813">
        <v>22055</v>
      </c>
      <c r="C159" s="2826"/>
      <c r="D159" s="2843" t="s">
        <v>619</v>
      </c>
      <c r="E159" s="2828"/>
      <c r="F159" s="2828"/>
      <c r="G159" s="1190">
        <v>39554266.479999997</v>
      </c>
      <c r="H159" s="1190"/>
      <c r="I159" s="1190">
        <v>44355803.18</v>
      </c>
      <c r="J159" s="1190"/>
      <c r="K159" s="1190">
        <v>47589092.649999999</v>
      </c>
      <c r="L159" s="1190"/>
      <c r="M159" s="1190">
        <f t="shared" si="11"/>
        <v>364620.35</v>
      </c>
      <c r="N159" s="1190"/>
      <c r="O159" s="1190">
        <v>47953713</v>
      </c>
      <c r="P159" s="2096"/>
      <c r="Q159" s="2818"/>
    </row>
    <row r="160" spans="2:17" s="2807" customFormat="1" ht="15.75">
      <c r="B160" s="2813">
        <v>22056</v>
      </c>
      <c r="C160" s="2826"/>
      <c r="D160" s="2843" t="s">
        <v>620</v>
      </c>
      <c r="E160" s="2828"/>
      <c r="F160" s="2828"/>
      <c r="G160" s="1190">
        <v>1922495.96</v>
      </c>
      <c r="H160" s="1190"/>
      <c r="I160" s="1190">
        <v>0</v>
      </c>
      <c r="J160" s="1190"/>
      <c r="K160" s="1190">
        <v>0</v>
      </c>
      <c r="L160" s="1190"/>
      <c r="M160" s="1190">
        <f t="shared" si="11"/>
        <v>0</v>
      </c>
      <c r="N160" s="1190"/>
      <c r="O160" s="1190">
        <v>0</v>
      </c>
      <c r="P160" s="2096" t="s">
        <v>1443</v>
      </c>
      <c r="Q160" s="2818" t="s">
        <v>14</v>
      </c>
    </row>
    <row r="161" spans="2:17" s="2807" customFormat="1" ht="15.75">
      <c r="B161" s="2813">
        <v>22062</v>
      </c>
      <c r="C161" s="2826"/>
      <c r="D161" s="2843" t="s">
        <v>621</v>
      </c>
      <c r="E161" s="2828"/>
      <c r="F161" s="2828"/>
      <c r="G161" s="1190">
        <v>0</v>
      </c>
      <c r="H161" s="1190"/>
      <c r="I161" s="1190">
        <v>0</v>
      </c>
      <c r="J161" s="1190"/>
      <c r="K161" s="1190">
        <v>0</v>
      </c>
      <c r="L161" s="1190"/>
      <c r="M161" s="1190">
        <f t="shared" si="11"/>
        <v>0</v>
      </c>
      <c r="N161" s="1190"/>
      <c r="O161" s="1190">
        <v>0</v>
      </c>
      <c r="P161" s="2096"/>
      <c r="Q161" s="2818"/>
    </row>
    <row r="162" spans="2:17" s="2807" customFormat="1" ht="15.75">
      <c r="B162" s="2813">
        <v>22063</v>
      </c>
      <c r="C162" s="2826"/>
      <c r="D162" s="2843" t="s">
        <v>622</v>
      </c>
      <c r="E162" s="2828"/>
      <c r="F162" s="2828"/>
      <c r="G162" s="1190">
        <v>0</v>
      </c>
      <c r="H162" s="1190"/>
      <c r="I162" s="1190">
        <v>0</v>
      </c>
      <c r="J162" s="1190"/>
      <c r="K162" s="1190">
        <v>0</v>
      </c>
      <c r="L162" s="1190"/>
      <c r="M162" s="1190">
        <f t="shared" si="11"/>
        <v>0</v>
      </c>
      <c r="N162" s="1190"/>
      <c r="O162" s="1190">
        <v>0</v>
      </c>
      <c r="P162" s="2096"/>
      <c r="Q162" s="2818"/>
    </row>
    <row r="163" spans="2:17" s="2807" customFormat="1" ht="15.75">
      <c r="B163" s="2813">
        <v>22078</v>
      </c>
      <c r="C163" s="2826"/>
      <c r="D163" s="2843" t="s">
        <v>623</v>
      </c>
      <c r="E163" s="2828"/>
      <c r="F163" s="2828"/>
      <c r="G163" s="1190">
        <v>0</v>
      </c>
      <c r="H163" s="1190"/>
      <c r="I163" s="1190">
        <v>0</v>
      </c>
      <c r="J163" s="1190"/>
      <c r="K163" s="1190">
        <v>0</v>
      </c>
      <c r="L163" s="1190"/>
      <c r="M163" s="1190">
        <f t="shared" si="11"/>
        <v>0</v>
      </c>
      <c r="N163" s="1190"/>
      <c r="O163" s="1190">
        <v>0</v>
      </c>
      <c r="P163" s="2096"/>
      <c r="Q163" s="2818"/>
    </row>
    <row r="164" spans="2:17" s="2807" customFormat="1" ht="15.75">
      <c r="B164" s="2813">
        <v>22085</v>
      </c>
      <c r="C164" s="2826"/>
      <c r="D164" s="2843" t="s">
        <v>624</v>
      </c>
      <c r="E164" s="2828"/>
      <c r="F164" s="2828"/>
      <c r="G164" s="1190">
        <v>4429773.41</v>
      </c>
      <c r="H164" s="1190"/>
      <c r="I164" s="1190">
        <v>4075800.49</v>
      </c>
      <c r="J164" s="1190"/>
      <c r="K164" s="1190">
        <v>0</v>
      </c>
      <c r="L164" s="1190"/>
      <c r="M164" s="1190">
        <f>ROUND(SUM(O164)-SUM(K164),2)</f>
        <v>0</v>
      </c>
      <c r="N164" s="1190"/>
      <c r="O164" s="1190">
        <v>0</v>
      </c>
      <c r="P164" s="2096"/>
      <c r="Q164" s="2818"/>
    </row>
    <row r="165" spans="2:17" s="2807" customFormat="1" ht="15.75">
      <c r="B165" s="2813">
        <v>22090</v>
      </c>
      <c r="C165" s="2826"/>
      <c r="D165" s="2843" t="s">
        <v>625</v>
      </c>
      <c r="E165" s="2828"/>
      <c r="F165" s="2828"/>
      <c r="G165" s="1190">
        <v>0</v>
      </c>
      <c r="H165" s="1190"/>
      <c r="I165" s="1190">
        <v>0</v>
      </c>
      <c r="J165" s="1190"/>
      <c r="K165" s="1190">
        <v>0</v>
      </c>
      <c r="L165" s="1190"/>
      <c r="M165" s="1190">
        <f t="shared" si="11"/>
        <v>0</v>
      </c>
      <c r="N165" s="1190"/>
      <c r="O165" s="1190">
        <v>0</v>
      </c>
      <c r="P165" s="2096"/>
      <c r="Q165" s="2818"/>
    </row>
    <row r="166" spans="2:17" s="2807" customFormat="1" ht="15.75">
      <c r="B166" s="2813">
        <v>22100</v>
      </c>
      <c r="C166" s="2826"/>
      <c r="D166" s="2843" t="s">
        <v>626</v>
      </c>
      <c r="E166" s="2828"/>
      <c r="F166" s="2828"/>
      <c r="G166" s="1190">
        <v>16515430.93</v>
      </c>
      <c r="H166" s="1190"/>
      <c r="I166" s="1190">
        <v>15117936.449999999</v>
      </c>
      <c r="J166" s="1190"/>
      <c r="K166" s="1190">
        <v>14256187.880000001</v>
      </c>
      <c r="L166" s="1190"/>
      <c r="M166" s="1190">
        <f t="shared" ref="M166:M183" si="15">ROUND(SUM(O166)-SUM(K166),2)</f>
        <v>320287.67</v>
      </c>
      <c r="N166" s="1190"/>
      <c r="O166" s="1190">
        <v>14576475.550000001</v>
      </c>
      <c r="P166" s="2096"/>
      <c r="Q166" s="2818"/>
    </row>
    <row r="167" spans="2:17" s="2807" customFormat="1" ht="15.75">
      <c r="B167" s="2813">
        <v>22130</v>
      </c>
      <c r="C167" s="2826"/>
      <c r="D167" s="2827" t="s">
        <v>627</v>
      </c>
      <c r="E167" s="2828"/>
      <c r="F167" s="2828"/>
      <c r="G167" s="1190">
        <v>0</v>
      </c>
      <c r="H167" s="1190"/>
      <c r="I167" s="1190">
        <v>0</v>
      </c>
      <c r="J167" s="1190"/>
      <c r="K167" s="1190">
        <v>0</v>
      </c>
      <c r="L167" s="1190"/>
      <c r="M167" s="1190">
        <f t="shared" si="15"/>
        <v>0</v>
      </c>
      <c r="N167" s="1190"/>
      <c r="O167" s="1190">
        <v>0</v>
      </c>
      <c r="P167" s="2096"/>
      <c r="Q167" s="2818"/>
    </row>
    <row r="168" spans="2:17" s="2807" customFormat="1" ht="15.75">
      <c r="B168" s="2813">
        <v>22135</v>
      </c>
      <c r="C168" s="2826"/>
      <c r="D168" s="2827" t="s">
        <v>628</v>
      </c>
      <c r="E168" s="2828"/>
      <c r="F168" s="2828"/>
      <c r="G168" s="1190">
        <v>0</v>
      </c>
      <c r="H168" s="1190"/>
      <c r="I168" s="1190">
        <v>0</v>
      </c>
      <c r="J168" s="1190"/>
      <c r="K168" s="1190">
        <v>0</v>
      </c>
      <c r="L168" s="1190"/>
      <c r="M168" s="1190">
        <f t="shared" si="15"/>
        <v>0</v>
      </c>
      <c r="N168" s="1190"/>
      <c r="O168" s="1190">
        <v>0</v>
      </c>
      <c r="P168" s="2096"/>
      <c r="Q168" s="2818"/>
    </row>
    <row r="169" spans="2:17" s="2807" customFormat="1" ht="15.75">
      <c r="B169" s="2813">
        <v>22144</v>
      </c>
      <c r="C169" s="2826"/>
      <c r="D169" s="2843" t="s">
        <v>629</v>
      </c>
      <c r="E169" s="2828"/>
      <c r="F169" s="2828"/>
      <c r="G169" s="1190">
        <v>0</v>
      </c>
      <c r="H169" s="1190"/>
      <c r="I169" s="1190">
        <v>0</v>
      </c>
      <c r="J169" s="1190"/>
      <c r="K169" s="1190">
        <v>0</v>
      </c>
      <c r="L169" s="1190"/>
      <c r="M169" s="1190">
        <f t="shared" si="15"/>
        <v>0</v>
      </c>
      <c r="N169" s="1190"/>
      <c r="O169" s="1190">
        <v>0</v>
      </c>
      <c r="P169" s="2096"/>
      <c r="Q169" s="2818"/>
    </row>
    <row r="170" spans="2:17" s="2807" customFormat="1" ht="15.75">
      <c r="B170" s="2813">
        <v>22151</v>
      </c>
      <c r="C170" s="2826"/>
      <c r="D170" s="2827" t="s">
        <v>630</v>
      </c>
      <c r="E170" s="2828"/>
      <c r="F170" s="2828"/>
      <c r="G170" s="1190">
        <v>85587.62</v>
      </c>
      <c r="H170" s="1190"/>
      <c r="I170" s="1190">
        <v>157170.78</v>
      </c>
      <c r="J170" s="1190"/>
      <c r="K170" s="1190">
        <v>212658.36</v>
      </c>
      <c r="L170" s="1190"/>
      <c r="M170" s="1190">
        <f t="shared" si="15"/>
        <v>55487.58</v>
      </c>
      <c r="N170" s="1190"/>
      <c r="O170" s="1190">
        <v>268145.94</v>
      </c>
      <c r="P170" s="2096"/>
      <c r="Q170" s="2818"/>
    </row>
    <row r="171" spans="2:17" s="2807" customFormat="1" ht="15.75">
      <c r="B171" s="2813">
        <v>22156</v>
      </c>
      <c r="C171" s="2826"/>
      <c r="D171" s="2827" t="s">
        <v>631</v>
      </c>
      <c r="E171" s="2828"/>
      <c r="F171" s="2828"/>
      <c r="G171" s="1190">
        <v>0</v>
      </c>
      <c r="H171" s="1190"/>
      <c r="I171" s="1190">
        <v>0</v>
      </c>
      <c r="J171" s="1190"/>
      <c r="K171" s="1190">
        <v>0</v>
      </c>
      <c r="L171" s="1190"/>
      <c r="M171" s="1190">
        <f t="shared" si="15"/>
        <v>0</v>
      </c>
      <c r="N171" s="1190"/>
      <c r="O171" s="1190">
        <v>0</v>
      </c>
      <c r="P171" s="2096"/>
      <c r="Q171" s="2818"/>
    </row>
    <row r="172" spans="2:17" s="2807" customFormat="1" ht="15.75">
      <c r="B172" s="2813">
        <v>22158</v>
      </c>
      <c r="C172" s="2826"/>
      <c r="D172" s="2843" t="s">
        <v>632</v>
      </c>
      <c r="E172" s="2828"/>
      <c r="F172" s="2828"/>
      <c r="G172" s="1190">
        <v>0</v>
      </c>
      <c r="H172" s="1190"/>
      <c r="I172" s="1190">
        <v>0</v>
      </c>
      <c r="J172" s="1190"/>
      <c r="K172" s="1190">
        <v>0</v>
      </c>
      <c r="L172" s="1190"/>
      <c r="M172" s="1190">
        <f t="shared" si="15"/>
        <v>0</v>
      </c>
      <c r="N172" s="1190"/>
      <c r="O172" s="1190">
        <v>0</v>
      </c>
      <c r="P172" s="2096"/>
      <c r="Q172" s="2818"/>
    </row>
    <row r="173" spans="2:17" s="2807" customFormat="1" ht="15.75">
      <c r="B173" s="2813">
        <v>22165</v>
      </c>
      <c r="C173" s="2826"/>
      <c r="D173" s="3752" t="s">
        <v>1480</v>
      </c>
      <c r="E173" s="2828"/>
      <c r="F173" s="2828"/>
      <c r="G173" s="1190">
        <v>0</v>
      </c>
      <c r="H173" s="1190"/>
      <c r="I173" s="1190">
        <v>0</v>
      </c>
      <c r="J173" s="1190"/>
      <c r="K173" s="1190">
        <v>0</v>
      </c>
      <c r="L173" s="1190"/>
      <c r="M173" s="1190">
        <f t="shared" ref="M173" si="16">ROUND(SUM(O173)-SUM(K173),2)</f>
        <v>0</v>
      </c>
      <c r="N173" s="1190"/>
      <c r="O173" s="1190">
        <v>0</v>
      </c>
      <c r="P173" s="2096"/>
      <c r="Q173" s="2818"/>
    </row>
    <row r="174" spans="2:17" s="2807" customFormat="1" ht="15.75">
      <c r="B174" s="2813">
        <v>22168</v>
      </c>
      <c r="C174" s="2826"/>
      <c r="D174" s="2843" t="s">
        <v>633</v>
      </c>
      <c r="E174" s="2828"/>
      <c r="F174" s="2828"/>
      <c r="G174" s="1190">
        <v>0</v>
      </c>
      <c r="H174" s="1190"/>
      <c r="I174" s="1190">
        <v>0</v>
      </c>
      <c r="J174" s="1190"/>
      <c r="K174" s="1190">
        <v>0</v>
      </c>
      <c r="L174" s="1190"/>
      <c r="M174" s="1190">
        <f t="shared" si="15"/>
        <v>0</v>
      </c>
      <c r="N174" s="1190"/>
      <c r="O174" s="1190">
        <v>0</v>
      </c>
      <c r="P174" s="2096"/>
      <c r="Q174" s="2818"/>
    </row>
    <row r="175" spans="2:17" s="2983" customFormat="1" ht="15.75">
      <c r="B175" s="2829">
        <v>22240</v>
      </c>
      <c r="C175" s="2844"/>
      <c r="D175" s="2845" t="s">
        <v>1246</v>
      </c>
      <c r="E175" s="2832"/>
      <c r="F175" s="2832"/>
      <c r="G175" s="1190">
        <v>2733377.04</v>
      </c>
      <c r="H175" s="1190">
        <v>0</v>
      </c>
      <c r="I175" s="1190">
        <v>1940976.66</v>
      </c>
      <c r="J175" s="1190">
        <v>0</v>
      </c>
      <c r="K175" s="1190">
        <v>2029814.45</v>
      </c>
      <c r="L175" s="1190">
        <v>0</v>
      </c>
      <c r="M175" s="1190">
        <f t="shared" si="15"/>
        <v>93495.38</v>
      </c>
      <c r="N175" s="1190">
        <v>0</v>
      </c>
      <c r="O175" s="1190">
        <v>2123309.83</v>
      </c>
      <c r="P175" s="2096"/>
      <c r="Q175" s="2982"/>
    </row>
    <row r="176" spans="2:17" s="2983" customFormat="1" ht="15.75">
      <c r="B176" s="2829">
        <v>22246</v>
      </c>
      <c r="C176" s="2844"/>
      <c r="D176" s="2845" t="s">
        <v>1358</v>
      </c>
      <c r="E176" s="2832"/>
      <c r="F176" s="2832"/>
      <c r="G176" s="1190">
        <v>0</v>
      </c>
      <c r="H176" s="1190">
        <v>0</v>
      </c>
      <c r="I176" s="1190">
        <v>0</v>
      </c>
      <c r="J176" s="1190">
        <v>0</v>
      </c>
      <c r="K176" s="1190">
        <v>0</v>
      </c>
      <c r="L176" s="1190">
        <v>0</v>
      </c>
      <c r="M176" s="1190">
        <v>0</v>
      </c>
      <c r="N176" s="1190">
        <v>0</v>
      </c>
      <c r="O176" s="1190">
        <v>0</v>
      </c>
      <c r="P176" s="2096"/>
      <c r="Q176" s="2982"/>
    </row>
    <row r="177" spans="2:18" s="2807" customFormat="1" ht="15.75">
      <c r="B177" s="2813">
        <v>22654</v>
      </c>
      <c r="C177" s="2826"/>
      <c r="D177" s="2827" t="s">
        <v>634</v>
      </c>
      <c r="E177" s="2828"/>
      <c r="F177" s="2828"/>
      <c r="G177" s="1190">
        <v>20690085.739999998</v>
      </c>
      <c r="H177" s="1190"/>
      <c r="I177" s="1190">
        <v>20692144.989999998</v>
      </c>
      <c r="J177" s="1190"/>
      <c r="K177" s="1190">
        <v>20695685.620000001</v>
      </c>
      <c r="L177" s="1190"/>
      <c r="M177" s="1190">
        <f t="shared" si="15"/>
        <v>6728.52</v>
      </c>
      <c r="N177" s="1190"/>
      <c r="O177" s="1190">
        <v>20702414.140000001</v>
      </c>
      <c r="P177" s="2096"/>
      <c r="Q177" s="2818"/>
    </row>
    <row r="178" spans="2:18" s="2807" customFormat="1" ht="15.75">
      <c r="B178" s="2813">
        <v>22751</v>
      </c>
      <c r="C178" s="2826"/>
      <c r="D178" s="2827" t="s">
        <v>1153</v>
      </c>
      <c r="E178" s="2828"/>
      <c r="F178" s="2828"/>
      <c r="G178" s="1190">
        <v>0</v>
      </c>
      <c r="H178" s="1190"/>
      <c r="I178" s="1190">
        <v>0</v>
      </c>
      <c r="J178" s="1190"/>
      <c r="K178" s="1190">
        <v>0</v>
      </c>
      <c r="L178" s="1190"/>
      <c r="M178" s="1190">
        <f>ROUND(SUM(O178)-SUM(K178),2)</f>
        <v>0</v>
      </c>
      <c r="N178" s="1190"/>
      <c r="O178" s="1190">
        <v>0</v>
      </c>
      <c r="P178" s="2096"/>
      <c r="Q178" s="2818"/>
    </row>
    <row r="179" spans="2:18" s="2807" customFormat="1" ht="15.75">
      <c r="B179" s="2813">
        <v>22802</v>
      </c>
      <c r="C179" s="2826"/>
      <c r="D179" s="2843" t="s">
        <v>635</v>
      </c>
      <c r="E179" s="2828"/>
      <c r="F179" s="2828"/>
      <c r="G179" s="1190">
        <v>0</v>
      </c>
      <c r="H179" s="1190"/>
      <c r="I179" s="1190">
        <v>0</v>
      </c>
      <c r="J179" s="1190"/>
      <c r="K179" s="1190">
        <v>0</v>
      </c>
      <c r="L179" s="1190"/>
      <c r="M179" s="1190">
        <f t="shared" si="15"/>
        <v>0</v>
      </c>
      <c r="N179" s="1190"/>
      <c r="O179" s="1190">
        <v>0</v>
      </c>
      <c r="P179" s="2096"/>
      <c r="Q179" s="2818"/>
    </row>
    <row r="180" spans="2:18" s="2807" customFormat="1" ht="15.75">
      <c r="B180" s="2813">
        <v>23001</v>
      </c>
      <c r="C180" s="2826"/>
      <c r="D180" s="2827" t="s">
        <v>636</v>
      </c>
      <c r="E180" s="2828"/>
      <c r="F180" s="2828"/>
      <c r="G180" s="1190">
        <v>19323155.190000001</v>
      </c>
      <c r="H180" s="1190"/>
      <c r="I180" s="1190">
        <v>19324897.199999999</v>
      </c>
      <c r="J180" s="1190"/>
      <c r="K180" s="1190">
        <v>19357141.300000001</v>
      </c>
      <c r="L180" s="1190"/>
      <c r="M180" s="1190">
        <f t="shared" si="15"/>
        <v>199759.89</v>
      </c>
      <c r="N180" s="1190"/>
      <c r="O180" s="1190">
        <v>19556901.190000001</v>
      </c>
      <c r="P180" s="2096"/>
      <c r="Q180" s="2818"/>
    </row>
    <row r="181" spans="2:18" s="2807" customFormat="1" ht="15.75">
      <c r="B181" s="2813">
        <v>23102</v>
      </c>
      <c r="C181" s="2826"/>
      <c r="D181" s="2843" t="s">
        <v>637</v>
      </c>
      <c r="E181" s="2828"/>
      <c r="F181" s="2828"/>
      <c r="G181" s="1190">
        <v>5350949.7</v>
      </c>
      <c r="H181" s="1190"/>
      <c r="I181" s="1190">
        <v>0</v>
      </c>
      <c r="J181" s="1190"/>
      <c r="K181" s="1190">
        <v>0</v>
      </c>
      <c r="L181" s="1190"/>
      <c r="M181" s="1190">
        <f t="shared" si="15"/>
        <v>0</v>
      </c>
      <c r="N181" s="1190"/>
      <c r="O181" s="1190">
        <v>0</v>
      </c>
      <c r="P181" s="2096"/>
      <c r="Q181" s="2818"/>
    </row>
    <row r="182" spans="2:18" s="2807" customFormat="1" ht="15.75">
      <c r="B182" s="2813">
        <v>23151</v>
      </c>
      <c r="C182" s="2826"/>
      <c r="D182" s="2827" t="s">
        <v>638</v>
      </c>
      <c r="E182" s="2828"/>
      <c r="F182" s="2828"/>
      <c r="G182" s="1190">
        <v>26458723.809999999</v>
      </c>
      <c r="H182" s="1190"/>
      <c r="I182" s="1190">
        <v>29788742.460000001</v>
      </c>
      <c r="J182" s="1190"/>
      <c r="K182" s="1190">
        <v>33309849.5</v>
      </c>
      <c r="L182" s="1190"/>
      <c r="M182" s="1190">
        <f t="shared" si="15"/>
        <v>2347556.54</v>
      </c>
      <c r="N182" s="1190"/>
      <c r="O182" s="1190">
        <v>35657406.039999999</v>
      </c>
      <c r="P182" s="2096"/>
      <c r="Q182" s="2818"/>
    </row>
    <row r="183" spans="2:18" s="2807" customFormat="1" ht="15.75">
      <c r="B183" s="2847">
        <v>23702</v>
      </c>
      <c r="C183" s="2826"/>
      <c r="D183" s="2843" t="s">
        <v>848</v>
      </c>
      <c r="E183" s="2828"/>
      <c r="F183" s="2828"/>
      <c r="G183" s="1190">
        <v>22429500.530000001</v>
      </c>
      <c r="H183" s="1190"/>
      <c r="I183" s="1190">
        <v>21782129.23</v>
      </c>
      <c r="J183" s="1190"/>
      <c r="K183" s="1190">
        <v>22088572.73</v>
      </c>
      <c r="L183" s="1190"/>
      <c r="M183" s="1190">
        <f t="shared" si="15"/>
        <v>312720.55</v>
      </c>
      <c r="N183" s="1190"/>
      <c r="O183" s="1190">
        <v>22401293.280000001</v>
      </c>
      <c r="P183" s="2096"/>
      <c r="Q183" s="2818"/>
    </row>
    <row r="184" spans="2:18" s="2807" customFormat="1" ht="15.75">
      <c r="B184" s="2847">
        <v>23801</v>
      </c>
      <c r="C184" s="2826"/>
      <c r="D184" s="2843" t="s">
        <v>1161</v>
      </c>
      <c r="E184" s="2828"/>
      <c r="F184" s="2828"/>
      <c r="G184" s="1190">
        <v>0</v>
      </c>
      <c r="H184" s="1190"/>
      <c r="I184" s="1190">
        <v>0</v>
      </c>
      <c r="J184" s="1190"/>
      <c r="K184" s="1190">
        <v>0</v>
      </c>
      <c r="L184" s="1190"/>
      <c r="M184" s="1190">
        <f>ROUND(SUM(O184)-SUM(K184),2)</f>
        <v>0</v>
      </c>
      <c r="N184" s="1190"/>
      <c r="O184" s="1190">
        <v>0</v>
      </c>
      <c r="P184" s="2824"/>
      <c r="Q184" s="2818"/>
    </row>
    <row r="185" spans="2:18" s="2807" customFormat="1" ht="15.75">
      <c r="B185" s="2847">
        <v>23806</v>
      </c>
      <c r="C185" s="2826"/>
      <c r="D185" s="2843" t="s">
        <v>1192</v>
      </c>
      <c r="E185" s="2828"/>
      <c r="F185" s="2828"/>
      <c r="G185" s="1190">
        <v>0</v>
      </c>
      <c r="H185" s="1190"/>
      <c r="I185" s="1190">
        <v>0</v>
      </c>
      <c r="J185" s="1190"/>
      <c r="K185" s="1190">
        <v>0</v>
      </c>
      <c r="L185" s="1190"/>
      <c r="M185" s="1190">
        <f t="shared" ref="M185:M187" si="17">ROUND(SUM(O185)-SUM(K185),2)</f>
        <v>0</v>
      </c>
      <c r="N185" s="1190"/>
      <c r="O185" s="1190">
        <v>0</v>
      </c>
      <c r="P185" s="2824"/>
      <c r="Q185" s="2818"/>
    </row>
    <row r="186" spans="2:18" s="2807" customFormat="1" ht="15.75">
      <c r="B186" s="2847">
        <v>24800</v>
      </c>
      <c r="C186" s="2826"/>
      <c r="D186" s="3752" t="s">
        <v>1498</v>
      </c>
      <c r="E186" s="2828"/>
      <c r="F186" s="2828"/>
      <c r="G186" s="1190">
        <v>0</v>
      </c>
      <c r="H186" s="1190"/>
      <c r="I186" s="1190">
        <v>0</v>
      </c>
      <c r="J186" s="1190"/>
      <c r="K186" s="1190">
        <v>0</v>
      </c>
      <c r="L186" s="1190"/>
      <c r="M186" s="1190">
        <v>0</v>
      </c>
      <c r="N186" s="1190"/>
      <c r="O186" s="1190">
        <v>0</v>
      </c>
      <c r="P186" s="2824"/>
      <c r="Q186" s="2818"/>
    </row>
    <row r="187" spans="2:18" s="2807" customFormat="1" ht="15.75">
      <c r="B187" s="2847">
        <v>24951</v>
      </c>
      <c r="C187" s="2826"/>
      <c r="D187" s="2843" t="s">
        <v>1193</v>
      </c>
      <c r="E187" s="2828"/>
      <c r="F187" s="2828"/>
      <c r="G187" s="1190">
        <v>33267.86</v>
      </c>
      <c r="H187" s="1190"/>
      <c r="I187" s="1190">
        <v>60419.33</v>
      </c>
      <c r="J187" s="1190"/>
      <c r="K187" s="1190">
        <v>60419.33</v>
      </c>
      <c r="L187" s="1190"/>
      <c r="M187" s="1190">
        <f t="shared" si="17"/>
        <v>0</v>
      </c>
      <c r="N187" s="1190"/>
      <c r="O187" s="1190">
        <v>60419.33</v>
      </c>
      <c r="P187" s="2824"/>
      <c r="Q187" s="2818"/>
    </row>
    <row r="188" spans="2:18" s="2807" customFormat="1" ht="16.5" thickBot="1">
      <c r="B188" s="2834"/>
      <c r="C188" s="2809"/>
      <c r="D188" s="2820" t="s">
        <v>639</v>
      </c>
      <c r="E188" s="2811"/>
      <c r="F188" s="2811"/>
      <c r="G188" s="1535">
        <f>ROUND(SUM(G105:G187),2)</f>
        <v>1153115699.3099999</v>
      </c>
      <c r="H188" s="2067"/>
      <c r="I188" s="1535">
        <f>ROUND(SUM(I105:I187),2)</f>
        <v>407439429.08999997</v>
      </c>
      <c r="J188" s="2067"/>
      <c r="K188" s="1535">
        <f>ROUND(SUM(K105:K187),2)</f>
        <v>458897569.63999999</v>
      </c>
      <c r="L188" s="2457"/>
      <c r="M188" s="1535">
        <f>ROUND(SUM(M105:M187),2)</f>
        <v>52346034.909999996</v>
      </c>
      <c r="N188" s="2457"/>
      <c r="O188" s="1535">
        <f>ROUND(SUM(O105:O187),2)</f>
        <v>511243604.55000001</v>
      </c>
      <c r="P188" s="2824"/>
      <c r="Q188" s="2818"/>
    </row>
    <row r="189" spans="2:18" s="2807" customFormat="1" ht="16.5" thickTop="1">
      <c r="B189" s="2848"/>
      <c r="C189" s="2836"/>
      <c r="D189" s="2849"/>
      <c r="E189" s="2826"/>
      <c r="F189" s="2826"/>
      <c r="G189" s="1190"/>
      <c r="H189" s="3004"/>
      <c r="I189" s="2096"/>
      <c r="J189" s="3004"/>
      <c r="K189" s="2096"/>
      <c r="L189" s="3004"/>
      <c r="M189" s="1190"/>
      <c r="N189" s="3004"/>
      <c r="O189" s="2096"/>
      <c r="P189" s="2824"/>
      <c r="Q189" s="2818"/>
    </row>
    <row r="190" spans="2:18" s="2807" customFormat="1" ht="15.75">
      <c r="B190" s="2848"/>
      <c r="C190" s="2809"/>
      <c r="D190" s="2820" t="s">
        <v>640</v>
      </c>
      <c r="E190" s="2811"/>
      <c r="F190" s="2811"/>
      <c r="G190" s="1190"/>
      <c r="H190" s="3004"/>
      <c r="I190" s="2096"/>
      <c r="J190" s="3004"/>
      <c r="K190" s="2096"/>
      <c r="L190" s="3004"/>
      <c r="M190" s="1191"/>
      <c r="N190" s="3402"/>
      <c r="O190" s="2096"/>
      <c r="P190" s="2824"/>
      <c r="Q190" s="2982"/>
      <c r="R190" s="2983"/>
    </row>
    <row r="191" spans="2:18" s="2983" customFormat="1" ht="15.75">
      <c r="B191" s="2852" t="s">
        <v>641</v>
      </c>
      <c r="C191" s="3826"/>
      <c r="D191" s="2846" t="s">
        <v>642</v>
      </c>
      <c r="E191" s="2981"/>
      <c r="F191" s="2981"/>
      <c r="G191" s="3827">
        <v>74330548.239999995</v>
      </c>
      <c r="H191" s="1190"/>
      <c r="I191" s="3827">
        <v>44051911.579999998</v>
      </c>
      <c r="J191" s="1190"/>
      <c r="K191" s="3827">
        <v>67417046</v>
      </c>
      <c r="L191" s="1190"/>
      <c r="M191" s="1190">
        <f>ROUND(SUM(O191)-SUM(K191),2)</f>
        <v>228341716.03</v>
      </c>
      <c r="N191" s="1190"/>
      <c r="O191" s="3827">
        <v>295758762.03000003</v>
      </c>
      <c r="P191" s="2824"/>
      <c r="Q191" s="2982"/>
    </row>
    <row r="192" spans="2:18" s="2983" customFormat="1" ht="15.75">
      <c r="B192" s="2852" t="s">
        <v>643</v>
      </c>
      <c r="C192" s="3826"/>
      <c r="D192" s="2846" t="s">
        <v>644</v>
      </c>
      <c r="E192" s="2981"/>
      <c r="F192" s="2981"/>
      <c r="G192" s="3827">
        <v>160568884.03</v>
      </c>
      <c r="H192" s="1190"/>
      <c r="I192" s="3827">
        <v>2423004687.2999997</v>
      </c>
      <c r="J192" s="1190"/>
      <c r="K192" s="3827">
        <v>4004336343.7299991</v>
      </c>
      <c r="L192" s="1190"/>
      <c r="M192" s="1190">
        <f t="shared" ref="M192:M194" si="18">ROUND(SUM(O192)-SUM(K192),2)</f>
        <v>-3138125466.1199999</v>
      </c>
      <c r="N192" s="1190"/>
      <c r="O192" s="3827">
        <v>866210877.61000001</v>
      </c>
      <c r="P192" s="2824"/>
      <c r="Q192" s="2982"/>
    </row>
    <row r="193" spans="2:18" s="2983" customFormat="1" ht="15.75">
      <c r="B193" s="2852" t="s">
        <v>645</v>
      </c>
      <c r="C193" s="3826"/>
      <c r="D193" s="2845" t="s">
        <v>646</v>
      </c>
      <c r="E193" s="2981"/>
      <c r="F193" s="2981"/>
      <c r="G193" s="3827">
        <v>142989427.91999999</v>
      </c>
      <c r="H193" s="1190"/>
      <c r="I193" s="3827">
        <v>48124237.219999991</v>
      </c>
      <c r="J193" s="1190"/>
      <c r="K193" s="3827">
        <v>64628659.729999997</v>
      </c>
      <c r="L193" s="1190"/>
      <c r="M193" s="1190">
        <f t="shared" si="18"/>
        <v>19749100.41</v>
      </c>
      <c r="N193" s="1190"/>
      <c r="O193" s="3827">
        <v>84377760.139999986</v>
      </c>
      <c r="P193" s="2824"/>
      <c r="Q193" s="2982"/>
    </row>
    <row r="194" spans="2:18" s="2983" customFormat="1" ht="15.75">
      <c r="B194" s="2852" t="s">
        <v>647</v>
      </c>
      <c r="C194" s="2845"/>
      <c r="D194" s="2846" t="s">
        <v>648</v>
      </c>
      <c r="E194" s="2981"/>
      <c r="F194" s="2981"/>
      <c r="G194" s="3827">
        <v>482093640.47000003</v>
      </c>
      <c r="H194" s="1190"/>
      <c r="I194" s="3827">
        <v>516787821.75</v>
      </c>
      <c r="J194" s="1190"/>
      <c r="K194" s="3827">
        <v>506190918.08999997</v>
      </c>
      <c r="L194" s="1190"/>
      <c r="M194" s="1190">
        <f t="shared" si="18"/>
        <v>-3277374.13</v>
      </c>
      <c r="N194" s="1190"/>
      <c r="O194" s="3827">
        <v>502913543.9600001</v>
      </c>
      <c r="P194" s="2824"/>
      <c r="Q194" s="2982"/>
    </row>
    <row r="195" spans="2:18" s="2983" customFormat="1" ht="15.75">
      <c r="B195" s="2829">
        <v>31351</v>
      </c>
      <c r="C195" s="2845"/>
      <c r="D195" s="2846" t="s">
        <v>649</v>
      </c>
      <c r="E195" s="2981"/>
      <c r="F195" s="2981"/>
      <c r="G195" s="3729">
        <v>8753932.6600000001</v>
      </c>
      <c r="I195" s="3729">
        <v>8753932.6600000001</v>
      </c>
      <c r="K195" s="3729">
        <v>8753932.6600000001</v>
      </c>
      <c r="L195" s="1190"/>
      <c r="M195" s="1190">
        <f t="shared" ref="M195" si="19">ROUND(SUM(O195)-SUM(K195),2)</f>
        <v>0</v>
      </c>
      <c r="N195" s="1190"/>
      <c r="O195" s="3890">
        <v>8753932.6600000001</v>
      </c>
      <c r="P195" s="2838"/>
      <c r="Q195" s="2982"/>
    </row>
    <row r="196" spans="2:18" s="2983" customFormat="1" ht="15.75">
      <c r="B196" s="2749">
        <v>31354</v>
      </c>
      <c r="C196" s="2984"/>
      <c r="D196" s="2831" t="s">
        <v>650</v>
      </c>
      <c r="E196" s="2981"/>
      <c r="F196" s="2981"/>
      <c r="G196" s="3729">
        <v>807337289.77999997</v>
      </c>
      <c r="I196" s="3729">
        <v>708803366.50999999</v>
      </c>
      <c r="K196" s="3729">
        <v>765079197.52999997</v>
      </c>
      <c r="L196" s="1190"/>
      <c r="M196" s="1190">
        <f>ROUND(SUM(O196)-SUM(K196),2)</f>
        <v>-370555857.14999998</v>
      </c>
      <c r="N196" s="1190"/>
      <c r="O196" s="3890">
        <v>394523340.38499999</v>
      </c>
      <c r="P196" s="2850"/>
      <c r="Q196" s="2982"/>
    </row>
    <row r="197" spans="2:18" s="2983" customFormat="1" ht="15.75">
      <c r="B197" s="2985" t="s">
        <v>651</v>
      </c>
      <c r="C197" s="2844"/>
      <c r="D197" s="2846" t="s">
        <v>652</v>
      </c>
      <c r="E197" s="2981"/>
      <c r="F197" s="2981"/>
      <c r="G197" s="3729">
        <v>101439192.29999992</v>
      </c>
      <c r="H197" s="1190" t="s">
        <v>14</v>
      </c>
      <c r="I197" s="3729">
        <v>99177045.789999932</v>
      </c>
      <c r="J197" s="1190" t="s">
        <v>14</v>
      </c>
      <c r="K197" s="3729">
        <v>90899732.659999818</v>
      </c>
      <c r="L197" s="1190"/>
      <c r="M197" s="1190">
        <f>ROUND(SUM(O197)-SUM(K197),2)</f>
        <v>2142977.9</v>
      </c>
      <c r="N197" s="1190"/>
      <c r="O197" s="3729">
        <v>93042710.560000092</v>
      </c>
      <c r="P197" s="2986"/>
      <c r="Q197" s="2982"/>
    </row>
    <row r="198" spans="2:18" s="2983" customFormat="1" ht="15.75">
      <c r="B198" s="3828" t="s">
        <v>849</v>
      </c>
      <c r="C198" s="2844"/>
      <c r="D198" s="2846" t="s">
        <v>850</v>
      </c>
      <c r="E198" s="3829"/>
      <c r="F198" s="3829"/>
      <c r="G198" s="3729">
        <v>71419852.579999998</v>
      </c>
      <c r="H198" s="1190"/>
      <c r="I198" s="3729">
        <v>60503210.93</v>
      </c>
      <c r="J198" s="1190"/>
      <c r="K198" s="3729">
        <v>60834059.759999998</v>
      </c>
      <c r="L198" s="1190"/>
      <c r="M198" s="1190">
        <f>ROUND(SUM(O198)-SUM(K198),2)</f>
        <v>-137324.82999999999</v>
      </c>
      <c r="N198" s="1190"/>
      <c r="O198" s="3729">
        <v>60696734.93</v>
      </c>
      <c r="P198" s="2852"/>
      <c r="Q198" s="2982"/>
    </row>
    <row r="199" spans="2:18" s="2983" customFormat="1" ht="15.75">
      <c r="B199" s="2853">
        <v>25950</v>
      </c>
      <c r="C199" s="2844"/>
      <c r="D199" s="2846" t="s">
        <v>653</v>
      </c>
      <c r="E199" s="2854"/>
      <c r="F199" s="2854"/>
      <c r="G199" s="3729">
        <v>497563.72</v>
      </c>
      <c r="I199" s="3729">
        <v>546129.73</v>
      </c>
      <c r="K199" s="3729">
        <v>425193.73</v>
      </c>
      <c r="L199" s="1190"/>
      <c r="M199" s="1190">
        <f>ROUND(SUM(O199)-SUM(K199),2)</f>
        <v>-62422</v>
      </c>
      <c r="N199" s="1190"/>
      <c r="O199" s="3729">
        <v>362771.73</v>
      </c>
      <c r="P199" s="2852"/>
      <c r="Q199" s="2982"/>
    </row>
    <row r="200" spans="2:18" s="2983" customFormat="1" ht="15.75">
      <c r="B200" s="3828" t="s">
        <v>1138</v>
      </c>
      <c r="C200" s="2844"/>
      <c r="D200" s="2845" t="s">
        <v>851</v>
      </c>
      <c r="E200" s="3829"/>
      <c r="F200" s="3829"/>
      <c r="G200" s="2096">
        <v>5392798.9900000002</v>
      </c>
      <c r="H200" s="1190"/>
      <c r="I200" s="2096">
        <v>1542957.13</v>
      </c>
      <c r="J200" s="1190"/>
      <c r="K200" s="2096">
        <v>12811943.359999999</v>
      </c>
      <c r="L200" s="1190"/>
      <c r="M200" s="1190">
        <f t="shared" ref="M200" si="20">ROUND(SUM(O200)-SUM(K200),2)</f>
        <v>-702255.37</v>
      </c>
      <c r="N200" s="1190"/>
      <c r="O200" s="2096">
        <v>12109687.99</v>
      </c>
      <c r="P200" s="2852"/>
      <c r="Q200" s="2982"/>
    </row>
    <row r="201" spans="2:18" s="2807" customFormat="1" ht="16.5" thickBot="1">
      <c r="B201" s="2855"/>
      <c r="C201" s="2821"/>
      <c r="D201" s="2820" t="s">
        <v>654</v>
      </c>
      <c r="E201" s="2822"/>
      <c r="F201" s="2822"/>
      <c r="G201" s="1535">
        <f>ROUND(SUM(G191:G200),2)</f>
        <v>1854823130.6900001</v>
      </c>
      <c r="H201" s="2067"/>
      <c r="I201" s="1535">
        <f>ROUND(SUM(I191:I200),2)</f>
        <v>3911295300.5999999</v>
      </c>
      <c r="J201" s="2067"/>
      <c r="K201" s="1535">
        <f>ROUND(SUM(K191:K200),2)</f>
        <v>5581377027.25</v>
      </c>
      <c r="L201" s="2457"/>
      <c r="M201" s="1192">
        <f>ROUND(SUM(M191:M200),2)</f>
        <v>-3262626905.2600002</v>
      </c>
      <c r="N201" s="2457"/>
      <c r="O201" s="1535">
        <f>ROUND(SUM(O191:O200),2)</f>
        <v>2318750122</v>
      </c>
      <c r="P201" s="2850" t="s">
        <v>111</v>
      </c>
      <c r="Q201" s="2982"/>
      <c r="R201" s="2983"/>
    </row>
    <row r="202" spans="2:18" s="2807" customFormat="1" ht="16.5" thickTop="1">
      <c r="B202" s="2834"/>
      <c r="C202" s="2821"/>
      <c r="D202" s="2832"/>
      <c r="E202" s="2822"/>
      <c r="F202" s="2822"/>
      <c r="G202" s="1191"/>
      <c r="H202" s="3402"/>
      <c r="I202" s="2856"/>
      <c r="J202" s="3402"/>
      <c r="K202" s="2856"/>
      <c r="L202" s="3402"/>
      <c r="M202" s="1191"/>
      <c r="N202" s="3402"/>
      <c r="O202" s="2856"/>
      <c r="P202" s="2985"/>
      <c r="Q202" s="2982"/>
      <c r="R202" s="2983"/>
    </row>
    <row r="203" spans="2:18" s="2807" customFormat="1" ht="15.75">
      <c r="B203" s="2848"/>
      <c r="C203" s="2821"/>
      <c r="D203" s="2810" t="s">
        <v>655</v>
      </c>
      <c r="E203" s="2822"/>
      <c r="F203" s="2822"/>
      <c r="G203" s="1190"/>
      <c r="H203" s="3004"/>
      <c r="I203" s="2096"/>
      <c r="J203" s="3004"/>
      <c r="K203" s="2096"/>
      <c r="L203" s="3004"/>
      <c r="M203" s="1191"/>
      <c r="N203" s="3402"/>
      <c r="O203" s="2096"/>
      <c r="P203" s="2857"/>
      <c r="Q203" s="2818"/>
    </row>
    <row r="204" spans="2:18" s="2807" customFormat="1" ht="15.75">
      <c r="B204" s="2829">
        <v>60201</v>
      </c>
      <c r="C204" s="2809"/>
      <c r="D204" s="2827" t="s">
        <v>656</v>
      </c>
      <c r="E204" s="2822"/>
      <c r="F204" s="2822"/>
      <c r="G204" s="1190">
        <v>0</v>
      </c>
      <c r="H204" s="1190"/>
      <c r="I204" s="1190">
        <v>0</v>
      </c>
      <c r="J204" s="1190"/>
      <c r="K204" s="1190">
        <v>0</v>
      </c>
      <c r="L204" s="1190"/>
      <c r="M204" s="1190">
        <f>ROUND(SUM(O204)-SUM(K204),2)</f>
        <v>0</v>
      </c>
      <c r="N204" s="1190"/>
      <c r="O204" s="1190">
        <v>0</v>
      </c>
      <c r="P204" s="2857"/>
      <c r="Q204" s="2818"/>
    </row>
    <row r="205" spans="2:18" s="2807" customFormat="1" ht="15.75">
      <c r="B205" s="2813">
        <v>60901</v>
      </c>
      <c r="C205" s="2826"/>
      <c r="D205" s="2843" t="s">
        <v>872</v>
      </c>
      <c r="E205" s="2828"/>
      <c r="F205" s="2828"/>
      <c r="G205" s="1190">
        <v>0</v>
      </c>
      <c r="H205" s="1190"/>
      <c r="I205" s="1190">
        <v>0</v>
      </c>
      <c r="J205" s="1190"/>
      <c r="K205" s="1190">
        <v>0</v>
      </c>
      <c r="L205" s="1190"/>
      <c r="M205" s="1190">
        <f>ROUND(SUM(O205)-SUM(K205),2)</f>
        <v>0</v>
      </c>
      <c r="N205" s="1190"/>
      <c r="O205" s="1190">
        <v>0</v>
      </c>
      <c r="P205" s="2857"/>
      <c r="Q205" s="2818" t="s">
        <v>14</v>
      </c>
    </row>
    <row r="206" spans="2:18" s="2807" customFormat="1" ht="16.5" thickBot="1">
      <c r="B206" s="2847"/>
      <c r="C206" s="2809"/>
      <c r="D206" s="2810" t="s">
        <v>657</v>
      </c>
      <c r="E206" s="2822"/>
      <c r="F206" s="2822"/>
      <c r="G206" s="1535">
        <f>ROUND(SUM(G204:G205),2)</f>
        <v>0</v>
      </c>
      <c r="H206" s="2067"/>
      <c r="I206" s="1538">
        <f>ROUND(SUM(I204:I205),2)</f>
        <v>0</v>
      </c>
      <c r="J206" s="2067"/>
      <c r="K206" s="1538">
        <f>ROUND(SUM(K204:K205),2)</f>
        <v>0</v>
      </c>
      <c r="L206" s="2067"/>
      <c r="M206" s="1192">
        <f>ROUND(SUM(M204:M205),2)</f>
        <v>0</v>
      </c>
      <c r="N206" s="2067"/>
      <c r="O206" s="1538">
        <f>ROUND(SUM(O204:O205),2)</f>
        <v>0</v>
      </c>
      <c r="P206" s="2824"/>
      <c r="Q206" s="2818"/>
    </row>
    <row r="207" spans="2:18" s="2807" customFormat="1" ht="16.5" thickTop="1">
      <c r="B207" s="2847"/>
      <c r="C207" s="2858"/>
      <c r="D207" s="2858"/>
      <c r="E207" s="2859"/>
      <c r="F207" s="2859"/>
      <c r="G207" s="1190"/>
      <c r="H207" s="3004"/>
      <c r="I207" s="2096"/>
      <c r="J207" s="3004"/>
      <c r="K207" s="2096"/>
      <c r="L207" s="3004"/>
      <c r="M207" s="1190"/>
      <c r="N207" s="3004"/>
      <c r="O207" s="2096"/>
      <c r="P207" s="2824"/>
      <c r="Q207" s="2818"/>
    </row>
    <row r="208" spans="2:18" s="2807" customFormat="1" ht="15.75">
      <c r="B208" s="2847"/>
      <c r="C208" s="2835"/>
      <c r="D208" s="2810" t="s">
        <v>658</v>
      </c>
      <c r="E208" s="2840"/>
      <c r="F208" s="2840"/>
      <c r="G208" s="1190"/>
      <c r="H208" s="3004"/>
      <c r="I208" s="2096"/>
      <c r="J208" s="3004"/>
      <c r="K208" s="2096"/>
      <c r="L208" s="3004"/>
      <c r="M208" s="1193"/>
      <c r="N208" s="3906"/>
      <c r="O208" s="2096"/>
      <c r="P208" s="2985"/>
      <c r="Q208" s="2818"/>
    </row>
    <row r="209" spans="2:17" s="2807" customFormat="1" ht="15.75">
      <c r="B209" s="2813">
        <v>50318</v>
      </c>
      <c r="C209" s="2836"/>
      <c r="D209" s="2845" t="s">
        <v>659</v>
      </c>
      <c r="E209" s="2812"/>
      <c r="F209" s="2812"/>
      <c r="G209" s="1190">
        <v>1239665.2</v>
      </c>
      <c r="H209" s="1190"/>
      <c r="I209" s="1190">
        <v>629078.62</v>
      </c>
      <c r="J209" s="1190"/>
      <c r="K209" s="1190">
        <v>518963.01</v>
      </c>
      <c r="L209" s="1190"/>
      <c r="M209" s="1190">
        <f>ROUND(SUM(O209)-SUM(K209),2)</f>
        <v>4501.51</v>
      </c>
      <c r="N209" s="1190"/>
      <c r="O209" s="1190">
        <v>523464.52</v>
      </c>
      <c r="P209" s="2857"/>
      <c r="Q209" s="2818"/>
    </row>
    <row r="210" spans="2:17" s="2807" customFormat="1" ht="15.75">
      <c r="B210" s="2813">
        <v>50327</v>
      </c>
      <c r="C210" s="2836"/>
      <c r="D210" s="2845" t="s">
        <v>1149</v>
      </c>
      <c r="E210" s="2812"/>
      <c r="F210" s="2812"/>
      <c r="G210" s="1190">
        <v>340347.32</v>
      </c>
      <c r="H210" s="1190"/>
      <c r="I210" s="1190">
        <v>362500.05</v>
      </c>
      <c r="J210" s="1190"/>
      <c r="K210" s="1190">
        <v>358339.23</v>
      </c>
      <c r="L210" s="1190"/>
      <c r="M210" s="1190">
        <f>ROUND(SUM(O210)-SUM(K210),2)</f>
        <v>27714.080000000002</v>
      </c>
      <c r="N210" s="1190"/>
      <c r="O210" s="1190">
        <v>386053.31</v>
      </c>
      <c r="P210" s="2857"/>
      <c r="Q210" s="2818"/>
    </row>
    <row r="211" spans="2:17" s="2807" customFormat="1" ht="16.5" thickBot="1">
      <c r="B211" s="2860"/>
      <c r="C211" s="2809"/>
      <c r="D211" s="2820" t="s">
        <v>660</v>
      </c>
      <c r="E211" s="2811"/>
      <c r="F211" s="2811"/>
      <c r="G211" s="1535">
        <f>ROUND(SUM(G209:G210),2)</f>
        <v>1580012.52</v>
      </c>
      <c r="H211" s="2067"/>
      <c r="I211" s="3509">
        <f>ROUND(SUM(I209:I210),2)</f>
        <v>991578.67</v>
      </c>
      <c r="J211" s="2067"/>
      <c r="K211" s="3509">
        <f>ROUND(SUM(K209:K210),2)</f>
        <v>877302.24</v>
      </c>
      <c r="L211" s="2067"/>
      <c r="M211" s="3907">
        <f>ROUND(SUM(M209:M210),2)</f>
        <v>32215.59</v>
      </c>
      <c r="N211" s="2067"/>
      <c r="O211" s="3509">
        <f>ROUND(SUM(O209:O210),2)</f>
        <v>909517.83</v>
      </c>
      <c r="P211" s="2838"/>
      <c r="Q211" s="2818"/>
    </row>
    <row r="212" spans="2:17" s="2807" customFormat="1" ht="16.5" thickTop="1">
      <c r="B212" s="2836"/>
      <c r="C212" s="2836"/>
      <c r="D212" s="2861"/>
      <c r="E212" s="2812"/>
      <c r="F212" s="2812"/>
      <c r="G212" s="3908"/>
      <c r="H212" s="3908"/>
      <c r="I212" s="2096"/>
      <c r="J212" s="3908"/>
      <c r="K212" s="2096"/>
      <c r="L212" s="3908"/>
      <c r="M212" s="3908"/>
      <c r="N212" s="3908"/>
      <c r="O212" s="2096"/>
      <c r="P212" s="2855"/>
      <c r="Q212" s="2818"/>
    </row>
    <row r="213" spans="2:17" s="2807" customFormat="1" ht="15.75">
      <c r="B213" s="2808"/>
      <c r="C213" s="2809"/>
      <c r="D213" s="2810" t="s">
        <v>217</v>
      </c>
      <c r="E213" s="2811"/>
      <c r="F213" s="2811"/>
      <c r="G213" s="3004"/>
      <c r="H213" s="3004"/>
      <c r="I213" s="3508"/>
      <c r="J213" s="3004"/>
      <c r="K213" s="3508"/>
      <c r="L213" s="3004"/>
      <c r="M213" s="3402"/>
      <c r="N213" s="3402"/>
      <c r="O213" s="3508"/>
      <c r="P213" s="3403"/>
      <c r="Q213" s="2818"/>
    </row>
    <row r="214" spans="2:17" s="2807" customFormat="1" ht="15.75">
      <c r="B214" s="2813">
        <v>55001</v>
      </c>
      <c r="C214" s="2836"/>
      <c r="D214" s="2845" t="s">
        <v>1426</v>
      </c>
      <c r="E214" s="2812"/>
      <c r="F214" s="2812"/>
      <c r="G214" s="1190">
        <v>0</v>
      </c>
      <c r="H214" s="1190"/>
      <c r="I214" s="1190">
        <v>0</v>
      </c>
      <c r="J214" s="1190"/>
      <c r="K214" s="1190">
        <v>0</v>
      </c>
      <c r="L214" s="1190"/>
      <c r="M214" s="1190">
        <f t="shared" ref="M214:M257" si="21">ROUND(SUM(O214)-SUM(K214),2)</f>
        <v>0</v>
      </c>
      <c r="N214" s="1190"/>
      <c r="O214" s="1190">
        <v>0</v>
      </c>
      <c r="P214" s="2817"/>
      <c r="Q214" s="2818"/>
    </row>
    <row r="215" spans="2:17" s="2807" customFormat="1" ht="15.75">
      <c r="B215" s="2813">
        <v>55002</v>
      </c>
      <c r="C215" s="2836"/>
      <c r="D215" s="2845" t="s">
        <v>1427</v>
      </c>
      <c r="E215" s="2812"/>
      <c r="F215" s="2812"/>
      <c r="G215" s="1190">
        <v>0</v>
      </c>
      <c r="H215" s="1190"/>
      <c r="I215" s="1190">
        <v>0</v>
      </c>
      <c r="J215" s="1190"/>
      <c r="K215" s="1190">
        <v>0</v>
      </c>
      <c r="L215" s="1190"/>
      <c r="M215" s="1190">
        <f>ROUND(SUM(O215)-SUM(K215),2)</f>
        <v>0</v>
      </c>
      <c r="N215" s="1190"/>
      <c r="O215" s="1190">
        <v>0</v>
      </c>
      <c r="P215" s="2817"/>
      <c r="Q215" s="2818"/>
    </row>
    <row r="216" spans="2:17" s="2807" customFormat="1" ht="15.75">
      <c r="B216" s="2813">
        <v>55003</v>
      </c>
      <c r="C216" s="2826"/>
      <c r="D216" s="2845" t="s">
        <v>661</v>
      </c>
      <c r="E216" s="2828"/>
      <c r="F216" s="2828"/>
      <c r="G216" s="1190">
        <v>780364.66</v>
      </c>
      <c r="H216" s="1190"/>
      <c r="I216" s="1190">
        <v>609225.32999999996</v>
      </c>
      <c r="J216" s="1190"/>
      <c r="K216" s="1190">
        <v>451381.58</v>
      </c>
      <c r="L216" s="1190"/>
      <c r="M216" s="1190">
        <f t="shared" si="21"/>
        <v>-18810.939999999999</v>
      </c>
      <c r="N216" s="1190"/>
      <c r="O216" s="1190">
        <v>432570.64</v>
      </c>
      <c r="P216" s="2824"/>
      <c r="Q216" s="2818"/>
    </row>
    <row r="217" spans="2:17" s="2807" customFormat="1" ht="15.75">
      <c r="B217" s="2813">
        <v>55004</v>
      </c>
      <c r="C217" s="2844"/>
      <c r="D217" s="2862" t="s">
        <v>662</v>
      </c>
      <c r="E217" s="2832"/>
      <c r="F217" s="2832"/>
      <c r="G217" s="1190">
        <v>0</v>
      </c>
      <c r="H217" s="1190"/>
      <c r="I217" s="1190">
        <v>121579.49</v>
      </c>
      <c r="J217" s="1190"/>
      <c r="K217" s="1190">
        <v>0</v>
      </c>
      <c r="L217" s="1190"/>
      <c r="M217" s="1190">
        <f t="shared" si="21"/>
        <v>0</v>
      </c>
      <c r="N217" s="1190"/>
      <c r="O217" s="1190">
        <v>0</v>
      </c>
      <c r="P217" s="2824"/>
      <c r="Q217" s="2818"/>
    </row>
    <row r="218" spans="2:17" s="2807" customFormat="1" ht="15.75">
      <c r="B218" s="2813">
        <v>55005</v>
      </c>
      <c r="C218" s="2844"/>
      <c r="D218" s="2862" t="s">
        <v>1428</v>
      </c>
      <c r="E218" s="2832"/>
      <c r="F218" s="2832"/>
      <c r="G218" s="1190">
        <v>0</v>
      </c>
      <c r="H218" s="1190"/>
      <c r="I218" s="1190">
        <v>0</v>
      </c>
      <c r="J218" s="1190"/>
      <c r="K218" s="1190">
        <v>0</v>
      </c>
      <c r="L218" s="1190"/>
      <c r="M218" s="1190">
        <f>ROUND(SUM(O218)-SUM(K218),2)</f>
        <v>0</v>
      </c>
      <c r="N218" s="1190"/>
      <c r="O218" s="1190">
        <v>0</v>
      </c>
      <c r="P218" s="2824"/>
      <c r="Q218" s="2818"/>
    </row>
    <row r="219" spans="2:17" s="2807" customFormat="1" ht="15.75">
      <c r="B219" s="2813">
        <v>55006</v>
      </c>
      <c r="C219" s="2844"/>
      <c r="D219" s="2845" t="s">
        <v>663</v>
      </c>
      <c r="E219" s="2832"/>
      <c r="F219" s="2832"/>
      <c r="G219" s="1190">
        <v>62467.55</v>
      </c>
      <c r="H219" s="1190"/>
      <c r="I219" s="1190">
        <v>65626.289999999994</v>
      </c>
      <c r="J219" s="1190"/>
      <c r="K219" s="1190">
        <v>55879.4</v>
      </c>
      <c r="L219" s="1190"/>
      <c r="M219" s="1190">
        <f t="shared" si="21"/>
        <v>10455.81</v>
      </c>
      <c r="N219" s="1190"/>
      <c r="O219" s="1190">
        <v>66335.210000000006</v>
      </c>
      <c r="P219" s="2824"/>
      <c r="Q219" s="2818"/>
    </row>
    <row r="220" spans="2:17" s="2807" customFormat="1" ht="15.75">
      <c r="B220" s="2813">
        <v>55007</v>
      </c>
      <c r="C220" s="2841"/>
      <c r="D220" s="2814" t="s">
        <v>664</v>
      </c>
      <c r="E220" s="2842"/>
      <c r="F220" s="2842"/>
      <c r="G220" s="1190">
        <v>686420.26</v>
      </c>
      <c r="H220" s="1190"/>
      <c r="I220" s="1190">
        <v>1095571.8</v>
      </c>
      <c r="J220" s="1190"/>
      <c r="K220" s="1190">
        <v>958495.82</v>
      </c>
      <c r="L220" s="1190"/>
      <c r="M220" s="1190">
        <f t="shared" si="21"/>
        <v>68475.09</v>
      </c>
      <c r="N220" s="1190"/>
      <c r="O220" s="1190">
        <v>1026970.91</v>
      </c>
      <c r="P220" s="2817"/>
      <c r="Q220" s="2818"/>
    </row>
    <row r="221" spans="2:17" s="2807" customFormat="1" ht="15.75">
      <c r="B221" s="2813">
        <v>55008</v>
      </c>
      <c r="C221" s="2826"/>
      <c r="D221" s="2846" t="s">
        <v>665</v>
      </c>
      <c r="E221" s="2828"/>
      <c r="F221" s="2828"/>
      <c r="G221" s="1190">
        <v>20625495.120000001</v>
      </c>
      <c r="H221" s="1190"/>
      <c r="I221" s="1190">
        <v>5074070.7599999905</v>
      </c>
      <c r="J221" s="1190"/>
      <c r="K221" s="1190">
        <v>14549932.439999999</v>
      </c>
      <c r="L221" s="1190"/>
      <c r="M221" s="1190">
        <f t="shared" si="21"/>
        <v>2568021.0699999998</v>
      </c>
      <c r="N221" s="1190"/>
      <c r="O221" s="1190">
        <v>17117953.510000002</v>
      </c>
      <c r="P221" s="2838"/>
      <c r="Q221" s="2818"/>
    </row>
    <row r="222" spans="2:17" s="2807" customFormat="1" ht="15.75">
      <c r="B222" s="2813">
        <v>55009</v>
      </c>
      <c r="C222" s="2826"/>
      <c r="D222" s="2846" t="s">
        <v>1429</v>
      </c>
      <c r="E222" s="2828"/>
      <c r="F222" s="2828"/>
      <c r="G222" s="1190">
        <v>0</v>
      </c>
      <c r="H222" s="1190"/>
      <c r="I222" s="1190">
        <v>0</v>
      </c>
      <c r="J222" s="1190"/>
      <c r="K222" s="1190">
        <v>0</v>
      </c>
      <c r="L222" s="1190"/>
      <c r="M222" s="1190">
        <f>ROUND(SUM(O222)-SUM(K222),2)</f>
        <v>0</v>
      </c>
      <c r="N222" s="1190"/>
      <c r="O222" s="1190">
        <v>0</v>
      </c>
      <c r="P222" s="2838"/>
      <c r="Q222" s="2818"/>
    </row>
    <row r="223" spans="2:17" s="2807" customFormat="1" ht="15.75">
      <c r="B223" s="2770">
        <v>55010</v>
      </c>
      <c r="C223" s="2826"/>
      <c r="D223" s="2845" t="s">
        <v>873</v>
      </c>
      <c r="E223" s="2828"/>
      <c r="F223" s="2828"/>
      <c r="G223" s="1190">
        <v>13827190.859999999</v>
      </c>
      <c r="H223" s="1190"/>
      <c r="I223" s="1190">
        <v>11909916.390000001</v>
      </c>
      <c r="J223" s="1190"/>
      <c r="K223" s="1190">
        <v>12301635.5</v>
      </c>
      <c r="L223" s="1190"/>
      <c r="M223" s="1190">
        <f t="shared" si="21"/>
        <v>621083.42000000004</v>
      </c>
      <c r="N223" s="1190"/>
      <c r="O223" s="1190">
        <v>12922718.92</v>
      </c>
      <c r="P223" s="3403"/>
      <c r="Q223" s="2818"/>
    </row>
    <row r="224" spans="2:17" s="2807" customFormat="1" ht="15.75">
      <c r="B224" s="2813">
        <v>55011</v>
      </c>
      <c r="C224" s="2841"/>
      <c r="D224" s="2814" t="s">
        <v>666</v>
      </c>
      <c r="E224" s="2842"/>
      <c r="F224" s="2842"/>
      <c r="G224" s="1190">
        <v>6309304.0599999996</v>
      </c>
      <c r="H224" s="1190"/>
      <c r="I224" s="1190">
        <v>6712937.1299999999</v>
      </c>
      <c r="J224" s="1190"/>
      <c r="K224" s="1190">
        <v>3071127.51</v>
      </c>
      <c r="L224" s="1190"/>
      <c r="M224" s="1190">
        <f t="shared" si="21"/>
        <v>528010.27</v>
      </c>
      <c r="N224" s="1190"/>
      <c r="O224" s="1190">
        <v>3599137.78</v>
      </c>
      <c r="P224" s="2824"/>
      <c r="Q224" s="2818"/>
    </row>
    <row r="225" spans="2:17" s="2807" customFormat="1" ht="15.75">
      <c r="B225" s="2813">
        <v>55012</v>
      </c>
      <c r="C225" s="2826"/>
      <c r="D225" s="2827" t="s">
        <v>667</v>
      </c>
      <c r="E225" s="2828"/>
      <c r="F225" s="2828"/>
      <c r="G225" s="1190">
        <v>199529.36</v>
      </c>
      <c r="H225" s="1190"/>
      <c r="I225" s="1190">
        <v>185905.36</v>
      </c>
      <c r="J225" s="1190"/>
      <c r="K225" s="1190">
        <v>177265.36</v>
      </c>
      <c r="L225" s="1190"/>
      <c r="M225" s="1190">
        <f t="shared" si="21"/>
        <v>29406</v>
      </c>
      <c r="N225" s="1190"/>
      <c r="O225" s="1190">
        <v>206671.35999999999</v>
      </c>
      <c r="P225" s="2824"/>
      <c r="Q225" s="2818"/>
    </row>
    <row r="226" spans="2:17" s="2807" customFormat="1" ht="15.75">
      <c r="B226" s="2813">
        <v>55013</v>
      </c>
      <c r="C226" s="2826"/>
      <c r="D226" s="2827" t="s">
        <v>1430</v>
      </c>
      <c r="E226" s="2828"/>
      <c r="F226" s="2828"/>
      <c r="G226" s="1190">
        <v>0</v>
      </c>
      <c r="H226" s="1190"/>
      <c r="I226" s="1190">
        <v>0</v>
      </c>
      <c r="J226" s="1190"/>
      <c r="K226" s="1190">
        <v>0</v>
      </c>
      <c r="L226" s="1190"/>
      <c r="M226" s="1190">
        <f>ROUND(SUM(O226)-SUM(K226),2)</f>
        <v>0</v>
      </c>
      <c r="N226" s="1190"/>
      <c r="O226" s="1190">
        <v>0</v>
      </c>
      <c r="P226" s="2824"/>
      <c r="Q226" s="2818"/>
    </row>
    <row r="227" spans="2:17" s="2807" customFormat="1" ht="15.75">
      <c r="B227" s="2813">
        <v>55014</v>
      </c>
      <c r="C227" s="2826"/>
      <c r="D227" s="2827" t="s">
        <v>1431</v>
      </c>
      <c r="E227" s="2828"/>
      <c r="F227" s="2828"/>
      <c r="G227" s="1190">
        <v>0</v>
      </c>
      <c r="H227" s="1190"/>
      <c r="I227" s="1190">
        <v>0</v>
      </c>
      <c r="J227" s="1190"/>
      <c r="K227" s="1190">
        <v>0</v>
      </c>
      <c r="L227" s="1190"/>
      <c r="M227" s="1190">
        <f>ROUND(SUM(O227)-SUM(K227),2)</f>
        <v>0</v>
      </c>
      <c r="N227" s="1190"/>
      <c r="O227" s="1190">
        <v>0</v>
      </c>
      <c r="P227" s="2824"/>
      <c r="Q227" s="2818"/>
    </row>
    <row r="228" spans="2:17" s="2807" customFormat="1" ht="15.75">
      <c r="B228" s="2813">
        <v>55015</v>
      </c>
      <c r="C228" s="2826"/>
      <c r="D228" s="2827" t="s">
        <v>1432</v>
      </c>
      <c r="E228" s="2828"/>
      <c r="F228" s="2828"/>
      <c r="G228" s="1190">
        <v>0</v>
      </c>
      <c r="H228" s="1190"/>
      <c r="I228" s="1190">
        <v>0</v>
      </c>
      <c r="J228" s="1190"/>
      <c r="K228" s="1190">
        <v>0</v>
      </c>
      <c r="L228" s="1190"/>
      <c r="M228" s="1190">
        <f>ROUND(SUM(O228)-SUM(K228),2)</f>
        <v>0</v>
      </c>
      <c r="N228" s="1190"/>
      <c r="O228" s="1190">
        <v>0</v>
      </c>
      <c r="P228" s="2824"/>
      <c r="Q228" s="2818"/>
    </row>
    <row r="229" spans="2:17" s="2807" customFormat="1" ht="15.75">
      <c r="B229" s="2813">
        <v>55016</v>
      </c>
      <c r="C229" s="2826"/>
      <c r="D229" s="2843" t="s">
        <v>668</v>
      </c>
      <c r="E229" s="2828"/>
      <c r="F229" s="2828"/>
      <c r="G229" s="1190">
        <v>1264418.02</v>
      </c>
      <c r="H229" s="1190"/>
      <c r="I229" s="1190">
        <v>967070.25</v>
      </c>
      <c r="J229" s="1190"/>
      <c r="K229" s="1190">
        <v>779751.09</v>
      </c>
      <c r="L229" s="1190"/>
      <c r="M229" s="1190">
        <f t="shared" si="21"/>
        <v>-33933.68</v>
      </c>
      <c r="N229" s="1190"/>
      <c r="O229" s="1190">
        <v>745817.41</v>
      </c>
      <c r="P229" s="2824"/>
      <c r="Q229" s="2818"/>
    </row>
    <row r="230" spans="2:17" s="2807" customFormat="1" ht="15.75">
      <c r="B230" s="2813">
        <v>55017</v>
      </c>
      <c r="C230" s="2826"/>
      <c r="D230" s="2843" t="s">
        <v>669</v>
      </c>
      <c r="E230" s="2828"/>
      <c r="F230" s="2828"/>
      <c r="G230" s="1190">
        <v>363293.03</v>
      </c>
      <c r="H230" s="1190"/>
      <c r="I230" s="1190">
        <v>452149.95</v>
      </c>
      <c r="J230" s="1190"/>
      <c r="K230" s="1190">
        <v>395121.16</v>
      </c>
      <c r="L230" s="1190"/>
      <c r="M230" s="1190">
        <f t="shared" si="21"/>
        <v>81381.899999999994</v>
      </c>
      <c r="N230" s="1190"/>
      <c r="O230" s="1190">
        <v>476503.06</v>
      </c>
      <c r="P230" s="2824"/>
      <c r="Q230" s="2818"/>
    </row>
    <row r="231" spans="2:17" s="2807" customFormat="1" ht="15.75">
      <c r="B231" s="2813">
        <v>55018</v>
      </c>
      <c r="C231" s="2826"/>
      <c r="D231" s="2843" t="s">
        <v>1433</v>
      </c>
      <c r="E231" s="2828"/>
      <c r="F231" s="2828"/>
      <c r="G231" s="1190">
        <v>0</v>
      </c>
      <c r="H231" s="1190"/>
      <c r="I231" s="1190">
        <v>0</v>
      </c>
      <c r="J231" s="1190"/>
      <c r="K231" s="1190">
        <v>0</v>
      </c>
      <c r="L231" s="1190"/>
      <c r="M231" s="1190">
        <f>ROUND(SUM(O231)-SUM(K231),2)</f>
        <v>0</v>
      </c>
      <c r="N231" s="1190"/>
      <c r="O231" s="1190">
        <v>0</v>
      </c>
      <c r="P231" s="2824"/>
      <c r="Q231" s="2818"/>
    </row>
    <row r="232" spans="2:17" s="2807" customFormat="1" ht="15.75">
      <c r="B232" s="2813">
        <v>55019</v>
      </c>
      <c r="C232" s="2826"/>
      <c r="D232" s="2843" t="s">
        <v>1434</v>
      </c>
      <c r="E232" s="2828"/>
      <c r="F232" s="2828"/>
      <c r="G232" s="1190">
        <v>0</v>
      </c>
      <c r="H232" s="1190"/>
      <c r="I232" s="1190">
        <v>0</v>
      </c>
      <c r="J232" s="1190"/>
      <c r="K232" s="1190">
        <v>0</v>
      </c>
      <c r="L232" s="1190"/>
      <c r="M232" s="1190">
        <f>ROUND(SUM(O232)-SUM(K232),2)</f>
        <v>0</v>
      </c>
      <c r="N232" s="1190"/>
      <c r="O232" s="1190">
        <v>0</v>
      </c>
      <c r="P232" s="2824"/>
      <c r="Q232" s="2818"/>
    </row>
    <row r="233" spans="2:17" s="2807" customFormat="1" ht="15.75">
      <c r="B233" s="2813">
        <v>55020</v>
      </c>
      <c r="C233" s="2826"/>
      <c r="D233" s="2843" t="s">
        <v>670</v>
      </c>
      <c r="E233" s="2828"/>
      <c r="F233" s="2828"/>
      <c r="G233" s="1190">
        <v>61244053.450000003</v>
      </c>
      <c r="H233" s="1190"/>
      <c r="I233" s="1190">
        <v>16531695.57</v>
      </c>
      <c r="J233" s="1190"/>
      <c r="K233" s="1190">
        <v>13136377.65</v>
      </c>
      <c r="L233" s="1190"/>
      <c r="M233" s="1190">
        <f t="shared" si="21"/>
        <v>-1521676.39</v>
      </c>
      <c r="N233" s="1190"/>
      <c r="O233" s="1190">
        <v>11614701.26</v>
      </c>
      <c r="P233" s="2824"/>
      <c r="Q233" s="2818"/>
    </row>
    <row r="234" spans="2:17" s="2807" customFormat="1" ht="15.75">
      <c r="B234" s="2813">
        <v>55021</v>
      </c>
      <c r="C234" s="2826"/>
      <c r="D234" s="2843" t="s">
        <v>671</v>
      </c>
      <c r="E234" s="2828"/>
      <c r="F234" s="2828"/>
      <c r="G234" s="1190">
        <v>14325585.619999999</v>
      </c>
      <c r="H234" s="1190"/>
      <c r="I234" s="1190">
        <v>9512549.9399999995</v>
      </c>
      <c r="J234" s="1190"/>
      <c r="K234" s="1190">
        <v>8493121.6600000001</v>
      </c>
      <c r="L234" s="1190"/>
      <c r="M234" s="1190">
        <f t="shared" si="21"/>
        <v>373464.71</v>
      </c>
      <c r="N234" s="1190"/>
      <c r="O234" s="1190">
        <v>8866586.3699999992</v>
      </c>
      <c r="P234" s="2824"/>
      <c r="Q234" s="2818"/>
    </row>
    <row r="235" spans="2:17" s="2807" customFormat="1" ht="15.75">
      <c r="B235" s="2813">
        <v>55022</v>
      </c>
      <c r="C235" s="2826"/>
      <c r="D235" s="2827" t="s">
        <v>672</v>
      </c>
      <c r="E235" s="2828"/>
      <c r="F235" s="2828"/>
      <c r="G235" s="1190">
        <v>26606275.460000001</v>
      </c>
      <c r="H235" s="1190"/>
      <c r="I235" s="1190">
        <v>30119286.620000001</v>
      </c>
      <c r="J235" s="1190"/>
      <c r="K235" s="1190">
        <v>32228071.02</v>
      </c>
      <c r="L235" s="1190"/>
      <c r="M235" s="1190">
        <f t="shared" si="21"/>
        <v>2135437.59</v>
      </c>
      <c r="N235" s="1190"/>
      <c r="O235" s="1190">
        <v>34363508.609999999</v>
      </c>
      <c r="P235" s="2824"/>
      <c r="Q235" s="2818"/>
    </row>
    <row r="236" spans="2:17" s="2807" customFormat="1" ht="15.75">
      <c r="B236" s="2813">
        <v>55052</v>
      </c>
      <c r="C236" s="2826"/>
      <c r="D236" s="2827" t="s">
        <v>673</v>
      </c>
      <c r="E236" s="2828"/>
      <c r="F236" s="2828"/>
      <c r="G236" s="1190">
        <v>199095.8</v>
      </c>
      <c r="H236" s="1190"/>
      <c r="I236" s="1190">
        <v>252018.38</v>
      </c>
      <c r="J236" s="1190"/>
      <c r="K236" s="1190">
        <v>336711.34</v>
      </c>
      <c r="L236" s="1190"/>
      <c r="M236" s="1190">
        <f t="shared" si="21"/>
        <v>-61589.51</v>
      </c>
      <c r="N236" s="1190"/>
      <c r="O236" s="1190">
        <v>275121.83</v>
      </c>
      <c r="P236" s="2824"/>
      <c r="Q236" s="2818"/>
    </row>
    <row r="237" spans="2:17" s="2807" customFormat="1" ht="15.75">
      <c r="B237" s="2813">
        <v>55053</v>
      </c>
      <c r="C237" s="2826"/>
      <c r="D237" s="2843" t="s">
        <v>674</v>
      </c>
      <c r="E237" s="2828"/>
      <c r="F237" s="2828"/>
      <c r="G237" s="1190">
        <v>0</v>
      </c>
      <c r="H237" s="1190"/>
      <c r="I237" s="1190">
        <v>0</v>
      </c>
      <c r="J237" s="1190"/>
      <c r="K237" s="1190">
        <v>0</v>
      </c>
      <c r="L237" s="1190"/>
      <c r="M237" s="1190">
        <f t="shared" si="21"/>
        <v>0</v>
      </c>
      <c r="N237" s="1190"/>
      <c r="O237" s="1190">
        <v>0</v>
      </c>
      <c r="P237" s="2824"/>
      <c r="Q237" s="2818"/>
    </row>
    <row r="238" spans="2:17" s="2807" customFormat="1" ht="15.75">
      <c r="B238" s="3750">
        <v>55055</v>
      </c>
      <c r="C238" s="3751"/>
      <c r="D238" s="3752" t="s">
        <v>1359</v>
      </c>
      <c r="E238" s="2828"/>
      <c r="F238" s="2828"/>
      <c r="G238" s="1190">
        <v>0</v>
      </c>
      <c r="H238" s="1190"/>
      <c r="I238" s="1190">
        <v>0</v>
      </c>
      <c r="J238" s="1190"/>
      <c r="K238" s="1190">
        <v>0</v>
      </c>
      <c r="L238" s="1190"/>
      <c r="M238" s="1190">
        <f t="shared" ref="M238" si="22">ROUND(SUM(O238)-SUM(K238),2)</f>
        <v>0</v>
      </c>
      <c r="N238" s="1190"/>
      <c r="O238" s="1190">
        <v>0</v>
      </c>
      <c r="P238" s="2824"/>
      <c r="Q238" s="2818"/>
    </row>
    <row r="239" spans="2:17" s="2807" customFormat="1" ht="15.75">
      <c r="B239" s="2813">
        <v>55056</v>
      </c>
      <c r="C239" s="2826"/>
      <c r="D239" s="2843" t="s">
        <v>675</v>
      </c>
      <c r="E239" s="2828"/>
      <c r="F239" s="2828"/>
      <c r="G239" s="1190">
        <v>0</v>
      </c>
      <c r="H239" s="1190"/>
      <c r="I239" s="1190">
        <v>0</v>
      </c>
      <c r="J239" s="1190"/>
      <c r="K239" s="1190">
        <v>0</v>
      </c>
      <c r="L239" s="1190"/>
      <c r="M239" s="1190">
        <f t="shared" si="21"/>
        <v>0</v>
      </c>
      <c r="N239" s="1190"/>
      <c r="O239" s="1190">
        <v>0</v>
      </c>
      <c r="P239" s="2824"/>
      <c r="Q239" s="2818"/>
    </row>
    <row r="240" spans="2:17" s="2807" customFormat="1" ht="15.75">
      <c r="B240" s="2813">
        <v>55057</v>
      </c>
      <c r="C240" s="2826"/>
      <c r="D240" s="2843" t="s">
        <v>676</v>
      </c>
      <c r="E240" s="2828"/>
      <c r="F240" s="2828"/>
      <c r="G240" s="1190">
        <v>3974.2000000000698</v>
      </c>
      <c r="H240" s="1190"/>
      <c r="I240" s="1190">
        <v>0</v>
      </c>
      <c r="J240" s="1190"/>
      <c r="K240" s="1190">
        <v>16858.470000000099</v>
      </c>
      <c r="L240" s="1190"/>
      <c r="M240" s="1190">
        <f t="shared" si="21"/>
        <v>488695.2</v>
      </c>
      <c r="N240" s="1190"/>
      <c r="O240" s="1190">
        <v>505553.67</v>
      </c>
      <c r="P240" s="2824"/>
      <c r="Q240" s="2818"/>
    </row>
    <row r="241" spans="2:17" s="2807" customFormat="1" ht="15.75">
      <c r="B241" s="2813">
        <v>55058</v>
      </c>
      <c r="C241" s="2826"/>
      <c r="D241" s="2843" t="s">
        <v>677</v>
      </c>
      <c r="E241" s="2828"/>
      <c r="F241" s="2828"/>
      <c r="G241" s="1190">
        <v>1640659.4</v>
      </c>
      <c r="H241" s="1190"/>
      <c r="I241" s="1190">
        <v>1942034.64</v>
      </c>
      <c r="J241" s="1190"/>
      <c r="K241" s="1190">
        <v>2137766.9300000002</v>
      </c>
      <c r="L241" s="1190"/>
      <c r="M241" s="1190">
        <f t="shared" si="21"/>
        <v>295268.21999999997</v>
      </c>
      <c r="N241" s="1190"/>
      <c r="O241" s="1190">
        <v>2433035.15</v>
      </c>
      <c r="P241" s="2824"/>
      <c r="Q241" s="2818"/>
    </row>
    <row r="242" spans="2:17" s="2807" customFormat="1" ht="15.75">
      <c r="B242" s="2813">
        <v>55059</v>
      </c>
      <c r="C242" s="2826"/>
      <c r="D242" s="2845" t="s">
        <v>1152</v>
      </c>
      <c r="E242" s="2828"/>
      <c r="F242" s="2828"/>
      <c r="G242" s="1190">
        <v>11688131.630000001</v>
      </c>
      <c r="H242" s="1190"/>
      <c r="I242" s="1190">
        <v>10852178.32</v>
      </c>
      <c r="J242" s="1190"/>
      <c r="K242" s="1190">
        <v>10837160.57</v>
      </c>
      <c r="L242" s="1190"/>
      <c r="M242" s="1190">
        <f t="shared" ref="M242" si="23">ROUND(SUM(O242)-SUM(K242),2)</f>
        <v>-121112.77</v>
      </c>
      <c r="N242" s="1190"/>
      <c r="O242" s="1190">
        <v>10716047.800000001</v>
      </c>
      <c r="P242" s="2824"/>
      <c r="Q242" s="2818"/>
    </row>
    <row r="243" spans="2:17" s="2807" customFormat="1" ht="15.75">
      <c r="B243" s="2813">
        <v>55060</v>
      </c>
      <c r="C243" s="2826"/>
      <c r="D243" s="2827" t="s">
        <v>678</v>
      </c>
      <c r="E243" s="2828"/>
      <c r="F243" s="2828"/>
      <c r="G243" s="1190">
        <v>0</v>
      </c>
      <c r="H243" s="1190"/>
      <c r="I243" s="1190">
        <v>39262.81</v>
      </c>
      <c r="J243" s="1190"/>
      <c r="K243" s="1190">
        <v>1361373.72</v>
      </c>
      <c r="L243" s="1190"/>
      <c r="M243" s="1190">
        <f t="shared" si="21"/>
        <v>1151004.3999999999</v>
      </c>
      <c r="N243" s="1190"/>
      <c r="O243" s="1190">
        <v>2512378.12</v>
      </c>
      <c r="P243" s="2824"/>
      <c r="Q243" s="2818"/>
    </row>
    <row r="244" spans="2:17" s="2807" customFormat="1" ht="15.75">
      <c r="B244" s="2813">
        <v>55061</v>
      </c>
      <c r="C244" s="2826"/>
      <c r="D244" s="2827" t="s">
        <v>679</v>
      </c>
      <c r="E244" s="2828"/>
      <c r="F244" s="2828"/>
      <c r="G244" s="1190">
        <v>0</v>
      </c>
      <c r="H244" s="1190"/>
      <c r="I244" s="1190">
        <v>0</v>
      </c>
      <c r="J244" s="1190"/>
      <c r="K244" s="1190">
        <v>0</v>
      </c>
      <c r="L244" s="1190"/>
      <c r="M244" s="1190">
        <f t="shared" si="21"/>
        <v>0</v>
      </c>
      <c r="N244" s="1190"/>
      <c r="O244" s="1190">
        <v>0</v>
      </c>
      <c r="P244" s="2824"/>
      <c r="Q244" s="2818"/>
    </row>
    <row r="245" spans="2:17" s="2807" customFormat="1" ht="15.75">
      <c r="B245" s="2813">
        <v>55062</v>
      </c>
      <c r="C245" s="2826"/>
      <c r="D245" s="2843" t="s">
        <v>680</v>
      </c>
      <c r="E245" s="2828"/>
      <c r="F245" s="2828"/>
      <c r="G245" s="1190">
        <v>73907291.010000005</v>
      </c>
      <c r="H245" s="1190"/>
      <c r="I245" s="1190">
        <v>32170138.010000002</v>
      </c>
      <c r="J245" s="1190"/>
      <c r="K245" s="1190">
        <v>32170138.010000002</v>
      </c>
      <c r="L245" s="1190"/>
      <c r="M245" s="1190">
        <f t="shared" si="21"/>
        <v>-402311.43</v>
      </c>
      <c r="N245" s="1190"/>
      <c r="O245" s="1190">
        <v>31767826.579999998</v>
      </c>
      <c r="P245" s="2824"/>
      <c r="Q245" s="2818"/>
    </row>
    <row r="246" spans="2:17" s="2807" customFormat="1" ht="15.75">
      <c r="B246" s="2813">
        <v>55066</v>
      </c>
      <c r="C246" s="2826"/>
      <c r="D246" s="2843" t="s">
        <v>681</v>
      </c>
      <c r="E246" s="2828"/>
      <c r="F246" s="2828"/>
      <c r="G246" s="1190">
        <v>1261584.27</v>
      </c>
      <c r="H246" s="1190"/>
      <c r="I246" s="1190">
        <v>1261584.27</v>
      </c>
      <c r="J246" s="1190"/>
      <c r="K246" s="1190">
        <v>1261584.27</v>
      </c>
      <c r="L246" s="1190"/>
      <c r="M246" s="1190">
        <f t="shared" si="21"/>
        <v>0</v>
      </c>
      <c r="N246" s="1190"/>
      <c r="O246" s="1190">
        <v>1261584.27</v>
      </c>
      <c r="P246" s="2824"/>
      <c r="Q246" s="2818"/>
    </row>
    <row r="247" spans="2:17" s="2807" customFormat="1" ht="15.75">
      <c r="B247" s="2813">
        <v>55067</v>
      </c>
      <c r="C247" s="2826"/>
      <c r="D247" s="2843" t="s">
        <v>682</v>
      </c>
      <c r="E247" s="2828"/>
      <c r="F247" s="2828"/>
      <c r="G247" s="1190">
        <v>208277.16</v>
      </c>
      <c r="H247" s="1190"/>
      <c r="I247" s="1190">
        <v>243187.69</v>
      </c>
      <c r="J247" s="1190"/>
      <c r="K247" s="1190">
        <v>269418.65999999997</v>
      </c>
      <c r="L247" s="1190"/>
      <c r="M247" s="1190">
        <f t="shared" si="21"/>
        <v>28675.919999999998</v>
      </c>
      <c r="N247" s="1190"/>
      <c r="O247" s="1190">
        <v>298094.58</v>
      </c>
      <c r="P247" s="2824"/>
      <c r="Q247" s="2818"/>
    </row>
    <row r="248" spans="2:17" s="2807" customFormat="1" ht="15.75">
      <c r="B248" s="2813">
        <v>55069</v>
      </c>
      <c r="C248" s="2826"/>
      <c r="D248" s="2843" t="s">
        <v>683</v>
      </c>
      <c r="E248" s="2828"/>
      <c r="F248" s="2828"/>
      <c r="G248" s="1190">
        <v>114904308.45999999</v>
      </c>
      <c r="H248" s="1190"/>
      <c r="I248" s="1190">
        <v>12443986.48</v>
      </c>
      <c r="J248" s="1190"/>
      <c r="K248" s="1190">
        <v>18210814.300000001</v>
      </c>
      <c r="L248" s="1190"/>
      <c r="M248" s="1190">
        <f t="shared" si="21"/>
        <v>891713.46</v>
      </c>
      <c r="N248" s="1190"/>
      <c r="O248" s="1190">
        <v>19102527.760000002</v>
      </c>
      <c r="P248" s="2824"/>
      <c r="Q248" s="2818"/>
    </row>
    <row r="249" spans="2:17" s="2807" customFormat="1" ht="15.75">
      <c r="B249" s="2847">
        <v>55071</v>
      </c>
      <c r="C249" s="2826"/>
      <c r="D249" s="2843" t="s">
        <v>852</v>
      </c>
      <c r="E249" s="2828"/>
      <c r="F249" s="2828"/>
      <c r="G249" s="1190">
        <v>838431.36</v>
      </c>
      <c r="H249" s="1190"/>
      <c r="I249" s="1190">
        <v>1104018.28</v>
      </c>
      <c r="J249" s="1190"/>
      <c r="K249" s="1190">
        <v>1377002.43</v>
      </c>
      <c r="L249" s="1190"/>
      <c r="M249" s="1190">
        <f t="shared" si="21"/>
        <v>-597811.05000000005</v>
      </c>
      <c r="N249" s="1190"/>
      <c r="O249" s="1190">
        <v>779191.38</v>
      </c>
      <c r="P249" s="2824"/>
      <c r="Q249" s="2818"/>
    </row>
    <row r="250" spans="2:17" s="2807" customFormat="1" ht="15.75">
      <c r="B250" s="2813">
        <v>55072</v>
      </c>
      <c r="C250" s="2826"/>
      <c r="D250" s="2843" t="s">
        <v>853</v>
      </c>
      <c r="E250" s="2828"/>
      <c r="F250" s="2828"/>
      <c r="G250" s="1190">
        <v>2102865.77</v>
      </c>
      <c r="H250" s="1190"/>
      <c r="I250" s="1190">
        <v>829422.73</v>
      </c>
      <c r="J250" s="1190"/>
      <c r="K250" s="1190">
        <v>1839249.28</v>
      </c>
      <c r="L250" s="1190"/>
      <c r="M250" s="1190">
        <f t="shared" si="21"/>
        <v>725012.08</v>
      </c>
      <c r="N250" s="1190"/>
      <c r="O250" s="1190">
        <v>2564261.36</v>
      </c>
      <c r="P250" s="2824"/>
      <c r="Q250" s="2818"/>
    </row>
    <row r="251" spans="2:17" s="2807" customFormat="1" ht="15.75">
      <c r="B251" s="2847">
        <v>55073</v>
      </c>
      <c r="C251" s="2826"/>
      <c r="D251" s="2843" t="s">
        <v>854</v>
      </c>
      <c r="E251" s="2828"/>
      <c r="F251" s="2828"/>
      <c r="G251" s="1190">
        <v>0</v>
      </c>
      <c r="H251" s="1190"/>
      <c r="I251" s="1190">
        <v>0</v>
      </c>
      <c r="J251" s="1190"/>
      <c r="K251" s="1190">
        <v>0</v>
      </c>
      <c r="L251" s="1190"/>
      <c r="M251" s="1190">
        <f t="shared" si="21"/>
        <v>0</v>
      </c>
      <c r="N251" s="1190"/>
      <c r="O251" s="1190">
        <v>0</v>
      </c>
      <c r="P251" s="2824"/>
      <c r="Q251" s="2818"/>
    </row>
    <row r="252" spans="2:17" s="2807" customFormat="1" ht="15.75">
      <c r="B252" s="2847">
        <v>55074</v>
      </c>
      <c r="C252" s="2826"/>
      <c r="D252" s="2843" t="s">
        <v>1183</v>
      </c>
      <c r="E252" s="2828"/>
      <c r="F252" s="2828"/>
      <c r="G252" s="1190">
        <v>0</v>
      </c>
      <c r="H252" s="1190"/>
      <c r="I252" s="1190">
        <v>0</v>
      </c>
      <c r="J252" s="1190"/>
      <c r="K252" s="1190">
        <v>0</v>
      </c>
      <c r="L252" s="1190"/>
      <c r="M252" s="1190">
        <f t="shared" ref="M252" si="24">ROUND(SUM(O252)-SUM(K252),2)</f>
        <v>0</v>
      </c>
      <c r="N252" s="1190"/>
      <c r="O252" s="1190">
        <v>0</v>
      </c>
      <c r="P252" s="2824"/>
      <c r="Q252" s="2818"/>
    </row>
    <row r="253" spans="2:17" s="2807" customFormat="1" ht="15.75">
      <c r="B253" s="2813">
        <v>55251</v>
      </c>
      <c r="C253" s="2826"/>
      <c r="D253" s="2827" t="s">
        <v>684</v>
      </c>
      <c r="E253" s="2828"/>
      <c r="F253" s="2828"/>
      <c r="G253" s="1190">
        <v>10126781.08</v>
      </c>
      <c r="H253" s="1190"/>
      <c r="I253" s="1190">
        <v>7327626.6500000004</v>
      </c>
      <c r="J253" s="1190"/>
      <c r="K253" s="1190">
        <v>7259561.5599999996</v>
      </c>
      <c r="L253" s="1190"/>
      <c r="M253" s="1190">
        <f t="shared" si="21"/>
        <v>204210.45</v>
      </c>
      <c r="N253" s="1190"/>
      <c r="O253" s="1190">
        <v>7463772.0099999998</v>
      </c>
      <c r="P253" s="2824"/>
      <c r="Q253" s="2818"/>
    </row>
    <row r="254" spans="2:17" s="2807" customFormat="1" ht="15.75">
      <c r="B254" s="2813">
        <v>55252</v>
      </c>
      <c r="C254" s="2826"/>
      <c r="D254" s="2843" t="s">
        <v>685</v>
      </c>
      <c r="E254" s="2828"/>
      <c r="F254" s="2828"/>
      <c r="G254" s="1190">
        <v>41774908.189999998</v>
      </c>
      <c r="H254" s="1190"/>
      <c r="I254" s="1190">
        <v>42468093.25</v>
      </c>
      <c r="J254" s="1190"/>
      <c r="K254" s="1190">
        <v>44978219.149999999</v>
      </c>
      <c r="L254" s="1190"/>
      <c r="M254" s="1190">
        <f t="shared" si="21"/>
        <v>2656731.23</v>
      </c>
      <c r="N254" s="1190"/>
      <c r="O254" s="1190">
        <v>47634950.380000003</v>
      </c>
      <c r="P254" s="2824"/>
      <c r="Q254" s="2818"/>
    </row>
    <row r="255" spans="2:17" s="2807" customFormat="1" ht="15.75">
      <c r="B255" s="2813">
        <v>55300</v>
      </c>
      <c r="C255" s="2826"/>
      <c r="D255" s="2827" t="s">
        <v>686</v>
      </c>
      <c r="E255" s="2828"/>
      <c r="F255" s="2828"/>
      <c r="G255" s="1190">
        <v>560929.38</v>
      </c>
      <c r="H255" s="1190"/>
      <c r="I255" s="1190">
        <v>1403132.74</v>
      </c>
      <c r="J255" s="1190"/>
      <c r="K255" s="1190">
        <v>2152100.41</v>
      </c>
      <c r="L255" s="1190"/>
      <c r="M255" s="1190">
        <f t="shared" si="21"/>
        <v>1657846.68</v>
      </c>
      <c r="N255" s="1190"/>
      <c r="O255" s="1190">
        <v>3809947.09</v>
      </c>
      <c r="P255" s="2824"/>
      <c r="Q255" s="2818"/>
    </row>
    <row r="256" spans="2:17" s="2807" customFormat="1" ht="15.75">
      <c r="B256" s="2813">
        <v>55301</v>
      </c>
      <c r="C256" s="2826"/>
      <c r="D256" s="2827" t="s">
        <v>687</v>
      </c>
      <c r="E256" s="2828"/>
      <c r="F256" s="2828"/>
      <c r="G256" s="1190">
        <v>8000753.2999999998</v>
      </c>
      <c r="H256" s="1190"/>
      <c r="I256" s="1190">
        <v>8110358.6299999999</v>
      </c>
      <c r="J256" s="1190"/>
      <c r="K256" s="1190">
        <v>8172433.7400000002</v>
      </c>
      <c r="L256" s="1190"/>
      <c r="M256" s="1190">
        <f t="shared" si="21"/>
        <v>4379.05</v>
      </c>
      <c r="N256" s="1190"/>
      <c r="O256" s="1190">
        <v>8176812.79</v>
      </c>
      <c r="P256" s="2824"/>
      <c r="Q256" s="2818"/>
    </row>
    <row r="257" spans="2:17" s="2807" customFormat="1" ht="15.75">
      <c r="B257" s="2813">
        <v>55350</v>
      </c>
      <c r="C257" s="2836"/>
      <c r="D257" s="2827" t="s">
        <v>688</v>
      </c>
      <c r="E257" s="2812"/>
      <c r="F257" s="2812"/>
      <c r="G257" s="1190">
        <v>37365044.469999999</v>
      </c>
      <c r="H257" s="1190"/>
      <c r="I257" s="1190">
        <v>17014365.780000001</v>
      </c>
      <c r="J257" s="1190"/>
      <c r="K257" s="1190">
        <v>17589388.91</v>
      </c>
      <c r="L257" s="1190"/>
      <c r="M257" s="1190">
        <f t="shared" si="21"/>
        <v>1026751.3</v>
      </c>
      <c r="N257" s="1190"/>
      <c r="O257" s="1190">
        <v>18616140.210000001</v>
      </c>
      <c r="P257" s="2824"/>
      <c r="Q257" s="2818"/>
    </row>
    <row r="258" spans="2:17" s="2807" customFormat="1" ht="16.5" thickBot="1">
      <c r="B258" s="2863"/>
      <c r="C258" s="2809"/>
      <c r="D258" s="2810" t="s">
        <v>689</v>
      </c>
      <c r="E258" s="2811"/>
      <c r="F258" s="2811"/>
      <c r="G258" s="1535">
        <f>ROUND(SUM(G214:G257),2)</f>
        <v>450877432.93000001</v>
      </c>
      <c r="H258" s="2067"/>
      <c r="I258" s="1535">
        <f>ROUND(SUM(I214:I257),2)</f>
        <v>220818993.53999999</v>
      </c>
      <c r="J258" s="2067"/>
      <c r="K258" s="1535">
        <f>ROUND(SUM(K214:K257),2)</f>
        <v>236567941.94</v>
      </c>
      <c r="L258" s="2067"/>
      <c r="M258" s="1192">
        <f>ROUND(SUM(M214:M257),2)</f>
        <v>12788778.08</v>
      </c>
      <c r="N258" s="2067"/>
      <c r="O258" s="1535">
        <f>ROUND(SUM(O214:O257),2)</f>
        <v>249356720.02000001</v>
      </c>
      <c r="P258" s="2824"/>
      <c r="Q258" s="2818"/>
    </row>
    <row r="259" spans="2:17" s="2807" customFormat="1" ht="16.5" thickTop="1">
      <c r="B259" s="2848"/>
      <c r="C259" s="2836"/>
      <c r="D259" s="2864"/>
      <c r="E259" s="2812"/>
      <c r="F259" s="2812"/>
      <c r="G259" s="1190"/>
      <c r="H259" s="3004"/>
      <c r="I259" s="1190"/>
      <c r="J259" s="3004"/>
      <c r="K259" s="1190"/>
      <c r="L259" s="3004"/>
      <c r="M259" s="1190"/>
      <c r="N259" s="3004"/>
      <c r="O259" s="1190"/>
      <c r="P259" s="2824"/>
      <c r="Q259" s="2818"/>
    </row>
    <row r="260" spans="2:17" s="2807" customFormat="1" ht="16.5" thickBot="1">
      <c r="B260" s="2848"/>
      <c r="C260" s="2836"/>
      <c r="D260" s="2864"/>
      <c r="E260" s="2812"/>
      <c r="F260" s="2812"/>
      <c r="G260" s="1190"/>
      <c r="H260" s="3004"/>
      <c r="I260" s="1190"/>
      <c r="J260" s="3004"/>
      <c r="K260" s="1190"/>
      <c r="L260" s="3004"/>
      <c r="M260" s="1190"/>
      <c r="N260" s="3004"/>
      <c r="O260" s="1190"/>
      <c r="P260" s="2824"/>
      <c r="Q260" s="2818"/>
    </row>
    <row r="261" spans="2:17" s="2807" customFormat="1" ht="16.5" thickBot="1">
      <c r="B261" s="2863"/>
      <c r="C261" s="2865"/>
      <c r="D261" s="2866" t="s">
        <v>690</v>
      </c>
      <c r="E261" s="2811"/>
      <c r="F261" s="2867"/>
      <c r="G261" s="1536">
        <f>ROUND(SUM(G11+G102+G188+G201+G206+G211+G258),2)</f>
        <v>5090189889.9700003</v>
      </c>
      <c r="H261" s="3909"/>
      <c r="I261" s="1536">
        <f>ROUND(SUM(I11+I102+I188+I201+I206+I211+I258),2)</f>
        <v>5936433519.71</v>
      </c>
      <c r="J261" s="3909"/>
      <c r="K261" s="1536">
        <f>ROUND(SUM(K11+K102+K188+K201+K206+K211+K258),2)</f>
        <v>7774965690.1800003</v>
      </c>
      <c r="L261" s="3909"/>
      <c r="M261" s="1436">
        <f>ROUND(SUM(M11+M102+M188+M201+M206+M211+M258),2)</f>
        <v>-3126358562.0100002</v>
      </c>
      <c r="N261" s="3909"/>
      <c r="O261" s="1536">
        <f>ROUND(SUM(O11+O102+O188+O201+O206+O211+O258),2)</f>
        <v>4648607128.1800003</v>
      </c>
      <c r="P261" s="2824"/>
      <c r="Q261" s="2818"/>
    </row>
    <row r="262" spans="2:17" s="2807" customFormat="1" ht="15.75">
      <c r="B262" s="2848"/>
      <c r="C262" s="2836"/>
      <c r="D262" s="2864"/>
      <c r="E262" s="2812"/>
      <c r="F262" s="2812"/>
      <c r="G262" s="2457"/>
      <c r="H262" s="3402"/>
      <c r="I262" s="1191"/>
      <c r="J262" s="3402"/>
      <c r="K262" s="1191"/>
      <c r="L262" s="3402"/>
      <c r="M262" s="1194"/>
      <c r="N262" s="3910"/>
      <c r="O262" s="1194"/>
      <c r="P262" s="2824"/>
    </row>
    <row r="263" spans="2:17" s="2807" customFormat="1" ht="15.75">
      <c r="B263" s="3531" t="s">
        <v>765</v>
      </c>
      <c r="C263" s="2102" t="s">
        <v>1481</v>
      </c>
      <c r="D263" s="2868"/>
      <c r="E263" s="2869"/>
      <c r="F263" s="2869"/>
      <c r="G263" s="1191"/>
      <c r="H263" s="2870"/>
      <c r="I263" s="1195"/>
      <c r="J263" s="2871"/>
      <c r="K263" s="1195"/>
      <c r="L263" s="2872"/>
      <c r="M263" s="1195"/>
      <c r="N263" s="2872"/>
      <c r="O263" s="1195"/>
      <c r="P263" s="2824"/>
    </row>
    <row r="264" spans="2:17" s="2807" customFormat="1" ht="15.75">
      <c r="B264" s="2873"/>
      <c r="C264" s="788" t="s">
        <v>691</v>
      </c>
      <c r="D264" s="2874"/>
      <c r="E264" s="788"/>
      <c r="F264" s="788"/>
      <c r="G264" s="1195"/>
      <c r="H264" s="2875"/>
      <c r="I264" s="1195"/>
      <c r="J264" s="2872"/>
      <c r="K264" s="1195"/>
      <c r="L264" s="2872"/>
      <c r="M264" s="1195"/>
      <c r="N264" s="2872"/>
      <c r="O264" s="1195"/>
      <c r="P264" s="2824"/>
    </row>
    <row r="265" spans="2:17" s="2807" customFormat="1" ht="15.75">
      <c r="B265" s="2873"/>
      <c r="C265" s="788" t="s">
        <v>692</v>
      </c>
      <c r="D265" s="2876"/>
      <c r="E265" s="788"/>
      <c r="F265" s="788"/>
      <c r="G265" s="1195"/>
      <c r="H265" s="2875"/>
      <c r="I265" s="1196"/>
      <c r="J265" s="2877"/>
      <c r="K265" s="1196"/>
      <c r="L265" s="2877"/>
      <c r="M265" s="1196"/>
      <c r="N265" s="2877"/>
      <c r="O265" s="1196"/>
      <c r="P265" s="2824"/>
    </row>
    <row r="266" spans="2:17" s="2807" customFormat="1" ht="15.75">
      <c r="B266" s="2873"/>
      <c r="C266" s="788" t="s">
        <v>693</v>
      </c>
      <c r="D266" s="2876"/>
      <c r="E266" s="788"/>
      <c r="F266" s="788"/>
      <c r="G266" s="1196"/>
      <c r="H266" s="2875"/>
      <c r="I266" s="1196"/>
      <c r="J266" s="2877"/>
      <c r="K266" s="1196"/>
      <c r="L266" s="2877"/>
      <c r="M266" s="1196"/>
      <c r="N266" s="2877"/>
      <c r="O266" s="1196"/>
      <c r="P266" s="2824"/>
    </row>
    <row r="267" spans="2:17" s="2807" customFormat="1" ht="15.75">
      <c r="B267" s="2873"/>
      <c r="C267" s="788" t="s">
        <v>694</v>
      </c>
      <c r="D267" s="2876"/>
      <c r="E267" s="788"/>
      <c r="F267" s="788"/>
      <c r="G267" s="1196"/>
      <c r="H267" s="2875"/>
      <c r="I267" s="2878"/>
      <c r="J267" s="2879"/>
      <c r="K267" s="2878"/>
      <c r="L267" s="2879"/>
      <c r="M267" s="2878"/>
      <c r="N267" s="2879"/>
      <c r="O267" s="2878"/>
      <c r="P267" s="2824"/>
    </row>
    <row r="268" spans="2:17" s="2807" customFormat="1" ht="15.75">
      <c r="B268" s="2880"/>
      <c r="C268" s="788" t="s">
        <v>1141</v>
      </c>
      <c r="D268" s="2876"/>
      <c r="E268" s="788"/>
      <c r="F268" s="788"/>
      <c r="G268" s="2878"/>
      <c r="H268" s="2875"/>
      <c r="I268" s="2878"/>
      <c r="J268" s="2879"/>
      <c r="K268" s="2878"/>
      <c r="L268" s="2879"/>
      <c r="M268" s="2878"/>
      <c r="N268" s="2879"/>
      <c r="O268" s="2878"/>
      <c r="P268" s="2833"/>
    </row>
    <row r="269" spans="2:17" s="2807" customFormat="1" ht="15.75">
      <c r="B269" s="2880"/>
      <c r="C269" s="2875" t="s">
        <v>766</v>
      </c>
      <c r="D269" s="2881"/>
      <c r="E269" s="2875"/>
      <c r="F269" s="2875"/>
      <c r="G269" s="2878"/>
      <c r="H269" s="2875"/>
      <c r="I269" s="2878"/>
      <c r="J269" s="2879"/>
      <c r="K269" s="2878"/>
      <c r="L269" s="2879"/>
      <c r="M269" s="2878"/>
      <c r="N269" s="2879"/>
      <c r="O269" s="2878"/>
      <c r="P269" s="2824"/>
    </row>
    <row r="270" spans="2:17" s="2807" customFormat="1" ht="15.75">
      <c r="B270" s="2882" t="s">
        <v>111</v>
      </c>
      <c r="C270" s="2869" t="s">
        <v>1122</v>
      </c>
      <c r="D270" s="2868"/>
      <c r="E270" s="2875"/>
      <c r="F270" s="2875"/>
      <c r="G270" s="2878"/>
      <c r="H270" s="2875"/>
      <c r="I270" s="2883"/>
      <c r="J270" s="2884"/>
      <c r="K270" s="2883"/>
      <c r="L270" s="2885"/>
      <c r="M270" s="2886"/>
      <c r="N270" s="2887"/>
      <c r="O270" s="3510"/>
      <c r="P270" s="2812"/>
    </row>
    <row r="271" spans="2:17" s="2807" customFormat="1" ht="15.75">
      <c r="B271" s="2888"/>
      <c r="C271" s="2883" t="s">
        <v>1123</v>
      </c>
      <c r="D271" s="787"/>
      <c r="E271" s="2875"/>
      <c r="F271" s="2875"/>
      <c r="G271" s="2883"/>
      <c r="H271" s="2875"/>
      <c r="I271" s="2883"/>
      <c r="J271" s="2884"/>
      <c r="K271" s="2883"/>
      <c r="L271" s="2885"/>
      <c r="M271" s="2886"/>
      <c r="N271" s="2887"/>
      <c r="O271" s="3510"/>
      <c r="P271" s="2851"/>
    </row>
    <row r="272" spans="2:17" s="2807" customFormat="1" ht="15.75">
      <c r="B272" s="2889" t="s">
        <v>764</v>
      </c>
      <c r="C272" s="2880" t="s">
        <v>874</v>
      </c>
      <c r="D272" s="787"/>
      <c r="E272" s="2890"/>
      <c r="F272" s="1406"/>
      <c r="G272" s="2883"/>
      <c r="H272" s="790"/>
      <c r="I272" s="788"/>
      <c r="J272" s="791"/>
      <c r="K272" s="788"/>
      <c r="L272" s="790"/>
      <c r="M272" s="789"/>
      <c r="N272" s="792"/>
      <c r="O272" s="2869"/>
      <c r="P272" s="2806"/>
    </row>
    <row r="273" spans="1:16" s="2807" customFormat="1" ht="15.75">
      <c r="A273" s="2807" t="s">
        <v>14</v>
      </c>
      <c r="B273" s="2891" t="s">
        <v>1443</v>
      </c>
      <c r="C273" s="2102" t="s">
        <v>1479</v>
      </c>
      <c r="D273" s="2808"/>
      <c r="E273" s="788"/>
      <c r="F273" s="788"/>
      <c r="G273" s="2883"/>
      <c r="H273" s="2808"/>
      <c r="I273" s="2808"/>
      <c r="J273" s="2808"/>
      <c r="K273" s="2808"/>
      <c r="L273" s="2808"/>
      <c r="M273" s="2808"/>
      <c r="N273" s="2808"/>
      <c r="O273" s="3511"/>
      <c r="P273" s="2875"/>
    </row>
    <row r="274" spans="1:16" s="2807" customFormat="1" ht="15.75">
      <c r="C274" s="2892"/>
      <c r="D274" s="2851"/>
      <c r="E274" s="2893"/>
      <c r="F274" s="2893"/>
      <c r="G274" s="2808"/>
      <c r="H274" s="2877"/>
      <c r="I274" s="2851"/>
      <c r="J274" s="2877"/>
      <c r="K274" s="2851"/>
      <c r="L274" s="2877"/>
      <c r="M274" s="2851"/>
      <c r="N274" s="2877"/>
      <c r="O274" s="2986"/>
      <c r="P274" s="2875"/>
    </row>
    <row r="275" spans="1:16" s="2807" customFormat="1" ht="15.75">
      <c r="C275" s="2892"/>
      <c r="D275" s="2851"/>
      <c r="E275" s="788"/>
      <c r="F275" s="788"/>
      <c r="G275" s="2894"/>
      <c r="H275" s="2894"/>
      <c r="I275" s="2894"/>
      <c r="J275" s="2894"/>
      <c r="K275" s="2894"/>
      <c r="L275" s="2894"/>
      <c r="M275" s="2894"/>
      <c r="N275" s="2894"/>
      <c r="O275" s="3512"/>
      <c r="P275" s="2875"/>
    </row>
    <row r="276" spans="1:16" s="2807" customFormat="1" ht="15.75">
      <c r="B276" s="2892"/>
      <c r="C276" s="2892"/>
      <c r="D276" s="2851"/>
      <c r="E276" s="788"/>
      <c r="F276" s="788"/>
      <c r="G276" s="2895"/>
      <c r="H276" s="2895"/>
      <c r="I276" s="2895"/>
      <c r="J276" s="2895"/>
      <c r="K276" s="2895"/>
      <c r="L276" s="2895"/>
      <c r="M276" s="2851"/>
      <c r="N276" s="2877"/>
      <c r="O276" s="2986"/>
      <c r="P276" s="2875"/>
    </row>
    <row r="277" spans="1:16" s="2807" customFormat="1" ht="15.75">
      <c r="B277" s="2892"/>
      <c r="C277" s="2892"/>
      <c r="D277" s="2851"/>
      <c r="E277" s="788"/>
      <c r="F277" s="788"/>
      <c r="G277" s="2895"/>
      <c r="H277" s="2895"/>
      <c r="I277" s="2895"/>
      <c r="J277" s="2895"/>
      <c r="K277" s="2895"/>
      <c r="L277" s="2895"/>
      <c r="M277" s="2851"/>
      <c r="N277" s="2877"/>
      <c r="O277" s="2986"/>
      <c r="P277" s="2875"/>
    </row>
    <row r="278" spans="1:16" s="2807" customFormat="1" ht="15.75">
      <c r="B278" s="2896"/>
      <c r="C278" s="2875"/>
      <c r="D278" s="2851"/>
      <c r="E278" s="788"/>
      <c r="F278" s="788"/>
      <c r="G278" s="2895"/>
      <c r="H278" s="2897"/>
      <c r="I278" s="2875"/>
      <c r="J278" s="2897"/>
      <c r="K278" s="2875"/>
      <c r="L278" s="2877"/>
      <c r="M278" s="2851"/>
      <c r="N278" s="2877"/>
      <c r="O278" s="2986"/>
      <c r="P278" s="2891"/>
    </row>
    <row r="279" spans="1:16" s="2807" customFormat="1" ht="15.75">
      <c r="B279" s="2898"/>
      <c r="C279" s="2875"/>
      <c r="D279" s="2851"/>
      <c r="E279" s="788"/>
      <c r="F279" s="788"/>
      <c r="G279" s="2875"/>
      <c r="H279" s="2897"/>
      <c r="I279" s="2875"/>
      <c r="J279" s="2897"/>
      <c r="K279" s="2875"/>
      <c r="L279" s="2877"/>
      <c r="M279" s="2851"/>
      <c r="N279" s="2877"/>
      <c r="O279" s="2986"/>
      <c r="P279" s="2891"/>
    </row>
    <row r="280" spans="1:16" s="2807" customFormat="1" ht="15.75">
      <c r="B280" s="2898"/>
      <c r="C280" s="2875"/>
      <c r="D280" s="2851"/>
      <c r="E280" s="788"/>
      <c r="F280" s="788"/>
      <c r="G280" s="2875"/>
      <c r="H280" s="2897"/>
      <c r="I280" s="2875"/>
      <c r="J280" s="2897"/>
      <c r="K280" s="2875"/>
      <c r="L280" s="2877"/>
      <c r="M280" s="787"/>
      <c r="N280" s="2872"/>
      <c r="O280" s="3513"/>
      <c r="P280" s="2891"/>
    </row>
    <row r="281" spans="1:16" s="2807" customFormat="1" ht="15.75">
      <c r="B281" s="2891"/>
      <c r="C281" s="2875"/>
      <c r="D281" s="2851"/>
      <c r="E281" s="2445"/>
      <c r="F281" s="2897"/>
      <c r="G281" s="2875"/>
      <c r="H281" s="2897"/>
      <c r="I281" s="2875"/>
      <c r="J281" s="2897"/>
      <c r="K281" s="2875"/>
      <c r="L281" s="2872"/>
      <c r="M281" s="787"/>
      <c r="N281" s="2872"/>
      <c r="O281" s="3513"/>
      <c r="P281" s="2891"/>
    </row>
    <row r="282" spans="1:16" s="2807" customFormat="1" ht="15.75">
      <c r="B282" s="2891"/>
      <c r="C282" s="2875"/>
      <c r="D282" s="2851"/>
      <c r="E282" s="2445"/>
      <c r="F282" s="2897"/>
      <c r="G282" s="2875"/>
      <c r="H282" s="2897"/>
      <c r="I282" s="2875"/>
      <c r="J282" s="2897"/>
      <c r="K282" s="2875"/>
      <c r="L282" s="2872"/>
      <c r="M282" s="2899"/>
      <c r="N282" s="2900"/>
      <c r="O282" s="2899"/>
      <c r="P282" s="2891"/>
    </row>
    <row r="283" spans="1:16" ht="15.75">
      <c r="B283" s="2891"/>
      <c r="C283" s="2875"/>
      <c r="D283" s="2851"/>
      <c r="E283" s="2445"/>
      <c r="F283" s="2897"/>
      <c r="G283" s="2875"/>
      <c r="H283" s="2897"/>
      <c r="I283" s="2875"/>
      <c r="J283" s="2897"/>
      <c r="K283" s="2875"/>
      <c r="L283" s="2872"/>
      <c r="M283" s="787"/>
      <c r="N283" s="2872"/>
      <c r="O283" s="3513"/>
      <c r="P283" s="2891"/>
    </row>
    <row r="284" spans="1:16" ht="15.75">
      <c r="G284" s="2875"/>
    </row>
    <row r="289" spans="3:12" ht="15.75">
      <c r="C289" s="2780"/>
      <c r="D289" s="2779"/>
      <c r="E289" s="2780"/>
      <c r="F289" s="2781"/>
      <c r="H289" s="2904"/>
      <c r="I289" s="2905"/>
      <c r="J289" s="2904"/>
      <c r="K289" s="2905"/>
      <c r="L289" s="2904"/>
    </row>
    <row r="290" spans="3:12" ht="15.75">
      <c r="C290" s="2780"/>
      <c r="D290" s="2779"/>
      <c r="E290" s="2780"/>
      <c r="F290" s="2781"/>
      <c r="G290" s="2905"/>
      <c r="H290" s="2904"/>
      <c r="I290" s="2905"/>
      <c r="J290" s="2904"/>
      <c r="K290" s="2905"/>
      <c r="L290" s="2904"/>
    </row>
    <row r="291" spans="3:12" ht="15.75">
      <c r="C291" s="2780"/>
      <c r="D291" s="2779"/>
      <c r="E291" s="2780"/>
      <c r="F291" s="2781"/>
      <c r="G291" s="2905"/>
      <c r="H291" s="2904"/>
      <c r="I291" s="2905"/>
      <c r="J291" s="2904"/>
      <c r="K291" s="2905"/>
      <c r="L291" s="2904"/>
    </row>
    <row r="292" spans="3:12" ht="15.75">
      <c r="C292" s="2780"/>
      <c r="D292" s="2779"/>
      <c r="E292" s="2780"/>
      <c r="F292" s="2781"/>
      <c r="G292" s="2905"/>
      <c r="H292" s="2904"/>
      <c r="I292" s="2905"/>
      <c r="J292" s="2904"/>
      <c r="K292" s="2905"/>
      <c r="L292" s="2904"/>
    </row>
    <row r="293" spans="3:12" ht="15.75">
      <c r="C293" s="2780"/>
      <c r="D293" s="2779"/>
      <c r="E293" s="2780"/>
      <c r="F293" s="2781"/>
      <c r="G293" s="2905"/>
      <c r="H293" s="2904"/>
      <c r="I293" s="2905"/>
      <c r="J293" s="2904"/>
      <c r="K293" s="2905"/>
      <c r="L293" s="2904"/>
    </row>
    <row r="294" spans="3:12">
      <c r="G294" s="2905"/>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2" max="16383" man="1"/>
    <brk id="245" max="16383" man="1"/>
  </rowBreaks>
  <ignoredErrors>
    <ignoredError sqref="L11 N11 L206 N206 L211 N211 L258 N258 L261 N261 L12:N13 L103:N104 L189:N190 L202:N203 L207:N208 L212:N213 L259:N260"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55" workbookViewId="0"/>
  </sheetViews>
  <sheetFormatPr defaultColWidth="8.6640625" defaultRowHeight="12.75"/>
  <cols>
    <col min="1" max="1" width="54.6640625" style="471" customWidth="1"/>
    <col min="2" max="2" width="13.6640625" style="1520" customWidth="1"/>
    <col min="3" max="3" width="1.6640625" style="1520" customWidth="1"/>
    <col min="4" max="4" width="13.6640625" style="1520" customWidth="1"/>
    <col min="5" max="5" width="1.6640625" style="1519" customWidth="1"/>
    <col min="6" max="6" width="13.6640625" style="1520" customWidth="1"/>
    <col min="7" max="7" width="1.6640625" style="1519" customWidth="1"/>
    <col min="8" max="8" width="13.6640625" style="1520" customWidth="1"/>
    <col min="9" max="9" width="1.6640625" style="1519" customWidth="1"/>
    <col min="10" max="10" width="13.6640625" style="1520" customWidth="1"/>
    <col min="11" max="11" width="1.6640625" style="1520" customWidth="1"/>
    <col min="12" max="12" width="13.6640625" style="1520" customWidth="1"/>
    <col min="13" max="13" width="1.6640625" style="1519" customWidth="1"/>
    <col min="14" max="14" width="13.6640625" style="1520" customWidth="1"/>
    <col min="15" max="15" width="1.6640625" style="1519" customWidth="1"/>
    <col min="16" max="16" width="13.6640625" style="1520" customWidth="1"/>
    <col min="17" max="17" width="1.6640625" style="1519" customWidth="1"/>
    <col min="18" max="18" width="13.6640625" style="1520" customWidth="1"/>
    <col min="19" max="19" width="1.6640625" style="1519" customWidth="1"/>
    <col min="20" max="20" width="13.6640625" style="1520" customWidth="1"/>
    <col min="21" max="21" width="1.6640625" style="1519" customWidth="1"/>
    <col min="22" max="22" width="13.6640625" style="1520" customWidth="1"/>
    <col min="23" max="23" width="1.6640625" style="1519" customWidth="1"/>
    <col min="24" max="24" width="13.6640625" style="1520" customWidth="1"/>
    <col min="25" max="25" width="1.6640625" style="1519" customWidth="1"/>
    <col min="26" max="26" width="18.6640625" style="398" customWidth="1"/>
    <col min="27" max="27" width="1.5546875" style="471" customWidth="1"/>
    <col min="28" max="28" width="18.6640625" style="471" bestFit="1" customWidth="1"/>
    <col min="29" max="29" width="12.6640625" style="471" bestFit="1" customWidth="1"/>
    <col min="30" max="16384" width="8.6640625" style="471"/>
  </cols>
  <sheetData>
    <row r="1" spans="1:40" ht="15">
      <c r="A1" s="914" t="s">
        <v>870</v>
      </c>
      <c r="B1" s="1282"/>
      <c r="C1" s="1282"/>
      <c r="D1" s="1282"/>
      <c r="E1" s="1282"/>
      <c r="F1" s="1282"/>
      <c r="G1" s="1282"/>
      <c r="H1" s="1282"/>
      <c r="I1" s="1282"/>
      <c r="J1" s="1282"/>
      <c r="K1" s="1282"/>
      <c r="L1" s="1282"/>
      <c r="M1" s="1282"/>
      <c r="N1" s="1282"/>
      <c r="O1" s="1282"/>
      <c r="P1" s="1282"/>
      <c r="Q1" s="1282"/>
      <c r="R1" s="1282"/>
      <c r="S1" s="1282"/>
      <c r="T1" s="1282"/>
      <c r="U1" s="1282"/>
      <c r="V1" s="1282"/>
      <c r="W1" s="1282"/>
      <c r="X1" s="1282"/>
      <c r="Y1" s="1282"/>
      <c r="Z1" s="1282"/>
      <c r="AA1" s="1282"/>
      <c r="AB1" s="1282"/>
      <c r="AC1" s="1282"/>
      <c r="AD1" s="1282"/>
      <c r="AE1" s="1282"/>
      <c r="AF1" s="1282"/>
      <c r="AG1" s="1282"/>
    </row>
    <row r="2" spans="1:40" ht="15">
      <c r="A2" s="914"/>
      <c r="B2" s="1282"/>
      <c r="C2" s="1282"/>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row>
    <row r="3" spans="1:40" ht="24" customHeight="1">
      <c r="A3" s="794" t="s">
        <v>0</v>
      </c>
      <c r="B3" s="468"/>
      <c r="C3" s="468"/>
      <c r="D3" s="469"/>
      <c r="E3" s="470"/>
      <c r="F3" s="469"/>
      <c r="G3" s="470"/>
      <c r="H3" s="469"/>
      <c r="I3" s="470"/>
      <c r="K3" s="468"/>
      <c r="L3" s="397"/>
      <c r="M3" s="468"/>
      <c r="N3" s="469"/>
      <c r="O3" s="470"/>
      <c r="P3" s="469"/>
      <c r="Q3" s="470"/>
      <c r="R3" s="469"/>
      <c r="S3" s="470"/>
      <c r="T3" s="469"/>
      <c r="U3" s="470"/>
      <c r="V3" s="469"/>
      <c r="W3" s="470"/>
      <c r="X3" s="469"/>
      <c r="Y3" s="470"/>
      <c r="Z3" s="785" t="s">
        <v>548</v>
      </c>
      <c r="AA3" s="468"/>
      <c r="AC3" s="468"/>
      <c r="AE3" s="468"/>
    </row>
    <row r="4" spans="1:40" ht="16.5">
      <c r="A4" s="794" t="s">
        <v>1263</v>
      </c>
      <c r="B4" s="1283"/>
      <c r="C4" s="1283"/>
      <c r="D4" s="472"/>
      <c r="E4" s="470"/>
      <c r="F4" s="1283"/>
      <c r="G4" s="470"/>
      <c r="H4" s="1283"/>
      <c r="I4" s="470"/>
      <c r="J4" s="1283"/>
      <c r="K4" s="1283"/>
      <c r="L4" s="1283"/>
      <c r="M4" s="473"/>
      <c r="N4" s="1283"/>
      <c r="O4" s="470"/>
      <c r="P4" s="1283"/>
      <c r="Q4" s="470"/>
      <c r="R4" s="1283"/>
      <c r="S4" s="470"/>
      <c r="T4" s="1283"/>
      <c r="U4" s="470"/>
      <c r="V4" s="1283"/>
      <c r="W4" s="470"/>
      <c r="X4" s="1283"/>
      <c r="Y4" s="470"/>
      <c r="Z4" s="1284"/>
      <c r="AA4" s="474"/>
      <c r="AC4" s="468"/>
    </row>
    <row r="5" spans="1:40" ht="16.5">
      <c r="A5" s="795" t="s">
        <v>1063</v>
      </c>
      <c r="B5" s="1283"/>
      <c r="C5" s="1283"/>
      <c r="D5" s="1283"/>
      <c r="E5" s="470"/>
      <c r="F5" s="1283"/>
      <c r="G5" s="470"/>
      <c r="H5" s="1283"/>
      <c r="I5" s="470"/>
      <c r="J5" s="1283"/>
      <c r="K5" s="1283"/>
      <c r="L5" s="1283"/>
      <c r="M5" s="473"/>
      <c r="N5" s="1283"/>
      <c r="O5" s="470"/>
      <c r="P5" s="1283"/>
      <c r="Q5" s="470"/>
      <c r="R5" s="1283"/>
      <c r="S5" s="470"/>
      <c r="T5" s="1283"/>
      <c r="U5" s="470"/>
      <c r="V5" s="1283"/>
      <c r="W5" s="470"/>
      <c r="X5" s="1283"/>
      <c r="Y5" s="470"/>
      <c r="Z5" s="1284"/>
    </row>
    <row r="6" spans="1:40" ht="18" customHeight="1">
      <c r="A6" s="475" t="str">
        <f>'Cashflow Governmental'!A6</f>
        <v xml:space="preserve">FISCAL YEAR 2022-2023   </v>
      </c>
      <c r="B6" s="1283"/>
      <c r="C6" s="1283"/>
      <c r="D6" s="477"/>
      <c r="E6" s="470"/>
      <c r="F6" s="1283"/>
      <c r="G6" s="470"/>
      <c r="H6" s="1283"/>
      <c r="I6" s="470"/>
      <c r="J6" s="1283"/>
      <c r="K6" s="1283"/>
      <c r="L6" s="1283"/>
      <c r="M6" s="473"/>
      <c r="N6" s="1283"/>
      <c r="O6" s="470"/>
      <c r="P6" s="1283"/>
      <c r="Q6" s="470"/>
      <c r="R6" s="1283"/>
      <c r="S6" s="470"/>
      <c r="T6" s="1283"/>
      <c r="U6" s="470"/>
      <c r="V6" s="1283"/>
      <c r="W6" s="470"/>
      <c r="X6" s="1283"/>
      <c r="Y6" s="470"/>
      <c r="Z6" s="1284"/>
    </row>
    <row r="7" spans="1:40" ht="15" customHeight="1">
      <c r="A7" s="476"/>
      <c r="B7" s="1283"/>
      <c r="C7" s="1283"/>
      <c r="D7" s="1283"/>
      <c r="E7" s="470"/>
      <c r="F7" s="1283"/>
      <c r="G7" s="470"/>
      <c r="H7" s="1283"/>
      <c r="I7" s="470"/>
      <c r="J7" s="1283"/>
      <c r="K7" s="1283"/>
      <c r="L7" s="1283"/>
      <c r="M7" s="473"/>
      <c r="N7" s="1283"/>
      <c r="O7" s="470"/>
      <c r="P7" s="1283"/>
      <c r="Q7" s="470"/>
      <c r="R7" s="1285"/>
      <c r="S7" s="470"/>
      <c r="T7" s="1285"/>
      <c r="U7" s="470"/>
      <c r="V7" s="1285"/>
      <c r="W7" s="470"/>
      <c r="X7" s="1285"/>
      <c r="Y7" s="470"/>
      <c r="Z7" s="1284"/>
    </row>
    <row r="8" spans="1:40" ht="15.75">
      <c r="A8" s="467"/>
      <c r="B8" s="1283"/>
      <c r="C8" s="1283"/>
      <c r="D8" s="1283"/>
      <c r="E8" s="470"/>
      <c r="F8" s="1283"/>
      <c r="G8" s="470"/>
      <c r="H8" s="1283"/>
      <c r="I8" s="470"/>
      <c r="J8" s="1283"/>
      <c r="K8" s="1283"/>
      <c r="L8" s="1283"/>
      <c r="M8" s="470"/>
      <c r="N8" s="1283"/>
      <c r="O8" s="470"/>
      <c r="P8" s="1283"/>
      <c r="Q8" s="470"/>
      <c r="R8" s="1283"/>
      <c r="S8" s="470"/>
      <c r="T8" s="1283"/>
      <c r="U8" s="470"/>
      <c r="V8" s="1283"/>
      <c r="W8" s="470"/>
      <c r="X8" s="1283"/>
      <c r="Y8" s="470"/>
      <c r="Z8" s="478"/>
      <c r="AA8" s="479"/>
    </row>
    <row r="9" spans="1:40" ht="15" customHeight="1">
      <c r="A9" s="1286"/>
      <c r="B9" s="886" t="str">
        <f>'Cashflow Governmental'!C13</f>
        <v>2022</v>
      </c>
      <c r="C9" s="480"/>
      <c r="D9" s="480"/>
      <c r="E9" s="473"/>
      <c r="F9" s="480"/>
      <c r="G9" s="473"/>
      <c r="H9" s="480"/>
      <c r="I9" s="473"/>
      <c r="J9" s="480"/>
      <c r="K9" s="480"/>
      <c r="L9" s="481"/>
      <c r="M9" s="473"/>
      <c r="N9" s="481"/>
      <c r="O9" s="473"/>
      <c r="P9" s="481"/>
      <c r="Q9" s="473"/>
      <c r="R9" s="481"/>
      <c r="S9" s="473"/>
      <c r="T9" s="886">
        <f>'Cashflow Governmental'!U13</f>
        <v>2023</v>
      </c>
      <c r="U9" s="473"/>
      <c r="V9" s="481"/>
      <c r="W9" s="473"/>
      <c r="X9" s="481"/>
      <c r="Y9" s="473"/>
      <c r="Z9" s="482" t="s">
        <v>1515</v>
      </c>
      <c r="AA9" s="482"/>
    </row>
    <row r="10" spans="1:40" ht="15" customHeight="1">
      <c r="A10" s="1286"/>
      <c r="B10" s="483" t="s">
        <v>122</v>
      </c>
      <c r="C10" s="484"/>
      <c r="D10" s="481" t="s">
        <v>123</v>
      </c>
      <c r="E10" s="473"/>
      <c r="F10" s="481" t="s">
        <v>124</v>
      </c>
      <c r="G10" s="473"/>
      <c r="H10" s="481" t="s">
        <v>125</v>
      </c>
      <c r="I10" s="473"/>
      <c r="J10" s="481" t="s">
        <v>126</v>
      </c>
      <c r="K10" s="485"/>
      <c r="L10" s="481" t="s">
        <v>141</v>
      </c>
      <c r="M10" s="473"/>
      <c r="N10" s="481" t="s">
        <v>142</v>
      </c>
      <c r="O10" s="473"/>
      <c r="P10" s="481" t="s">
        <v>129</v>
      </c>
      <c r="Q10" s="473"/>
      <c r="R10" s="481" t="s">
        <v>130</v>
      </c>
      <c r="S10" s="473"/>
      <c r="T10" s="481" t="s">
        <v>131</v>
      </c>
      <c r="U10" s="473"/>
      <c r="V10" s="481" t="s">
        <v>132</v>
      </c>
      <c r="W10" s="473"/>
      <c r="X10" s="481" t="s">
        <v>182</v>
      </c>
      <c r="Y10" s="473"/>
      <c r="Z10" s="486" t="s">
        <v>1517</v>
      </c>
      <c r="AA10" s="486"/>
    </row>
    <row r="11" spans="1:40" ht="15" customHeight="1">
      <c r="A11" s="1286"/>
      <c r="B11" s="1530" t="s">
        <v>14</v>
      </c>
      <c r="C11" s="1287"/>
      <c r="D11" s="1530" t="s">
        <v>14</v>
      </c>
      <c r="E11" s="1288"/>
      <c r="F11" s="1530" t="s">
        <v>14</v>
      </c>
      <c r="G11" s="1288"/>
      <c r="H11" s="1530" t="s">
        <v>14</v>
      </c>
      <c r="I11" s="1288"/>
      <c r="J11" s="1530" t="s">
        <v>14</v>
      </c>
      <c r="K11" s="485"/>
      <c r="L11" s="1530" t="s">
        <v>14</v>
      </c>
      <c r="M11" s="1288"/>
      <c r="N11" s="1530" t="s">
        <v>14</v>
      </c>
      <c r="O11" s="1288"/>
      <c r="P11" s="1530" t="s">
        <v>14</v>
      </c>
      <c r="Q11" s="1288"/>
      <c r="R11" s="1530" t="s">
        <v>14</v>
      </c>
      <c r="S11" s="1288"/>
      <c r="T11" s="1530" t="s">
        <v>14</v>
      </c>
      <c r="U11" s="1288"/>
      <c r="V11" s="1530" t="s">
        <v>14</v>
      </c>
      <c r="W11" s="1288"/>
      <c r="X11" s="1530" t="s">
        <v>14</v>
      </c>
      <c r="Y11" s="1288"/>
      <c r="Z11" s="1529" t="s">
        <v>14</v>
      </c>
      <c r="AB11" s="487"/>
      <c r="AC11" s="487"/>
      <c r="AD11" s="487"/>
      <c r="AE11" s="487"/>
      <c r="AF11" s="487"/>
      <c r="AG11" s="487"/>
      <c r="AH11" s="487"/>
      <c r="AI11" s="487"/>
      <c r="AJ11" s="487"/>
      <c r="AK11" s="487"/>
      <c r="AL11" s="487"/>
      <c r="AM11" s="487"/>
      <c r="AN11" s="487"/>
    </row>
    <row r="12" spans="1:40" s="492" customFormat="1" ht="15" customHeight="1">
      <c r="A12" s="796" t="s">
        <v>460</v>
      </c>
      <c r="B12" s="501">
        <v>64843404</v>
      </c>
      <c r="C12" s="489"/>
      <c r="D12" s="488">
        <f>B45</f>
        <v>46698758</v>
      </c>
      <c r="E12" s="1289"/>
      <c r="F12" s="488"/>
      <c r="G12" s="1289"/>
      <c r="H12" s="488"/>
      <c r="I12" s="1289"/>
      <c r="J12" s="488"/>
      <c r="K12" s="490"/>
      <c r="L12" s="488"/>
      <c r="M12" s="491"/>
      <c r="N12" s="488"/>
      <c r="O12" s="488"/>
      <c r="P12" s="488"/>
      <c r="Q12" s="488"/>
      <c r="R12" s="488"/>
      <c r="S12" s="488"/>
      <c r="T12" s="488"/>
      <c r="U12" s="488"/>
      <c r="V12" s="488"/>
      <c r="W12" s="488"/>
      <c r="X12" s="488"/>
      <c r="Y12" s="488"/>
      <c r="Z12" s="488">
        <f>+B12</f>
        <v>64843404</v>
      </c>
    </row>
    <row r="13" spans="1:40" ht="15" customHeight="1">
      <c r="A13" s="1290"/>
      <c r="B13" s="1291"/>
      <c r="C13" s="1292"/>
      <c r="D13" s="1291"/>
      <c r="E13" s="1291"/>
      <c r="F13" s="1291"/>
      <c r="G13" s="1291"/>
      <c r="H13" s="1291"/>
      <c r="I13" s="1291"/>
      <c r="J13" s="1291"/>
      <c r="K13" s="485"/>
      <c r="L13" s="1291"/>
      <c r="M13" s="1291"/>
      <c r="N13" s="1291"/>
      <c r="O13" s="1291"/>
      <c r="P13" s="1291"/>
      <c r="Q13" s="1291"/>
      <c r="R13" s="1291"/>
      <c r="S13" s="1291"/>
      <c r="T13" s="1291"/>
      <c r="U13" s="1291"/>
      <c r="V13" s="1291"/>
      <c r="W13" s="1291"/>
      <c r="X13" s="1291"/>
      <c r="Y13" s="1291"/>
      <c r="Z13" s="1293"/>
    </row>
    <row r="14" spans="1:40" ht="15" customHeight="1">
      <c r="A14" s="493" t="s">
        <v>13</v>
      </c>
      <c r="B14" s="1291"/>
      <c r="C14" s="1292"/>
      <c r="D14" s="1291"/>
      <c r="E14" s="1291"/>
      <c r="F14" s="1291"/>
      <c r="G14" s="1291"/>
      <c r="H14" s="1291"/>
      <c r="I14" s="1291"/>
      <c r="J14" s="1291"/>
      <c r="K14" s="1291"/>
      <c r="L14" s="1291"/>
      <c r="M14" s="1291"/>
      <c r="N14" s="1291"/>
      <c r="O14" s="1291"/>
      <c r="P14" s="1291"/>
      <c r="Q14" s="1291"/>
      <c r="R14" s="1291"/>
      <c r="S14" s="1291"/>
      <c r="T14" s="1291"/>
      <c r="U14" s="1291"/>
      <c r="V14" s="1291"/>
      <c r="W14" s="1291"/>
      <c r="X14" s="1291"/>
      <c r="Y14" s="1291"/>
      <c r="Z14" s="1293"/>
      <c r="AC14" s="1818"/>
    </row>
    <row r="15" spans="1:40" ht="15" customHeight="1">
      <c r="A15" s="797" t="s">
        <v>1115</v>
      </c>
      <c r="B15" s="1299">
        <v>0</v>
      </c>
      <c r="C15" s="1300"/>
      <c r="D15" s="1299">
        <v>0</v>
      </c>
      <c r="E15" s="1299"/>
      <c r="F15" s="1299"/>
      <c r="G15" s="1294"/>
      <c r="H15" s="1299"/>
      <c r="I15" s="1294"/>
      <c r="J15" s="1818"/>
      <c r="K15" s="1294"/>
      <c r="L15" s="1299"/>
      <c r="M15" s="1291"/>
      <c r="N15" s="1299"/>
      <c r="O15" s="1294"/>
      <c r="P15" s="1299"/>
      <c r="Q15" s="1294"/>
      <c r="R15" s="1299"/>
      <c r="S15" s="1294"/>
      <c r="T15" s="1299"/>
      <c r="U15" s="1294"/>
      <c r="V15" s="1299"/>
      <c r="W15" s="1294"/>
      <c r="X15" s="1299"/>
      <c r="Y15" s="1294"/>
      <c r="Z15" s="1296">
        <f>SUM(B15:X15)</f>
        <v>0</v>
      </c>
    </row>
    <row r="16" spans="1:40" ht="15" customHeight="1">
      <c r="A16" s="797" t="s">
        <v>1332</v>
      </c>
      <c r="B16" s="1299">
        <v>0</v>
      </c>
      <c r="C16" s="1300"/>
      <c r="D16" s="1299">
        <v>0</v>
      </c>
      <c r="E16" s="1299"/>
      <c r="F16" s="1299"/>
      <c r="G16" s="1294"/>
      <c r="H16" s="1299"/>
      <c r="I16" s="1294"/>
      <c r="J16" s="1818"/>
      <c r="K16" s="1294"/>
      <c r="L16" s="1299"/>
      <c r="M16" s="1291"/>
      <c r="N16" s="1299"/>
      <c r="O16" s="1294"/>
      <c r="P16" s="1299"/>
      <c r="Q16" s="1294"/>
      <c r="R16" s="1299"/>
      <c r="S16" s="1294"/>
      <c r="T16" s="1299"/>
      <c r="U16" s="1294"/>
      <c r="V16" s="1299"/>
      <c r="W16" s="1294"/>
      <c r="X16" s="1299"/>
      <c r="Y16" s="1294"/>
      <c r="Z16" s="1296">
        <f>SUM(B16:X16)</f>
        <v>0</v>
      </c>
    </row>
    <row r="17" spans="1:28" s="492" customFormat="1" ht="22.5" customHeight="1">
      <c r="A17" s="493" t="s">
        <v>147</v>
      </c>
      <c r="B17" s="1528">
        <f>ROUND(SUM(B15:B16),0)</f>
        <v>0</v>
      </c>
      <c r="C17" s="494"/>
      <c r="D17" s="1528">
        <f>ROUND(SUM(D15:D16),0)</f>
        <v>0</v>
      </c>
      <c r="E17" s="495"/>
      <c r="F17" s="1528">
        <f>ROUND(SUM(F15:F16),0)</f>
        <v>0</v>
      </c>
      <c r="G17" s="495"/>
      <c r="H17" s="1528">
        <f>ROUND(SUM(H15:H16),0)</f>
        <v>0</v>
      </c>
      <c r="I17" s="495"/>
      <c r="J17" s="1528">
        <f>ROUND(SUM(J15:J16),0)</f>
        <v>0</v>
      </c>
      <c r="K17" s="497"/>
      <c r="L17" s="1528">
        <f>ROUND(SUM(L15:L16),0)</f>
        <v>0</v>
      </c>
      <c r="M17" s="491"/>
      <c r="N17" s="1528">
        <f>ROUND(SUM(N15:N16),0)</f>
        <v>0</v>
      </c>
      <c r="O17" s="495"/>
      <c r="P17" s="1528">
        <f>ROUND(SUM(P15:P16),0)</f>
        <v>0</v>
      </c>
      <c r="Q17" s="495"/>
      <c r="R17" s="1528">
        <f>ROUND(SUM(R15:R16),0)</f>
        <v>0</v>
      </c>
      <c r="S17" s="495"/>
      <c r="T17" s="1528">
        <f>ROUND(SUM(T15:T16),0)</f>
        <v>0</v>
      </c>
      <c r="U17" s="495"/>
      <c r="V17" s="1528">
        <f>ROUND(SUM(V15:V16),0)</f>
        <v>0</v>
      </c>
      <c r="W17" s="495"/>
      <c r="X17" s="1528">
        <f>ROUND(SUM(X15:X16),0)</f>
        <v>0</v>
      </c>
      <c r="Y17" s="495"/>
      <c r="Z17" s="1528">
        <f>ROUND(SUM(Z15:Z16),0)</f>
        <v>0</v>
      </c>
      <c r="AB17" s="399"/>
    </row>
    <row r="18" spans="1:28" ht="15" customHeight="1">
      <c r="A18" s="1290"/>
      <c r="B18" s="1294"/>
      <c r="C18" s="1295"/>
      <c r="D18" s="1294"/>
      <c r="E18" s="1294"/>
      <c r="F18" s="1294"/>
      <c r="G18" s="1294"/>
      <c r="H18" s="1294"/>
      <c r="I18" s="1294"/>
      <c r="J18" s="1294"/>
      <c r="K18" s="1294"/>
      <c r="L18" s="1294"/>
      <c r="M18" s="1291"/>
      <c r="N18" s="1294"/>
      <c r="O18" s="1294"/>
      <c r="P18" s="1294"/>
      <c r="Q18" s="1294"/>
      <c r="R18" s="1294"/>
      <c r="S18" s="1294"/>
      <c r="T18" s="1294"/>
      <c r="U18" s="1294"/>
      <c r="V18" s="1294"/>
      <c r="W18" s="1294"/>
      <c r="X18" s="1294"/>
      <c r="Y18" s="1294"/>
      <c r="Z18" s="1298"/>
    </row>
    <row r="19" spans="1:28" ht="15" customHeight="1">
      <c r="A19" s="493" t="s">
        <v>22</v>
      </c>
      <c r="B19" s="1294"/>
      <c r="C19" s="1295"/>
      <c r="D19" s="1294"/>
      <c r="E19" s="1294"/>
      <c r="F19" s="1294"/>
      <c r="G19" s="1294"/>
      <c r="H19" s="1294"/>
      <c r="I19" s="1294"/>
      <c r="J19" s="1294"/>
      <c r="K19" s="1294"/>
      <c r="L19" s="1299"/>
      <c r="M19" s="1301"/>
      <c r="N19" s="1299"/>
      <c r="O19" s="1294"/>
      <c r="P19" s="1294"/>
      <c r="Q19" s="1294"/>
      <c r="R19" s="1294"/>
      <c r="S19" s="1294"/>
      <c r="T19" s="1294"/>
      <c r="U19" s="1294"/>
      <c r="V19" s="1294"/>
      <c r="W19" s="1294"/>
      <c r="X19" s="1294"/>
      <c r="Y19" s="1294"/>
      <c r="Z19" s="1296"/>
    </row>
    <row r="20" spans="1:28" ht="15" customHeight="1">
      <c r="A20" s="797" t="s">
        <v>1158</v>
      </c>
      <c r="B20" s="1294">
        <f>2262499+1</f>
        <v>2262500</v>
      </c>
      <c r="C20" s="1295"/>
      <c r="D20" s="1294">
        <v>1730017</v>
      </c>
      <c r="E20" s="1294"/>
      <c r="F20" s="1294"/>
      <c r="G20" s="1294"/>
      <c r="H20" s="1294"/>
      <c r="I20" s="1294"/>
      <c r="J20" s="1294"/>
      <c r="K20" s="1294"/>
      <c r="L20" s="1299"/>
      <c r="M20" s="1301"/>
      <c r="N20" s="1299"/>
      <c r="O20" s="1294"/>
      <c r="P20" s="1299"/>
      <c r="Q20" s="1294"/>
      <c r="R20" s="1294"/>
      <c r="S20" s="1294"/>
      <c r="T20" s="1294"/>
      <c r="U20" s="1294"/>
      <c r="V20" s="1294"/>
      <c r="W20" s="1294"/>
      <c r="X20" s="1294"/>
      <c r="Y20" s="1294"/>
      <c r="Z20" s="1296">
        <f t="shared" ref="Z20:Z27" si="0">ROUND(SUM(B20:X20),0)</f>
        <v>3992517</v>
      </c>
    </row>
    <row r="21" spans="1:28" ht="15" customHeight="1">
      <c r="A21" s="797" t="s">
        <v>1114</v>
      </c>
      <c r="B21" s="1294">
        <v>1345907</v>
      </c>
      <c r="C21" s="1300"/>
      <c r="D21" s="1299">
        <v>2089289</v>
      </c>
      <c r="E21" s="1299"/>
      <c r="F21" s="1299"/>
      <c r="G21" s="1299"/>
      <c r="H21" s="1299"/>
      <c r="I21" s="1299"/>
      <c r="J21" s="1299"/>
      <c r="K21" s="1299"/>
      <c r="L21" s="1299"/>
      <c r="M21" s="1301"/>
      <c r="N21" s="1299"/>
      <c r="O21" s="1299"/>
      <c r="P21" s="1299"/>
      <c r="Q21" s="1299"/>
      <c r="R21" s="1299"/>
      <c r="S21" s="1299"/>
      <c r="T21" s="1299"/>
      <c r="U21" s="1299"/>
      <c r="V21" s="1299"/>
      <c r="W21" s="1299"/>
      <c r="X21" s="1299"/>
      <c r="Y21" s="1299"/>
      <c r="Z21" s="3806">
        <f>ROUND(SUM(B21:X21),0)</f>
        <v>3435196</v>
      </c>
    </row>
    <row r="22" spans="1:28" ht="15" customHeight="1">
      <c r="A22" s="797" t="s">
        <v>1184</v>
      </c>
      <c r="B22" s="1294">
        <v>0</v>
      </c>
      <c r="C22" s="1300"/>
      <c r="D22" s="1299">
        <v>2453</v>
      </c>
      <c r="E22" s="1299"/>
      <c r="F22" s="1299"/>
      <c r="G22" s="1299"/>
      <c r="H22" s="1299"/>
      <c r="I22" s="1299"/>
      <c r="J22" s="1299"/>
      <c r="K22" s="1299"/>
      <c r="L22" s="1299"/>
      <c r="M22" s="1301"/>
      <c r="N22" s="1299"/>
      <c r="O22" s="1299"/>
      <c r="P22" s="1299"/>
      <c r="Q22" s="1299"/>
      <c r="R22" s="1299"/>
      <c r="S22" s="1299"/>
      <c r="T22" s="1299"/>
      <c r="U22" s="1299"/>
      <c r="V22" s="1299"/>
      <c r="W22" s="1299"/>
      <c r="X22" s="1299"/>
      <c r="Y22" s="1299"/>
      <c r="Z22" s="3806">
        <f t="shared" si="0"/>
        <v>2453</v>
      </c>
      <c r="AB22" s="3304"/>
    </row>
    <row r="23" spans="1:28" ht="15" customHeight="1">
      <c r="A23" s="797" t="s">
        <v>1162</v>
      </c>
      <c r="B23" s="1294">
        <v>89630</v>
      </c>
      <c r="C23" s="1300"/>
      <c r="D23" s="1299">
        <v>54185</v>
      </c>
      <c r="E23" s="1299"/>
      <c r="F23" s="1299"/>
      <c r="G23" s="1299"/>
      <c r="H23" s="1299"/>
      <c r="I23" s="1299"/>
      <c r="J23" s="1299"/>
      <c r="K23" s="1299"/>
      <c r="L23" s="1299"/>
      <c r="M23" s="1301"/>
      <c r="N23" s="1299"/>
      <c r="O23" s="1299"/>
      <c r="P23" s="1299"/>
      <c r="Q23" s="1299"/>
      <c r="R23" s="1299"/>
      <c r="S23" s="1299"/>
      <c r="T23" s="1299"/>
      <c r="U23" s="1299"/>
      <c r="V23" s="1299"/>
      <c r="W23" s="1299"/>
      <c r="X23" s="1299"/>
      <c r="Y23" s="1299"/>
      <c r="Z23" s="3806">
        <f t="shared" si="0"/>
        <v>143815</v>
      </c>
    </row>
    <row r="24" spans="1:28" ht="15" customHeight="1">
      <c r="A24" s="797" t="s">
        <v>1333</v>
      </c>
      <c r="B24" s="1294">
        <v>0</v>
      </c>
      <c r="C24" s="1300"/>
      <c r="D24" s="1299">
        <v>0</v>
      </c>
      <c r="E24" s="1299"/>
      <c r="F24" s="1299"/>
      <c r="G24" s="1299"/>
      <c r="H24" s="1299"/>
      <c r="I24" s="1299"/>
      <c r="J24" s="1299"/>
      <c r="K24" s="1299"/>
      <c r="L24" s="1299"/>
      <c r="M24" s="1301"/>
      <c r="N24" s="1299"/>
      <c r="O24" s="1299"/>
      <c r="P24" s="1299"/>
      <c r="Q24" s="1299"/>
      <c r="R24" s="1299"/>
      <c r="S24" s="1299"/>
      <c r="T24" s="1299"/>
      <c r="U24" s="1299"/>
      <c r="V24" s="1299"/>
      <c r="W24" s="1299"/>
      <c r="X24" s="1299"/>
      <c r="Y24" s="1299"/>
      <c r="Z24" s="3806">
        <f t="shared" si="0"/>
        <v>0</v>
      </c>
    </row>
    <row r="25" spans="1:28" ht="15" customHeight="1">
      <c r="A25" s="797" t="s">
        <v>1197</v>
      </c>
      <c r="B25" s="1294">
        <v>0</v>
      </c>
      <c r="C25" s="1300"/>
      <c r="D25" s="1299">
        <v>0</v>
      </c>
      <c r="E25" s="1299"/>
      <c r="F25" s="1299"/>
      <c r="G25" s="1299"/>
      <c r="H25" s="1299"/>
      <c r="I25" s="1299"/>
      <c r="J25" s="1299"/>
      <c r="K25" s="1299"/>
      <c r="L25" s="1299"/>
      <c r="M25" s="1301"/>
      <c r="N25" s="1299"/>
      <c r="O25" s="1299"/>
      <c r="P25" s="1299"/>
      <c r="Q25" s="1299"/>
      <c r="R25" s="1299"/>
      <c r="S25" s="1299"/>
      <c r="T25" s="1299"/>
      <c r="U25" s="1299"/>
      <c r="V25" s="1299"/>
      <c r="W25" s="1299"/>
      <c r="X25" s="1299"/>
      <c r="Y25" s="1299"/>
      <c r="Z25" s="3806">
        <f t="shared" si="0"/>
        <v>0</v>
      </c>
    </row>
    <row r="26" spans="1:28" ht="15" customHeight="1">
      <c r="A26" s="797" t="s">
        <v>1113</v>
      </c>
      <c r="B26" s="1294">
        <v>488753</v>
      </c>
      <c r="C26" s="1300"/>
      <c r="D26" s="1299">
        <v>0</v>
      </c>
      <c r="E26" s="1299"/>
      <c r="F26" s="1299"/>
      <c r="G26" s="1299"/>
      <c r="H26" s="1299"/>
      <c r="I26" s="1299"/>
      <c r="J26" s="1299"/>
      <c r="K26" s="1299"/>
      <c r="L26" s="1299"/>
      <c r="M26" s="1301"/>
      <c r="N26" s="1299"/>
      <c r="O26" s="1299"/>
      <c r="P26" s="1299"/>
      <c r="Q26" s="1299"/>
      <c r="R26" s="1299"/>
      <c r="S26" s="1299"/>
      <c r="T26" s="1299"/>
      <c r="U26" s="1299"/>
      <c r="V26" s="1299"/>
      <c r="W26" s="1299"/>
      <c r="X26" s="1299"/>
      <c r="Y26" s="1299"/>
      <c r="Z26" s="3806">
        <f t="shared" si="0"/>
        <v>488753</v>
      </c>
    </row>
    <row r="27" spans="1:28" ht="15" customHeight="1">
      <c r="A27" s="797" t="s">
        <v>1176</v>
      </c>
      <c r="B27" s="1294">
        <v>0</v>
      </c>
      <c r="C27" s="1300"/>
      <c r="D27" s="1299">
        <v>0</v>
      </c>
      <c r="E27" s="1299"/>
      <c r="F27" s="1299"/>
      <c r="G27" s="1299"/>
      <c r="H27" s="1299"/>
      <c r="I27" s="1299"/>
      <c r="J27" s="1299"/>
      <c r="K27" s="1299"/>
      <c r="L27" s="1299"/>
      <c r="M27" s="1301"/>
      <c r="N27" s="1299"/>
      <c r="O27" s="1299"/>
      <c r="P27" s="1299"/>
      <c r="Q27" s="1299"/>
      <c r="R27" s="1299"/>
      <c r="S27" s="1299"/>
      <c r="T27" s="1299"/>
      <c r="U27" s="1299"/>
      <c r="V27" s="1299"/>
      <c r="W27" s="1299"/>
      <c r="X27" s="1299"/>
      <c r="Y27" s="1299"/>
      <c r="Z27" s="3806">
        <f t="shared" si="0"/>
        <v>0</v>
      </c>
    </row>
    <row r="28" spans="1:28" ht="14.85" customHeight="1">
      <c r="A28" s="797" t="s">
        <v>1185</v>
      </c>
      <c r="B28" s="1294">
        <v>3601588</v>
      </c>
      <c r="C28" s="1300"/>
      <c r="D28" s="1299">
        <v>0</v>
      </c>
      <c r="E28" s="1299"/>
      <c r="F28" s="1299"/>
      <c r="G28" s="1299"/>
      <c r="H28" s="1299"/>
      <c r="I28" s="1299"/>
      <c r="J28" s="1299"/>
      <c r="K28" s="1299"/>
      <c r="L28" s="1299"/>
      <c r="M28" s="1301"/>
      <c r="N28" s="1299"/>
      <c r="O28" s="1299"/>
      <c r="P28" s="1299"/>
      <c r="Q28" s="1299"/>
      <c r="R28" s="1299"/>
      <c r="S28" s="1299"/>
      <c r="T28" s="1299"/>
      <c r="U28" s="1299"/>
      <c r="V28" s="1299"/>
      <c r="W28" s="1299"/>
      <c r="X28" s="1299"/>
      <c r="Y28" s="1299"/>
      <c r="Z28" s="3806">
        <f>ROUND(SUM(B28:X28),0)</f>
        <v>3601588</v>
      </c>
    </row>
    <row r="29" spans="1:28" ht="15" customHeight="1">
      <c r="A29" s="797" t="s">
        <v>1181</v>
      </c>
      <c r="B29" s="1294">
        <v>111831</v>
      </c>
      <c r="C29" s="1300"/>
      <c r="D29" s="1299">
        <v>559243</v>
      </c>
      <c r="E29" s="1299"/>
      <c r="F29" s="1299"/>
      <c r="G29" s="1299"/>
      <c r="H29" s="1299"/>
      <c r="I29" s="1299"/>
      <c r="J29" s="1299"/>
      <c r="K29" s="1299"/>
      <c r="L29" s="1299"/>
      <c r="M29" s="1301"/>
      <c r="N29" s="1299"/>
      <c r="O29" s="1299"/>
      <c r="P29" s="1299"/>
      <c r="Q29" s="1299"/>
      <c r="R29" s="1299"/>
      <c r="S29" s="1299"/>
      <c r="T29" s="1299"/>
      <c r="U29" s="1299"/>
      <c r="V29" s="1299"/>
      <c r="W29" s="1299"/>
      <c r="X29" s="1299"/>
      <c r="Y29" s="1299"/>
      <c r="Z29" s="1296">
        <f>ROUND(SUM(B29:X29),0)</f>
        <v>671074</v>
      </c>
    </row>
    <row r="30" spans="1:28" ht="15" customHeight="1">
      <c r="A30" s="797" t="s">
        <v>1112</v>
      </c>
      <c r="B30" s="1294">
        <v>0</v>
      </c>
      <c r="C30" s="1300"/>
      <c r="D30" s="1299">
        <v>0</v>
      </c>
      <c r="E30" s="1299"/>
      <c r="F30" s="1299"/>
      <c r="G30" s="1299"/>
      <c r="H30" s="1299"/>
      <c r="I30" s="1299"/>
      <c r="J30" s="1299"/>
      <c r="K30" s="1299"/>
      <c r="L30" s="1299"/>
      <c r="M30" s="1301"/>
      <c r="N30" s="1299"/>
      <c r="O30" s="1299"/>
      <c r="P30" s="1299"/>
      <c r="Q30" s="1299"/>
      <c r="R30" s="1299"/>
      <c r="S30" s="1299"/>
      <c r="T30" s="1299"/>
      <c r="U30" s="1299"/>
      <c r="V30" s="1299"/>
      <c r="W30" s="1299"/>
      <c r="X30" s="1299"/>
      <c r="Y30" s="1299"/>
      <c r="Z30" s="1296">
        <f t="shared" ref="Z30:Z32" si="1">ROUND(SUM(B30:X30),0)</f>
        <v>0</v>
      </c>
    </row>
    <row r="31" spans="1:28" ht="15" customHeight="1">
      <c r="A31" s="797" t="s">
        <v>1144</v>
      </c>
      <c r="B31" s="1294">
        <v>0</v>
      </c>
      <c r="C31" s="1300"/>
      <c r="D31" s="1299">
        <v>0</v>
      </c>
      <c r="E31" s="1299"/>
      <c r="F31" s="1299"/>
      <c r="G31" s="1299"/>
      <c r="H31" s="1299"/>
      <c r="I31" s="1299"/>
      <c r="J31" s="1299"/>
      <c r="K31" s="1299"/>
      <c r="L31" s="1299"/>
      <c r="M31" s="1301"/>
      <c r="N31" s="1299"/>
      <c r="O31" s="1299"/>
      <c r="P31" s="1299"/>
      <c r="Q31" s="1299"/>
      <c r="R31" s="1299"/>
      <c r="S31" s="1299"/>
      <c r="T31" s="1299"/>
      <c r="U31" s="1299"/>
      <c r="V31" s="1299"/>
      <c r="W31" s="1299"/>
      <c r="X31" s="1299"/>
      <c r="Y31" s="1299"/>
      <c r="Z31" s="1296">
        <f>ROUND(SUM(B31:X31),0)</f>
        <v>0</v>
      </c>
      <c r="AA31" s="1688"/>
      <c r="AB31" s="1688"/>
    </row>
    <row r="32" spans="1:28" ht="15" customHeight="1">
      <c r="A32" s="797" t="s">
        <v>1111</v>
      </c>
      <c r="B32" s="1294">
        <v>0</v>
      </c>
      <c r="C32" s="1300"/>
      <c r="D32" s="1299">
        <v>0</v>
      </c>
      <c r="E32" s="1299"/>
      <c r="F32" s="1299"/>
      <c r="G32" s="1299"/>
      <c r="H32" s="1299"/>
      <c r="I32" s="1299"/>
      <c r="J32" s="1299"/>
      <c r="K32" s="1299"/>
      <c r="L32" s="1299"/>
      <c r="M32" s="1301"/>
      <c r="N32" s="1299"/>
      <c r="O32" s="1299"/>
      <c r="P32" s="1299"/>
      <c r="Q32" s="1299"/>
      <c r="R32" s="1299"/>
      <c r="S32" s="1299"/>
      <c r="T32" s="1299"/>
      <c r="U32" s="1299"/>
      <c r="V32" s="1299"/>
      <c r="W32" s="1299"/>
      <c r="X32" s="1299"/>
      <c r="Y32" s="1299"/>
      <c r="Z32" s="1296">
        <f t="shared" si="1"/>
        <v>0</v>
      </c>
    </row>
    <row r="33" spans="1:28" ht="15" customHeight="1">
      <c r="A33" s="797" t="s">
        <v>1110</v>
      </c>
      <c r="B33" s="1294">
        <v>0</v>
      </c>
      <c r="C33" s="1300"/>
      <c r="D33" s="1299">
        <v>0</v>
      </c>
      <c r="E33" s="1299"/>
      <c r="F33" s="1299"/>
      <c r="G33" s="1299"/>
      <c r="H33" s="1299"/>
      <c r="I33" s="1299"/>
      <c r="J33" s="1299"/>
      <c r="K33" s="1299"/>
      <c r="L33" s="1299"/>
      <c r="M33" s="1301"/>
      <c r="N33" s="1299"/>
      <c r="O33" s="1299"/>
      <c r="P33" s="1299"/>
      <c r="Q33" s="1299"/>
      <c r="R33" s="1299"/>
      <c r="S33" s="1299"/>
      <c r="T33" s="1299"/>
      <c r="U33" s="1299"/>
      <c r="V33" s="1299"/>
      <c r="W33" s="1299"/>
      <c r="X33" s="1299"/>
      <c r="Y33" s="1299"/>
      <c r="Z33" s="1296">
        <f>ROUND(SUM(B33:X33),0)</f>
        <v>0</v>
      </c>
    </row>
    <row r="34" spans="1:28" ht="15" customHeight="1">
      <c r="A34" s="797" t="s">
        <v>1109</v>
      </c>
      <c r="B34" s="1294">
        <v>849993</v>
      </c>
      <c r="C34" s="1300"/>
      <c r="D34" s="1299">
        <v>182622</v>
      </c>
      <c r="E34" s="1299"/>
      <c r="F34" s="1299"/>
      <c r="G34" s="1299"/>
      <c r="H34" s="1299"/>
      <c r="I34" s="1299"/>
      <c r="J34" s="1299"/>
      <c r="K34" s="1299"/>
      <c r="L34" s="1299"/>
      <c r="M34" s="1301"/>
      <c r="N34" s="1299"/>
      <c r="O34" s="1299"/>
      <c r="P34" s="1299"/>
      <c r="Q34" s="1299"/>
      <c r="R34" s="1299"/>
      <c r="S34" s="1299"/>
      <c r="T34" s="1299"/>
      <c r="U34" s="1299"/>
      <c r="V34" s="1299"/>
      <c r="W34" s="1299"/>
      <c r="X34" s="1299"/>
      <c r="Y34" s="1299"/>
      <c r="Z34" s="1296">
        <f>ROUND(SUM(B34:X34),0)</f>
        <v>1032615</v>
      </c>
    </row>
    <row r="35" spans="1:28" ht="15" customHeight="1">
      <c r="A35" s="797" t="s">
        <v>1150</v>
      </c>
      <c r="B35" s="1294">
        <v>0</v>
      </c>
      <c r="C35" s="1300"/>
      <c r="D35" s="1299">
        <v>0</v>
      </c>
      <c r="E35" s="1299"/>
      <c r="F35" s="1299"/>
      <c r="G35" s="1299"/>
      <c r="H35" s="1299"/>
      <c r="I35" s="1299"/>
      <c r="J35" s="1299"/>
      <c r="K35" s="1299"/>
      <c r="L35" s="1299"/>
      <c r="M35" s="1301"/>
      <c r="N35" s="1299"/>
      <c r="O35" s="1299"/>
      <c r="P35" s="1299"/>
      <c r="Q35" s="1299"/>
      <c r="R35" s="1299"/>
      <c r="S35" s="1299"/>
      <c r="T35" s="1299"/>
      <c r="U35" s="1299"/>
      <c r="V35" s="1299"/>
      <c r="W35" s="1299"/>
      <c r="X35" s="1299"/>
      <c r="Y35" s="1299"/>
      <c r="Z35" s="1296">
        <f>ROUND(SUM(B35:X35),0)</f>
        <v>0</v>
      </c>
    </row>
    <row r="36" spans="1:28" ht="15" customHeight="1">
      <c r="A36" s="797" t="s">
        <v>1126</v>
      </c>
      <c r="B36" s="1299">
        <f>9394443+1</f>
        <v>9394444</v>
      </c>
      <c r="C36" s="1300"/>
      <c r="D36" s="1299">
        <v>3956873</v>
      </c>
      <c r="E36" s="1299"/>
      <c r="F36" s="1299"/>
      <c r="G36" s="1299"/>
      <c r="H36" s="1299"/>
      <c r="I36" s="1299"/>
      <c r="J36" s="1299"/>
      <c r="K36" s="1299"/>
      <c r="L36" s="1299"/>
      <c r="M36" s="1301"/>
      <c r="N36" s="1299"/>
      <c r="O36" s="1299"/>
      <c r="P36" s="1299"/>
      <c r="Q36" s="1299"/>
      <c r="R36" s="1299"/>
      <c r="S36" s="1299"/>
      <c r="T36" s="1299"/>
      <c r="U36" s="1299"/>
      <c r="V36" s="1299"/>
      <c r="W36" s="1299"/>
      <c r="X36" s="1299"/>
      <c r="Y36" s="1299"/>
      <c r="Z36" s="1296">
        <f>ROUND(SUM(B36:X36),0)</f>
        <v>13351317</v>
      </c>
    </row>
    <row r="37" spans="1:28" ht="22.5" customHeight="1">
      <c r="A37" s="498" t="s">
        <v>153</v>
      </c>
      <c r="B37" s="1527">
        <f>ROUND(SUM(B20:B36),0)</f>
        <v>18144646</v>
      </c>
      <c r="C37" s="1300"/>
      <c r="D37" s="1527">
        <f>ROUND(SUM(D20:D36),0)</f>
        <v>8574682</v>
      </c>
      <c r="E37" s="1299"/>
      <c r="F37" s="1527">
        <f>ROUND(SUM(F20:F36),0)</f>
        <v>0</v>
      </c>
      <c r="G37" s="1299"/>
      <c r="H37" s="1527">
        <f>ROUND(SUM(H20:H36),0)</f>
        <v>0</v>
      </c>
      <c r="I37" s="1299"/>
      <c r="J37" s="1527">
        <f>ROUND(SUM(J20:J36),0)</f>
        <v>0</v>
      </c>
      <c r="K37" s="1299"/>
      <c r="L37" s="1527">
        <f>ROUND(SUM(L20:L36),0)</f>
        <v>0</v>
      </c>
      <c r="M37" s="1301"/>
      <c r="N37" s="1527">
        <f>ROUND(SUM(N20:N36),0)</f>
        <v>0</v>
      </c>
      <c r="O37" s="1299"/>
      <c r="P37" s="1527">
        <f>ROUND(SUM(P20:P36),0)</f>
        <v>0</v>
      </c>
      <c r="Q37" s="1299"/>
      <c r="R37" s="1527">
        <f>ROUND(SUM(R20:R36),0)</f>
        <v>0</v>
      </c>
      <c r="S37" s="1299"/>
      <c r="T37" s="1527">
        <f>ROUND(SUM(T20:T36),0)</f>
        <v>0</v>
      </c>
      <c r="U37" s="1299"/>
      <c r="V37" s="1527">
        <f>ROUND(SUM(V20:V36),0)</f>
        <v>0</v>
      </c>
      <c r="W37" s="1299"/>
      <c r="X37" s="1527">
        <f>ROUND(SUM(X20:X36),0)</f>
        <v>0</v>
      </c>
      <c r="Y37" s="1299"/>
      <c r="Z37" s="1527">
        <f>ROUND(SUM(Z20:Z36),0)</f>
        <v>26719328</v>
      </c>
    </row>
    <row r="38" spans="1:28" ht="15" customHeight="1">
      <c r="A38" s="498"/>
      <c r="B38" s="1299"/>
      <c r="C38" s="1300"/>
      <c r="D38" s="1299"/>
      <c r="E38" s="1299"/>
      <c r="F38" s="1305"/>
      <c r="G38" s="1299"/>
      <c r="H38" s="1305"/>
      <c r="I38" s="1299"/>
      <c r="J38" s="1299"/>
      <c r="K38" s="1299"/>
      <c r="L38" s="1304"/>
      <c r="M38" s="1301"/>
      <c r="N38" s="1304"/>
      <c r="O38" s="1299"/>
      <c r="P38" s="1303"/>
      <c r="Q38" s="1299"/>
      <c r="R38" s="1305"/>
      <c r="S38" s="1299"/>
      <c r="T38" s="1305"/>
      <c r="U38" s="1299"/>
      <c r="V38" s="1300"/>
      <c r="W38" s="1299"/>
      <c r="X38" s="1305"/>
      <c r="Y38" s="1299"/>
      <c r="Z38" s="1296"/>
    </row>
    <row r="39" spans="1:28" ht="15" customHeight="1">
      <c r="A39" s="499" t="s">
        <v>473</v>
      </c>
      <c r="B39" s="1305"/>
      <c r="C39" s="1306"/>
      <c r="D39" s="1305"/>
      <c r="E39" s="1299"/>
      <c r="F39" s="1304"/>
      <c r="G39" s="1299"/>
      <c r="H39" s="1305"/>
      <c r="I39" s="1299"/>
      <c r="J39" s="1305"/>
      <c r="K39" s="1299"/>
      <c r="L39" s="1305"/>
      <c r="M39" s="1301"/>
      <c r="N39" s="1305"/>
      <c r="O39" s="1299"/>
      <c r="P39" s="1303"/>
      <c r="Q39" s="1299"/>
      <c r="R39" s="1305"/>
      <c r="S39" s="1299"/>
      <c r="T39" s="1305"/>
      <c r="U39" s="1299"/>
      <c r="V39" s="1304"/>
      <c r="W39" s="1299"/>
      <c r="X39" s="1304"/>
      <c r="Y39" s="1299"/>
      <c r="Z39" s="1296"/>
    </row>
    <row r="40" spans="1:28" ht="15" customHeight="1">
      <c r="A40" s="797" t="s">
        <v>475</v>
      </c>
      <c r="B40" s="1299">
        <v>0</v>
      </c>
      <c r="C40" s="1306"/>
      <c r="D40" s="1299">
        <v>0</v>
      </c>
      <c r="E40" s="1299"/>
      <c r="F40" s="1299"/>
      <c r="G40" s="1299"/>
      <c r="H40" s="1299"/>
      <c r="I40" s="1299"/>
      <c r="J40" s="1299"/>
      <c r="K40" s="1299"/>
      <c r="L40" s="1299"/>
      <c r="M40" s="1301"/>
      <c r="N40" s="1299"/>
      <c r="O40" s="1299"/>
      <c r="P40" s="1299"/>
      <c r="Q40" s="1299"/>
      <c r="R40" s="1299"/>
      <c r="S40" s="1299"/>
      <c r="T40" s="1299"/>
      <c r="U40" s="1299"/>
      <c r="V40" s="1299"/>
      <c r="W40" s="1299"/>
      <c r="X40" s="1299"/>
      <c r="Y40" s="1299"/>
      <c r="Z40" s="1296">
        <f>ROUND(SUM(B40:X40),0)</f>
        <v>0</v>
      </c>
    </row>
    <row r="41" spans="1:28" ht="22.5" customHeight="1">
      <c r="A41" s="493" t="s">
        <v>479</v>
      </c>
      <c r="B41" s="1526">
        <f>ROUND(SUM(B40:B40),0)</f>
        <v>0</v>
      </c>
      <c r="C41" s="1297"/>
      <c r="D41" s="1526">
        <f>ROUND(SUM(D40:D40),0)</f>
        <v>0</v>
      </c>
      <c r="E41" s="1294"/>
      <c r="F41" s="1526">
        <f>ROUND(SUM(F40:F40),0)</f>
        <v>0</v>
      </c>
      <c r="G41" s="1294"/>
      <c r="H41" s="1526">
        <f>ROUND(SUM(H40:H40),0)</f>
        <v>0</v>
      </c>
      <c r="I41" s="1294"/>
      <c r="J41" s="1526">
        <f>ROUND(SUM(J40:J40),0)</f>
        <v>0</v>
      </c>
      <c r="K41" s="1294"/>
      <c r="L41" s="1526">
        <f>ROUND(SUM(L40:L40),0)</f>
        <v>0</v>
      </c>
      <c r="M41" s="1291"/>
      <c r="N41" s="1526">
        <f>ROUND(SUM(N40:N40),0)</f>
        <v>0</v>
      </c>
      <c r="O41" s="1294"/>
      <c r="P41" s="1526">
        <f>ROUND(SUM(P40:P40),0)</f>
        <v>0</v>
      </c>
      <c r="Q41" s="1294"/>
      <c r="R41" s="1526">
        <f>ROUND(SUM(R40:R40),0)</f>
        <v>0</v>
      </c>
      <c r="S41" s="1294"/>
      <c r="T41" s="1526">
        <f>ROUND(SUM(T40:T40),0)</f>
        <v>0</v>
      </c>
      <c r="U41" s="1294"/>
      <c r="V41" s="1526">
        <f>ROUND(SUM(V40:V40),0)</f>
        <v>0</v>
      </c>
      <c r="W41" s="1294"/>
      <c r="X41" s="1526">
        <f>ROUND(SUM(X40:X40),0)</f>
        <v>0</v>
      </c>
      <c r="Y41" s="1294"/>
      <c r="Z41" s="1526">
        <f>ROUND(SUM(Z40:Z40),0)</f>
        <v>0</v>
      </c>
    </row>
    <row r="42" spans="1:28" ht="15" customHeight="1">
      <c r="B42" s="1525"/>
      <c r="C42" s="1297"/>
      <c r="D42" s="1525"/>
      <c r="E42" s="1294"/>
      <c r="F42" s="1525"/>
      <c r="G42" s="1294"/>
      <c r="H42" s="1525"/>
      <c r="I42" s="1294"/>
      <c r="J42" s="1525"/>
      <c r="K42" s="1294"/>
      <c r="L42" s="1525"/>
      <c r="M42" s="1291"/>
      <c r="N42" s="1525"/>
      <c r="O42" s="1294"/>
      <c r="P42" s="1525"/>
      <c r="Q42" s="1294"/>
      <c r="R42" s="1525"/>
      <c r="S42" s="1294"/>
      <c r="T42" s="1525"/>
      <c r="U42" s="1294"/>
      <c r="V42" s="1525"/>
      <c r="W42" s="1294"/>
      <c r="X42" s="1525"/>
      <c r="Y42" s="1294"/>
      <c r="Z42" s="1524"/>
    </row>
    <row r="43" spans="1:28" s="492" customFormat="1" ht="20.25" customHeight="1">
      <c r="A43" s="493" t="s">
        <v>480</v>
      </c>
      <c r="B43" s="1307">
        <f>ROUND(B37+B41,0)</f>
        <v>18144646</v>
      </c>
      <c r="C43" s="494"/>
      <c r="D43" s="1307">
        <f>ROUND(D37+D41,0)</f>
        <v>8574682</v>
      </c>
      <c r="E43" s="495"/>
      <c r="F43" s="1307">
        <f>ROUND(F37+F41,0)</f>
        <v>0</v>
      </c>
      <c r="G43" s="495"/>
      <c r="H43" s="1307">
        <f>ROUND(H37+H41,0)</f>
        <v>0</v>
      </c>
      <c r="I43" s="495"/>
      <c r="J43" s="1307">
        <f>ROUND(J37+J41,0)</f>
        <v>0</v>
      </c>
      <c r="K43" s="494"/>
      <c r="L43" s="1307">
        <f>ROUND(L37+L41,0)</f>
        <v>0</v>
      </c>
      <c r="M43" s="491"/>
      <c r="N43" s="1307">
        <f>ROUND(N37+N41,0)</f>
        <v>0</v>
      </c>
      <c r="O43" s="495"/>
      <c r="P43" s="1307">
        <f>ROUND(P37+P41,0)</f>
        <v>0</v>
      </c>
      <c r="Q43" s="495"/>
      <c r="R43" s="1307">
        <f>ROUND(R37+R41,0)</f>
        <v>0</v>
      </c>
      <c r="S43" s="495"/>
      <c r="T43" s="1307">
        <f>ROUND(T37+T41,0)</f>
        <v>0</v>
      </c>
      <c r="U43" s="495"/>
      <c r="V43" s="1307">
        <f>ROUND(V37+V41,0)</f>
        <v>0</v>
      </c>
      <c r="W43" s="495"/>
      <c r="X43" s="1307">
        <f>ROUND(X37+X41,0)</f>
        <v>0</v>
      </c>
      <c r="Y43" s="495"/>
      <c r="Z43" s="1307">
        <f>ROUND(Z37+Z41,0)</f>
        <v>26719328</v>
      </c>
      <c r="AB43" s="399"/>
    </row>
    <row r="44" spans="1:28" ht="15" customHeight="1">
      <c r="A44" s="1290"/>
      <c r="B44" s="1292"/>
      <c r="C44" s="1292"/>
      <c r="D44" s="1292"/>
      <c r="E44" s="1291"/>
      <c r="F44" s="1292"/>
      <c r="G44" s="1291"/>
      <c r="H44" s="1292"/>
      <c r="I44" s="1291"/>
      <c r="J44" s="1292"/>
      <c r="K44" s="1292"/>
      <c r="L44" s="1292"/>
      <c r="M44" s="1291"/>
      <c r="N44" s="1292"/>
      <c r="O44" s="1291"/>
      <c r="P44" s="1292"/>
      <c r="Q44" s="1291"/>
      <c r="R44" s="1292"/>
      <c r="S44" s="1291"/>
      <c r="T44" s="1292"/>
      <c r="U44" s="1291"/>
      <c r="V44" s="1292"/>
      <c r="W44" s="1291"/>
      <c r="X44" s="1292"/>
      <c r="Y44" s="1291"/>
      <c r="Z44" s="1308"/>
    </row>
    <row r="45" spans="1:28" s="492" customFormat="1" ht="20.25" customHeight="1" thickBot="1">
      <c r="A45" s="499" t="s">
        <v>481</v>
      </c>
      <c r="B45" s="1523">
        <f>ROUND(B12+B17-B43,0)</f>
        <v>46698758</v>
      </c>
      <c r="C45" s="489"/>
      <c r="D45" s="1523">
        <f>ROUND(D12+D17-D43,0)</f>
        <v>38124076</v>
      </c>
      <c r="E45" s="1289"/>
      <c r="F45" s="1523">
        <f>ROUND(F12+F17-F43,0)</f>
        <v>0</v>
      </c>
      <c r="G45" s="1289"/>
      <c r="H45" s="1523">
        <f>ROUND(H12+H17-H43,0)</f>
        <v>0</v>
      </c>
      <c r="I45" s="3790"/>
      <c r="J45" s="1523">
        <f>ROUND(J12+J17-J43,0)</f>
        <v>0</v>
      </c>
      <c r="K45" s="3791"/>
      <c r="L45" s="1523">
        <f>ROUND(L12+L17-L43,0)</f>
        <v>0</v>
      </c>
      <c r="M45" s="3792"/>
      <c r="N45" s="1523">
        <f>ROUND(N12+N17-N43,0)</f>
        <v>0</v>
      </c>
      <c r="O45" s="3793"/>
      <c r="P45" s="1523">
        <f>ROUND(P12+P17-P43,0)</f>
        <v>0</v>
      </c>
      <c r="Q45" s="3793"/>
      <c r="R45" s="1523">
        <f>ROUND(R12+R17-R43,0)</f>
        <v>0</v>
      </c>
      <c r="S45" s="3793"/>
      <c r="T45" s="1523">
        <f>ROUND(T12+T17-T43,0)</f>
        <v>0</v>
      </c>
      <c r="U45" s="3793"/>
      <c r="V45" s="1523">
        <f>ROUND(V12+V17-V43,0)</f>
        <v>0</v>
      </c>
      <c r="W45" s="3793"/>
      <c r="X45" s="1523">
        <f>ROUND(X12+X17-X43,0)</f>
        <v>0</v>
      </c>
      <c r="Y45" s="3793"/>
      <c r="Z45" s="3800">
        <f>ROUND(Z12+Z17-Z43,0)</f>
        <v>38124076</v>
      </c>
    </row>
    <row r="46" spans="1:28" ht="15" customHeight="1" thickTop="1">
      <c r="A46" s="1290"/>
      <c r="B46" s="1287"/>
      <c r="C46" s="1287"/>
      <c r="D46" s="1287"/>
      <c r="E46" s="1309"/>
      <c r="F46" s="1287"/>
      <c r="G46" s="1309"/>
      <c r="H46" s="1287"/>
      <c r="I46" s="1309"/>
      <c r="J46" s="1287"/>
      <c r="K46" s="1287"/>
      <c r="L46" s="1287"/>
      <c r="M46" s="1309"/>
      <c r="N46" s="1287"/>
      <c r="O46" s="1309"/>
      <c r="P46" s="1287"/>
      <c r="Q46" s="1309"/>
      <c r="R46" s="1287"/>
      <c r="S46" s="1309"/>
      <c r="T46" s="1287"/>
      <c r="U46" s="1309"/>
      <c r="V46" s="1287"/>
      <c r="W46" s="1309"/>
      <c r="X46" s="1287"/>
      <c r="Y46" s="1309"/>
      <c r="Z46" s="1308"/>
    </row>
    <row r="47" spans="1:28" ht="20.100000000000001" customHeight="1">
      <c r="A47" s="502"/>
      <c r="B47" s="1310"/>
      <c r="C47" s="1310"/>
      <c r="D47" s="1310"/>
      <c r="E47" s="1288"/>
      <c r="F47" s="1310"/>
      <c r="G47" s="1288"/>
      <c r="H47" s="1310"/>
      <c r="I47" s="1288"/>
      <c r="J47" s="1310"/>
      <c r="K47" s="1310"/>
      <c r="L47" s="1310"/>
      <c r="M47" s="1288"/>
      <c r="N47" s="1310"/>
      <c r="O47" s="1288"/>
      <c r="P47" s="1310"/>
      <c r="Q47" s="1288"/>
      <c r="R47" s="1310"/>
      <c r="S47" s="1288"/>
      <c r="T47" s="1310"/>
      <c r="U47" s="1288"/>
      <c r="V47" s="1310"/>
      <c r="W47" s="1288"/>
      <c r="X47" s="1310"/>
      <c r="Y47" s="1288"/>
      <c r="Z47" s="1293"/>
    </row>
    <row r="48" spans="1:28">
      <c r="L48" s="1520" t="s">
        <v>14</v>
      </c>
    </row>
    <row r="49" spans="1:26" ht="18" customHeight="1">
      <c r="A49" s="1522" t="s">
        <v>1264</v>
      </c>
      <c r="B49" s="1283"/>
      <c r="C49" s="1283"/>
      <c r="D49" s="1283"/>
      <c r="E49" s="470"/>
      <c r="F49" s="1283"/>
      <c r="G49" s="470"/>
      <c r="H49" s="1283"/>
      <c r="I49" s="470"/>
      <c r="J49" s="1283"/>
      <c r="K49" s="1283"/>
      <c r="L49" s="1283"/>
      <c r="M49" s="1288"/>
      <c r="N49" s="1283" t="s">
        <v>14</v>
      </c>
      <c r="O49" s="470"/>
      <c r="P49" s="1283"/>
      <c r="Q49" s="470"/>
      <c r="R49" s="1283"/>
      <c r="S49" s="470"/>
      <c r="T49" s="1283"/>
      <c r="U49" s="470"/>
      <c r="V49" s="1283"/>
      <c r="W49" s="470"/>
      <c r="X49" s="1283"/>
      <c r="Y49" s="470"/>
      <c r="Z49" s="1284"/>
    </row>
    <row r="50" spans="1:26" ht="20.100000000000001" customHeight="1">
      <c r="A50" s="1521" t="s">
        <v>1194</v>
      </c>
      <c r="B50" s="1310"/>
      <c r="C50" s="1310"/>
      <c r="D50" s="1310"/>
      <c r="E50" s="1288"/>
      <c r="F50" s="1310"/>
      <c r="G50" s="1288"/>
      <c r="H50" s="1310"/>
      <c r="I50" s="1288"/>
      <c r="J50" s="1310"/>
      <c r="K50" s="1310"/>
      <c r="L50" s="1310"/>
      <c r="M50" s="1288"/>
      <c r="N50" s="1310" t="s">
        <v>14</v>
      </c>
      <c r="O50" s="1288"/>
      <c r="P50" s="1310"/>
      <c r="Q50" s="1288"/>
      <c r="R50" s="1310"/>
      <c r="S50" s="1288"/>
      <c r="T50" s="1310"/>
      <c r="U50" s="1288"/>
      <c r="V50" s="1310"/>
      <c r="W50" s="1288"/>
      <c r="X50" s="1310"/>
      <c r="Y50" s="1288"/>
      <c r="Z50" s="1293"/>
    </row>
    <row r="51" spans="1:26" ht="20.100000000000001" customHeight="1">
      <c r="A51" s="1521"/>
      <c r="B51" s="1310"/>
      <c r="C51" s="1310"/>
      <c r="D51" s="1310"/>
      <c r="E51" s="1288"/>
      <c r="F51" s="1310"/>
      <c r="G51" s="1288"/>
      <c r="H51" s="1310"/>
      <c r="I51" s="1288"/>
      <c r="J51" s="1310"/>
      <c r="K51" s="1310"/>
      <c r="L51" s="1310"/>
      <c r="M51" s="1288"/>
      <c r="N51" s="1310" t="s">
        <v>14</v>
      </c>
      <c r="O51" s="1288"/>
      <c r="P51" s="1310"/>
      <c r="Q51" s="1288"/>
      <c r="R51" s="1310"/>
      <c r="S51" s="1288"/>
      <c r="T51" s="1310"/>
      <c r="U51" s="1288"/>
      <c r="V51" s="1310"/>
      <c r="W51" s="1288"/>
      <c r="X51" s="1310"/>
      <c r="Y51" s="1288"/>
      <c r="Z51" s="1293"/>
    </row>
    <row r="52" spans="1:26" ht="20.100000000000001" customHeight="1">
      <c r="A52" s="1542"/>
      <c r="B52" s="469"/>
      <c r="C52" s="469"/>
      <c r="D52" s="469"/>
      <c r="E52" s="470"/>
      <c r="F52" s="469"/>
      <c r="G52" s="470"/>
      <c r="H52" s="469"/>
      <c r="I52" s="470"/>
      <c r="J52" s="469"/>
      <c r="K52" s="469"/>
      <c r="L52" s="469"/>
      <c r="M52" s="470"/>
      <c r="N52" s="469"/>
      <c r="O52" s="470"/>
      <c r="P52" s="469"/>
      <c r="Q52" s="470"/>
      <c r="R52" s="469"/>
      <c r="S52" s="470"/>
      <c r="T52" s="469"/>
      <c r="U52" s="470"/>
      <c r="V52" s="469"/>
      <c r="W52" s="470"/>
      <c r="X52" s="469"/>
      <c r="Y52" s="470"/>
      <c r="Z52" s="400"/>
    </row>
    <row r="53" spans="1:26" ht="20.100000000000001" customHeight="1">
      <c r="A53" s="467"/>
      <c r="B53" s="469"/>
      <c r="C53" s="469"/>
      <c r="D53" s="469"/>
      <c r="E53" s="470"/>
      <c r="F53" s="469"/>
      <c r="G53" s="470"/>
      <c r="H53" s="469"/>
      <c r="I53" s="470"/>
      <c r="J53" s="469"/>
      <c r="K53" s="469"/>
      <c r="L53" s="469"/>
      <c r="M53" s="470"/>
      <c r="N53" s="469"/>
      <c r="O53" s="470"/>
      <c r="P53" s="469"/>
      <c r="Q53" s="470"/>
      <c r="R53" s="469"/>
      <c r="S53" s="470"/>
      <c r="T53" s="469"/>
      <c r="U53" s="470"/>
      <c r="V53" s="469"/>
      <c r="W53" s="470"/>
      <c r="X53" s="469"/>
      <c r="Y53" s="470"/>
      <c r="Z53" s="400"/>
    </row>
    <row r="54" spans="1:26" ht="20.100000000000001" customHeight="1">
      <c r="A54" s="467"/>
      <c r="B54" s="469"/>
      <c r="C54" s="469"/>
      <c r="D54" s="469"/>
      <c r="E54" s="470"/>
      <c r="F54" s="469"/>
      <c r="G54" s="470"/>
      <c r="H54" s="469"/>
      <c r="I54" s="470"/>
      <c r="J54" s="469"/>
      <c r="K54" s="469"/>
      <c r="L54" s="469"/>
      <c r="M54" s="470"/>
      <c r="N54" s="469"/>
      <c r="O54" s="470"/>
      <c r="P54" s="469"/>
      <c r="Q54" s="470"/>
      <c r="R54" s="469"/>
      <c r="S54" s="470"/>
      <c r="T54" s="469"/>
      <c r="U54" s="470"/>
      <c r="V54" s="469"/>
      <c r="W54" s="470"/>
      <c r="X54" s="469"/>
      <c r="Y54" s="470"/>
      <c r="Z54" s="400"/>
    </row>
    <row r="55" spans="1:26" ht="20.100000000000001" customHeight="1">
      <c r="A55" s="467"/>
      <c r="B55" s="469"/>
      <c r="C55" s="469"/>
      <c r="D55" s="469"/>
      <c r="E55" s="470"/>
      <c r="F55" s="469"/>
      <c r="G55" s="470"/>
      <c r="H55" s="469"/>
      <c r="I55" s="470"/>
      <c r="J55" s="469"/>
      <c r="K55" s="469"/>
      <c r="L55" s="469"/>
      <c r="M55" s="470"/>
      <c r="N55" s="469"/>
      <c r="O55" s="470"/>
      <c r="P55" s="469"/>
      <c r="Q55" s="470"/>
      <c r="R55" s="469"/>
      <c r="S55" s="470"/>
      <c r="T55" s="469"/>
      <c r="U55" s="470"/>
      <c r="V55" s="469"/>
      <c r="W55" s="470"/>
      <c r="X55" s="469"/>
      <c r="Y55" s="470"/>
      <c r="Z55" s="400"/>
    </row>
    <row r="56" spans="1:26" ht="20.100000000000001" customHeight="1">
      <c r="A56" s="467"/>
      <c r="B56" s="469"/>
      <c r="C56" s="469"/>
      <c r="D56" s="469"/>
      <c r="E56" s="470"/>
      <c r="F56" s="469"/>
      <c r="G56" s="470"/>
      <c r="H56" s="469"/>
      <c r="I56" s="470"/>
      <c r="J56" s="469"/>
      <c r="K56" s="469"/>
      <c r="L56" s="469"/>
      <c r="M56" s="470"/>
      <c r="N56" s="469"/>
      <c r="O56" s="470"/>
      <c r="P56" s="469"/>
      <c r="Q56" s="470"/>
      <c r="R56" s="469"/>
      <c r="S56" s="470"/>
      <c r="T56" s="469"/>
      <c r="U56" s="470"/>
      <c r="V56" s="469"/>
      <c r="W56" s="470"/>
      <c r="X56" s="469"/>
      <c r="Y56" s="470"/>
      <c r="Z56" s="400"/>
    </row>
    <row r="57" spans="1:26">
      <c r="A57" s="467"/>
      <c r="B57" s="469"/>
      <c r="C57" s="469"/>
      <c r="D57" s="469"/>
      <c r="E57" s="470"/>
      <c r="F57" s="469"/>
      <c r="G57" s="470"/>
      <c r="H57" s="469"/>
      <c r="I57" s="470"/>
      <c r="J57" s="469"/>
      <c r="K57" s="469"/>
      <c r="L57" s="469"/>
      <c r="M57" s="470"/>
      <c r="N57" s="469"/>
      <c r="O57" s="470"/>
      <c r="P57" s="469"/>
      <c r="Q57" s="470"/>
      <c r="R57" s="469"/>
      <c r="S57" s="470"/>
      <c r="T57" s="469"/>
      <c r="U57" s="470"/>
      <c r="V57" s="469"/>
      <c r="W57" s="470"/>
      <c r="X57" s="469"/>
      <c r="Y57" s="470"/>
      <c r="Z57" s="400"/>
    </row>
    <row r="58" spans="1:26">
      <c r="A58" s="467"/>
      <c r="B58" s="469"/>
      <c r="C58" s="469"/>
      <c r="D58" s="469"/>
      <c r="E58" s="470"/>
      <c r="F58" s="469"/>
      <c r="G58" s="470"/>
      <c r="H58" s="469"/>
      <c r="I58" s="470"/>
      <c r="J58" s="469"/>
      <c r="K58" s="469"/>
      <c r="L58" s="469"/>
      <c r="M58" s="470"/>
      <c r="N58" s="469"/>
      <c r="O58" s="470"/>
      <c r="P58" s="469"/>
      <c r="Q58" s="470"/>
      <c r="R58" s="469"/>
      <c r="S58" s="470"/>
      <c r="T58" s="469"/>
      <c r="U58" s="470"/>
      <c r="V58" s="469"/>
      <c r="W58" s="470"/>
      <c r="X58" s="469"/>
      <c r="Y58" s="470"/>
      <c r="Z58" s="400"/>
    </row>
    <row r="59" spans="1:26">
      <c r="A59" s="467"/>
      <c r="B59" s="469"/>
      <c r="C59" s="469"/>
      <c r="D59" s="469"/>
      <c r="E59" s="470"/>
      <c r="F59" s="469"/>
      <c r="G59" s="470"/>
      <c r="H59" s="469"/>
      <c r="I59" s="470"/>
      <c r="J59" s="469"/>
      <c r="K59" s="469"/>
      <c r="L59" s="469"/>
      <c r="M59" s="470"/>
      <c r="N59" s="469"/>
      <c r="O59" s="470"/>
      <c r="P59" s="469"/>
      <c r="Q59" s="470"/>
      <c r="R59" s="469"/>
      <c r="S59" s="470"/>
      <c r="T59" s="469"/>
      <c r="U59" s="470"/>
      <c r="V59" s="469"/>
      <c r="W59" s="470"/>
      <c r="X59" s="469"/>
      <c r="Y59" s="470"/>
      <c r="Z59" s="400"/>
    </row>
    <row r="60" spans="1:26">
      <c r="A60" s="467"/>
      <c r="B60" s="469"/>
      <c r="C60" s="469"/>
      <c r="D60" s="469"/>
      <c r="E60" s="470"/>
      <c r="F60" s="469"/>
      <c r="G60" s="470"/>
      <c r="H60" s="469"/>
      <c r="I60" s="470"/>
      <c r="J60" s="469"/>
      <c r="K60" s="469"/>
      <c r="L60" s="469"/>
      <c r="M60" s="470"/>
      <c r="N60" s="469"/>
      <c r="O60" s="470"/>
      <c r="P60" s="469"/>
      <c r="Q60" s="470"/>
      <c r="R60" s="469"/>
      <c r="S60" s="470"/>
      <c r="T60" s="469"/>
      <c r="U60" s="470"/>
      <c r="V60" s="469"/>
      <c r="W60" s="470"/>
      <c r="X60" s="469"/>
      <c r="Y60" s="470"/>
      <c r="Z60" s="400"/>
    </row>
    <row r="61" spans="1:26">
      <c r="A61" s="467"/>
      <c r="B61" s="469"/>
      <c r="C61" s="469"/>
      <c r="D61" s="469"/>
      <c r="E61" s="470"/>
      <c r="F61" s="469"/>
      <c r="G61" s="470"/>
      <c r="H61" s="469"/>
      <c r="I61" s="470"/>
      <c r="J61" s="469"/>
      <c r="K61" s="469"/>
      <c r="L61" s="469"/>
      <c r="M61" s="470"/>
      <c r="N61" s="469"/>
      <c r="O61" s="470"/>
      <c r="P61" s="469"/>
      <c r="Q61" s="470"/>
      <c r="R61" s="469"/>
      <c r="S61" s="470"/>
      <c r="T61" s="469"/>
      <c r="U61" s="470"/>
      <c r="V61" s="469"/>
      <c r="W61" s="470"/>
      <c r="X61" s="469"/>
      <c r="Y61" s="470"/>
      <c r="Z61" s="400"/>
    </row>
    <row r="62" spans="1:26">
      <c r="A62" s="467"/>
      <c r="B62" s="469"/>
      <c r="C62" s="469"/>
      <c r="D62" s="469"/>
      <c r="E62" s="470"/>
      <c r="F62" s="469"/>
      <c r="G62" s="470"/>
      <c r="H62" s="469"/>
      <c r="I62" s="470"/>
      <c r="J62" s="469"/>
      <c r="K62" s="469"/>
      <c r="L62" s="469"/>
      <c r="M62" s="470"/>
      <c r="N62" s="469"/>
      <c r="O62" s="470"/>
      <c r="P62" s="469"/>
      <c r="Q62" s="470"/>
      <c r="R62" s="469"/>
      <c r="S62" s="470"/>
      <c r="T62" s="469"/>
      <c r="U62" s="470"/>
      <c r="V62" s="469"/>
      <c r="W62" s="470"/>
      <c r="X62" s="469"/>
      <c r="Y62" s="470"/>
      <c r="Z62" s="400"/>
    </row>
    <row r="63" spans="1:26">
      <c r="A63" s="467"/>
      <c r="B63" s="469"/>
      <c r="C63" s="469"/>
      <c r="D63" s="469"/>
      <c r="E63" s="470"/>
      <c r="F63" s="469"/>
      <c r="G63" s="470"/>
      <c r="H63" s="469"/>
      <c r="I63" s="470"/>
      <c r="J63" s="469"/>
      <c r="K63" s="469"/>
      <c r="L63" s="469"/>
      <c r="M63" s="470"/>
      <c r="N63" s="469"/>
      <c r="O63" s="470"/>
      <c r="P63" s="469"/>
      <c r="Q63" s="470"/>
      <c r="R63" s="469"/>
      <c r="S63" s="470"/>
      <c r="T63" s="469"/>
      <c r="U63" s="470"/>
      <c r="V63" s="469"/>
      <c r="W63" s="470"/>
      <c r="X63" s="469"/>
      <c r="Y63" s="470"/>
      <c r="Z63" s="400"/>
    </row>
    <row r="64" spans="1:26">
      <c r="A64" s="467"/>
      <c r="B64" s="469"/>
      <c r="C64" s="469"/>
      <c r="D64" s="469"/>
      <c r="E64" s="470"/>
      <c r="F64" s="469"/>
      <c r="G64" s="470"/>
      <c r="H64" s="469"/>
      <c r="I64" s="470"/>
      <c r="J64" s="469"/>
      <c r="K64" s="469"/>
      <c r="L64" s="469"/>
      <c r="M64" s="470"/>
      <c r="N64" s="469"/>
      <c r="O64" s="470"/>
      <c r="P64" s="469"/>
      <c r="Q64" s="470"/>
      <c r="R64" s="469"/>
      <c r="S64" s="470"/>
      <c r="T64" s="469"/>
      <c r="U64" s="470"/>
      <c r="V64" s="469"/>
      <c r="W64" s="470"/>
      <c r="X64" s="469"/>
      <c r="Y64" s="470"/>
      <c r="Z64" s="400"/>
    </row>
    <row r="65" spans="1:26">
      <c r="A65" s="467"/>
      <c r="B65" s="469"/>
      <c r="C65" s="469"/>
      <c r="D65" s="469"/>
      <c r="E65" s="470"/>
      <c r="F65" s="469"/>
      <c r="G65" s="470"/>
      <c r="H65" s="469"/>
      <c r="I65" s="470"/>
      <c r="J65" s="469"/>
      <c r="K65" s="469"/>
      <c r="L65" s="469"/>
      <c r="M65" s="470"/>
      <c r="N65" s="469"/>
      <c r="O65" s="470"/>
      <c r="P65" s="469"/>
      <c r="Q65" s="470"/>
      <c r="R65" s="469"/>
      <c r="S65" s="470"/>
      <c r="T65" s="469"/>
      <c r="U65" s="470"/>
      <c r="V65" s="469"/>
      <c r="W65" s="470"/>
      <c r="X65" s="469"/>
      <c r="Y65" s="470"/>
      <c r="Z65" s="400"/>
    </row>
    <row r="66" spans="1:26">
      <c r="A66" s="467"/>
      <c r="B66" s="469"/>
      <c r="C66" s="469"/>
      <c r="D66" s="469"/>
      <c r="E66" s="470"/>
      <c r="F66" s="469"/>
      <c r="G66" s="470"/>
      <c r="H66" s="469"/>
      <c r="I66" s="470"/>
      <c r="J66" s="469"/>
      <c r="K66" s="469"/>
      <c r="L66" s="469"/>
      <c r="M66" s="470"/>
      <c r="N66" s="469"/>
      <c r="O66" s="470"/>
      <c r="P66" s="469"/>
      <c r="Q66" s="470"/>
      <c r="R66" s="469"/>
      <c r="S66" s="470"/>
      <c r="T66" s="469"/>
      <c r="U66" s="470"/>
      <c r="V66" s="469"/>
      <c r="W66" s="470"/>
      <c r="X66" s="469"/>
      <c r="Y66" s="470"/>
      <c r="Z66" s="400"/>
    </row>
    <row r="67" spans="1:26">
      <c r="A67" s="467"/>
      <c r="B67" s="469"/>
      <c r="C67" s="469"/>
      <c r="D67" s="469"/>
      <c r="E67" s="470"/>
      <c r="F67" s="469"/>
      <c r="G67" s="470"/>
      <c r="H67" s="469"/>
      <c r="I67" s="470"/>
      <c r="J67" s="469"/>
      <c r="K67" s="469"/>
      <c r="L67" s="469"/>
      <c r="M67" s="470"/>
      <c r="N67" s="469"/>
      <c r="O67" s="470"/>
      <c r="P67" s="469"/>
      <c r="Q67" s="470"/>
      <c r="R67" s="469"/>
      <c r="S67" s="470"/>
      <c r="T67" s="469"/>
      <c r="U67" s="470"/>
      <c r="V67" s="469"/>
      <c r="W67" s="470"/>
      <c r="X67" s="469"/>
      <c r="Y67" s="470"/>
      <c r="Z67" s="400"/>
    </row>
    <row r="68" spans="1:26">
      <c r="A68" s="467"/>
      <c r="B68" s="469"/>
      <c r="C68" s="469"/>
      <c r="D68" s="469"/>
      <c r="E68" s="470"/>
      <c r="F68" s="469"/>
      <c r="G68" s="470"/>
      <c r="H68" s="469"/>
      <c r="I68" s="470"/>
      <c r="J68" s="469"/>
      <c r="K68" s="469"/>
      <c r="L68" s="469"/>
      <c r="M68" s="470"/>
      <c r="N68" s="469"/>
      <c r="O68" s="470"/>
      <c r="P68" s="469"/>
      <c r="Q68" s="470"/>
      <c r="R68" s="469"/>
      <c r="S68" s="470"/>
      <c r="T68" s="469"/>
      <c r="U68" s="470"/>
      <c r="V68" s="469"/>
      <c r="W68" s="470"/>
      <c r="X68" s="469"/>
      <c r="Y68" s="470"/>
      <c r="Z68" s="400"/>
    </row>
    <row r="69" spans="1:26">
      <c r="A69" s="467"/>
      <c r="B69" s="469"/>
      <c r="C69" s="469"/>
      <c r="D69" s="469"/>
      <c r="E69" s="470"/>
      <c r="F69" s="469"/>
      <c r="G69" s="470"/>
      <c r="H69" s="469"/>
      <c r="I69" s="470"/>
      <c r="J69" s="469"/>
      <c r="K69" s="469"/>
      <c r="L69" s="469"/>
      <c r="M69" s="470"/>
      <c r="N69" s="469"/>
      <c r="O69" s="470"/>
      <c r="P69" s="469"/>
      <c r="Q69" s="470"/>
      <c r="R69" s="469"/>
      <c r="S69" s="470"/>
      <c r="T69" s="469"/>
      <c r="U69" s="470"/>
      <c r="V69" s="469"/>
      <c r="W69" s="470"/>
      <c r="X69" s="469"/>
      <c r="Y69" s="470"/>
      <c r="Z69" s="400"/>
    </row>
    <row r="70" spans="1:26">
      <c r="A70" s="467"/>
      <c r="B70" s="469"/>
      <c r="C70" s="469"/>
      <c r="D70" s="469"/>
      <c r="E70" s="470"/>
      <c r="F70" s="469"/>
      <c r="G70" s="470"/>
      <c r="H70" s="469"/>
      <c r="I70" s="470"/>
      <c r="J70" s="469"/>
      <c r="K70" s="469"/>
      <c r="L70" s="469"/>
      <c r="M70" s="470"/>
      <c r="N70" s="469"/>
      <c r="O70" s="470"/>
      <c r="P70" s="469"/>
      <c r="Q70" s="470"/>
      <c r="R70" s="469"/>
      <c r="S70" s="470"/>
      <c r="T70" s="469"/>
      <c r="U70" s="470"/>
      <c r="V70" s="469"/>
      <c r="W70" s="470"/>
      <c r="X70" s="469"/>
      <c r="Y70" s="470"/>
      <c r="Z70" s="400"/>
    </row>
    <row r="71" spans="1:26">
      <c r="A71" s="467"/>
      <c r="B71" s="469"/>
      <c r="C71" s="469"/>
      <c r="D71" s="469"/>
      <c r="E71" s="470"/>
      <c r="F71" s="469"/>
      <c r="G71" s="470"/>
      <c r="H71" s="469"/>
      <c r="I71" s="470"/>
      <c r="J71" s="469"/>
      <c r="K71" s="469"/>
      <c r="L71" s="469"/>
      <c r="M71" s="470"/>
      <c r="N71" s="469"/>
      <c r="O71" s="470"/>
      <c r="P71" s="469"/>
      <c r="Q71" s="470"/>
      <c r="R71" s="469"/>
      <c r="S71" s="470"/>
      <c r="T71" s="469"/>
      <c r="U71" s="470"/>
      <c r="V71" s="469"/>
      <c r="W71" s="470"/>
      <c r="X71" s="469"/>
      <c r="Y71" s="470"/>
      <c r="Z71" s="400"/>
    </row>
    <row r="72" spans="1:26">
      <c r="A72" s="467"/>
      <c r="B72" s="469"/>
      <c r="C72" s="469"/>
      <c r="D72" s="469"/>
      <c r="E72" s="470"/>
      <c r="F72" s="469"/>
      <c r="G72" s="470"/>
      <c r="H72" s="469"/>
      <c r="I72" s="470"/>
      <c r="J72" s="469"/>
      <c r="K72" s="469"/>
      <c r="L72" s="469"/>
      <c r="M72" s="470"/>
      <c r="N72" s="469"/>
      <c r="O72" s="470"/>
      <c r="P72" s="469"/>
      <c r="Q72" s="470"/>
      <c r="R72" s="469"/>
      <c r="S72" s="470"/>
      <c r="T72" s="469"/>
      <c r="U72" s="470"/>
      <c r="V72" s="469"/>
      <c r="W72" s="470"/>
      <c r="X72" s="469"/>
      <c r="Y72" s="470"/>
      <c r="Z72" s="400"/>
    </row>
    <row r="73" spans="1:26">
      <c r="A73" s="467"/>
      <c r="B73" s="469"/>
      <c r="C73" s="469"/>
      <c r="D73" s="469"/>
      <c r="E73" s="470"/>
      <c r="F73" s="469"/>
      <c r="G73" s="470"/>
      <c r="H73" s="469"/>
      <c r="I73" s="470"/>
      <c r="J73" s="469"/>
      <c r="K73" s="469"/>
      <c r="L73" s="469"/>
      <c r="M73" s="470"/>
      <c r="N73" s="469"/>
      <c r="O73" s="470"/>
      <c r="P73" s="469"/>
      <c r="Q73" s="470"/>
      <c r="R73" s="469"/>
      <c r="S73" s="470"/>
      <c r="T73" s="469"/>
      <c r="U73" s="470"/>
      <c r="V73" s="469"/>
      <c r="W73" s="470"/>
      <c r="X73" s="469"/>
      <c r="Y73" s="470"/>
      <c r="Z73" s="400"/>
    </row>
    <row r="74" spans="1:26">
      <c r="A74" s="467"/>
      <c r="B74" s="469"/>
      <c r="C74" s="469"/>
      <c r="D74" s="469"/>
      <c r="E74" s="470"/>
      <c r="F74" s="469"/>
      <c r="G74" s="470"/>
      <c r="H74" s="469"/>
      <c r="I74" s="470"/>
      <c r="J74" s="469"/>
      <c r="K74" s="469"/>
      <c r="L74" s="469"/>
      <c r="M74" s="470"/>
      <c r="N74" s="469"/>
      <c r="O74" s="470"/>
      <c r="P74" s="469"/>
      <c r="Q74" s="470"/>
      <c r="R74" s="469"/>
      <c r="S74" s="470"/>
      <c r="T74" s="469"/>
      <c r="U74" s="470"/>
      <c r="V74" s="469"/>
      <c r="W74" s="470"/>
      <c r="X74" s="469"/>
      <c r="Y74" s="470"/>
      <c r="Z74" s="400"/>
    </row>
    <row r="75" spans="1:26">
      <c r="A75" s="467"/>
      <c r="B75" s="469"/>
      <c r="C75" s="469"/>
      <c r="D75" s="469"/>
      <c r="E75" s="470"/>
      <c r="F75" s="469"/>
      <c r="G75" s="470"/>
      <c r="H75" s="469"/>
      <c r="I75" s="470"/>
      <c r="J75" s="469"/>
      <c r="K75" s="469"/>
      <c r="L75" s="469"/>
      <c r="M75" s="470"/>
      <c r="N75" s="469"/>
      <c r="O75" s="470"/>
      <c r="P75" s="469"/>
      <c r="Q75" s="470"/>
      <c r="R75" s="469"/>
      <c r="S75" s="470"/>
      <c r="T75" s="469"/>
      <c r="U75" s="470"/>
      <c r="V75" s="469"/>
      <c r="W75" s="470"/>
      <c r="X75" s="469"/>
      <c r="Y75" s="470"/>
      <c r="Z75" s="400"/>
    </row>
    <row r="76" spans="1:26">
      <c r="A76" s="467"/>
      <c r="B76" s="469"/>
      <c r="C76" s="469"/>
      <c r="D76" s="469"/>
      <c r="E76" s="470"/>
      <c r="F76" s="469"/>
      <c r="G76" s="470"/>
      <c r="H76" s="469"/>
      <c r="I76" s="470"/>
      <c r="J76" s="469"/>
      <c r="K76" s="469"/>
      <c r="L76" s="469"/>
      <c r="M76" s="470"/>
      <c r="N76" s="469"/>
      <c r="O76" s="470"/>
      <c r="P76" s="469"/>
      <c r="Q76" s="470"/>
      <c r="R76" s="469"/>
      <c r="S76" s="470"/>
      <c r="T76" s="469"/>
      <c r="U76" s="470"/>
      <c r="V76" s="469"/>
      <c r="W76" s="470"/>
      <c r="X76" s="469"/>
      <c r="Y76" s="470"/>
      <c r="Z76" s="400"/>
    </row>
    <row r="77" spans="1:26">
      <c r="A77" s="467"/>
      <c r="B77" s="469"/>
      <c r="C77" s="469"/>
      <c r="D77" s="469"/>
      <c r="E77" s="470"/>
      <c r="F77" s="469"/>
      <c r="G77" s="470"/>
      <c r="H77" s="469"/>
      <c r="I77" s="470"/>
      <c r="J77" s="469"/>
      <c r="K77" s="469"/>
      <c r="L77" s="469"/>
      <c r="M77" s="470"/>
      <c r="N77" s="469"/>
      <c r="O77" s="470"/>
      <c r="P77" s="469"/>
      <c r="Q77" s="470"/>
      <c r="R77" s="469"/>
      <c r="S77" s="470"/>
      <c r="T77" s="469"/>
      <c r="U77" s="470"/>
      <c r="V77" s="469"/>
      <c r="W77" s="470"/>
      <c r="X77" s="469"/>
      <c r="Y77" s="470"/>
      <c r="Z77" s="400"/>
    </row>
    <row r="78" spans="1:26">
      <c r="A78" s="467"/>
      <c r="B78" s="469"/>
      <c r="C78" s="469"/>
      <c r="D78" s="469"/>
      <c r="E78" s="470"/>
      <c r="F78" s="469"/>
      <c r="G78" s="470"/>
      <c r="H78" s="469"/>
      <c r="I78" s="470"/>
      <c r="J78" s="469"/>
      <c r="K78" s="469"/>
      <c r="L78" s="469"/>
      <c r="M78" s="470"/>
      <c r="N78" s="469"/>
      <c r="O78" s="470"/>
      <c r="P78" s="469"/>
      <c r="Q78" s="470"/>
      <c r="R78" s="469"/>
      <c r="S78" s="470"/>
      <c r="T78" s="469"/>
      <c r="U78" s="470"/>
      <c r="V78" s="469"/>
      <c r="W78" s="470"/>
      <c r="X78" s="469"/>
      <c r="Y78" s="470"/>
      <c r="Z78" s="400"/>
    </row>
    <row r="79" spans="1:26">
      <c r="A79" s="467"/>
      <c r="B79" s="469"/>
      <c r="C79" s="469"/>
      <c r="D79" s="469"/>
      <c r="E79" s="470"/>
      <c r="F79" s="469"/>
      <c r="G79" s="470"/>
      <c r="H79" s="469"/>
      <c r="I79" s="470"/>
      <c r="J79" s="469"/>
      <c r="K79" s="469"/>
      <c r="L79" s="469"/>
      <c r="M79" s="470"/>
      <c r="N79" s="469"/>
      <c r="O79" s="470"/>
      <c r="P79" s="469"/>
      <c r="Q79" s="470"/>
      <c r="R79" s="469"/>
      <c r="S79" s="470"/>
      <c r="T79" s="469"/>
      <c r="U79" s="470"/>
      <c r="V79" s="469"/>
      <c r="W79" s="470"/>
      <c r="X79" s="469"/>
      <c r="Y79" s="470"/>
      <c r="Z79" s="400"/>
    </row>
    <row r="80" spans="1:26">
      <c r="A80" s="467"/>
      <c r="B80" s="469"/>
      <c r="C80" s="469"/>
      <c r="D80" s="469"/>
      <c r="E80" s="470"/>
      <c r="F80" s="469"/>
      <c r="G80" s="470"/>
      <c r="H80" s="469"/>
      <c r="I80" s="470"/>
      <c r="J80" s="469"/>
      <c r="K80" s="469"/>
      <c r="L80" s="469"/>
      <c r="M80" s="470"/>
      <c r="N80" s="469"/>
      <c r="O80" s="470"/>
      <c r="P80" s="469"/>
      <c r="Q80" s="470"/>
      <c r="R80" s="469"/>
      <c r="S80" s="470"/>
      <c r="T80" s="469"/>
      <c r="U80" s="470"/>
      <c r="V80" s="469"/>
      <c r="W80" s="470"/>
      <c r="X80" s="469"/>
      <c r="Y80" s="470"/>
      <c r="Z80" s="400"/>
    </row>
    <row r="81" spans="1:26">
      <c r="A81" s="467"/>
      <c r="B81" s="469"/>
      <c r="C81" s="469"/>
      <c r="D81" s="469"/>
      <c r="E81" s="470"/>
      <c r="F81" s="469"/>
      <c r="G81" s="470"/>
      <c r="H81" s="469"/>
      <c r="I81" s="470"/>
      <c r="J81" s="469"/>
      <c r="K81" s="469"/>
      <c r="L81" s="469"/>
      <c r="M81" s="470"/>
      <c r="N81" s="469"/>
      <c r="O81" s="470"/>
      <c r="P81" s="469"/>
      <c r="Q81" s="470"/>
      <c r="R81" s="469"/>
      <c r="S81" s="470"/>
      <c r="T81" s="469"/>
      <c r="U81" s="470"/>
      <c r="V81" s="469"/>
      <c r="W81" s="470"/>
      <c r="X81" s="469"/>
      <c r="Y81" s="470"/>
      <c r="Z81" s="400"/>
    </row>
    <row r="82" spans="1:26">
      <c r="A82" s="467"/>
      <c r="B82" s="469"/>
      <c r="C82" s="469"/>
      <c r="D82" s="469"/>
      <c r="E82" s="470"/>
      <c r="F82" s="469"/>
      <c r="G82" s="470"/>
      <c r="H82" s="469"/>
      <c r="I82" s="470"/>
      <c r="J82" s="469"/>
      <c r="K82" s="469"/>
      <c r="L82" s="469"/>
      <c r="M82" s="470"/>
      <c r="N82" s="469"/>
      <c r="O82" s="470"/>
      <c r="P82" s="469"/>
      <c r="Q82" s="470"/>
      <c r="R82" s="469"/>
      <c r="S82" s="470"/>
      <c r="T82" s="469"/>
      <c r="U82" s="470"/>
      <c r="V82" s="469"/>
      <c r="W82" s="470"/>
      <c r="X82" s="469"/>
      <c r="Y82" s="470"/>
      <c r="Z82" s="400"/>
    </row>
    <row r="83" spans="1:26">
      <c r="A83" s="467"/>
      <c r="B83" s="469"/>
      <c r="C83" s="469"/>
      <c r="D83" s="469"/>
      <c r="E83" s="470"/>
      <c r="F83" s="469"/>
      <c r="G83" s="470"/>
      <c r="H83" s="469"/>
      <c r="I83" s="470"/>
      <c r="J83" s="469"/>
      <c r="K83" s="469"/>
      <c r="L83" s="469"/>
      <c r="M83" s="470"/>
      <c r="N83" s="469"/>
      <c r="O83" s="470"/>
      <c r="P83" s="469"/>
      <c r="Q83" s="470"/>
      <c r="R83" s="469"/>
      <c r="S83" s="470"/>
      <c r="T83" s="469"/>
      <c r="U83" s="470"/>
      <c r="V83" s="469"/>
      <c r="W83" s="470"/>
      <c r="X83" s="469"/>
      <c r="Y83" s="470"/>
      <c r="Z83" s="400"/>
    </row>
    <row r="84" spans="1:26">
      <c r="A84" s="467"/>
      <c r="B84" s="469"/>
      <c r="C84" s="469"/>
      <c r="D84" s="469"/>
      <c r="E84" s="470"/>
      <c r="F84" s="469"/>
      <c r="G84" s="470"/>
      <c r="H84" s="469"/>
      <c r="I84" s="470"/>
      <c r="J84" s="469"/>
      <c r="K84" s="469"/>
      <c r="L84" s="469"/>
      <c r="M84" s="470"/>
      <c r="N84" s="469"/>
      <c r="O84" s="470"/>
      <c r="P84" s="469"/>
      <c r="Q84" s="470"/>
      <c r="R84" s="469"/>
      <c r="S84" s="470"/>
      <c r="T84" s="469"/>
      <c r="U84" s="470"/>
      <c r="V84" s="469"/>
      <c r="W84" s="470"/>
      <c r="X84" s="469"/>
      <c r="Y84" s="470"/>
      <c r="Z84" s="400"/>
    </row>
    <row r="85" spans="1:26">
      <c r="A85" s="467"/>
      <c r="B85" s="469"/>
      <c r="C85" s="469"/>
      <c r="D85" s="469"/>
      <c r="E85" s="470"/>
      <c r="F85" s="469"/>
      <c r="G85" s="470"/>
      <c r="H85" s="469"/>
      <c r="I85" s="470"/>
      <c r="J85" s="469"/>
      <c r="K85" s="469"/>
      <c r="L85" s="469"/>
      <c r="M85" s="470"/>
      <c r="N85" s="469"/>
      <c r="O85" s="470"/>
      <c r="P85" s="469"/>
      <c r="Q85" s="470"/>
      <c r="R85" s="469"/>
      <c r="S85" s="470"/>
      <c r="T85" s="469"/>
      <c r="U85" s="470"/>
      <c r="V85" s="469"/>
      <c r="W85" s="470"/>
      <c r="X85" s="469"/>
      <c r="Y85" s="470"/>
      <c r="Z85" s="400"/>
    </row>
    <row r="86" spans="1:26">
      <c r="A86" s="467"/>
      <c r="B86" s="469"/>
      <c r="C86" s="469"/>
      <c r="D86" s="469"/>
      <c r="E86" s="470"/>
      <c r="F86" s="469"/>
      <c r="G86" s="470"/>
      <c r="H86" s="469"/>
      <c r="I86" s="470"/>
      <c r="J86" s="469"/>
      <c r="K86" s="469"/>
      <c r="L86" s="469"/>
      <c r="M86" s="470"/>
      <c r="N86" s="469"/>
      <c r="O86" s="470"/>
      <c r="P86" s="469"/>
      <c r="Q86" s="470"/>
      <c r="R86" s="469"/>
      <c r="S86" s="470"/>
      <c r="T86" s="469"/>
      <c r="U86" s="470"/>
      <c r="V86" s="469"/>
      <c r="W86" s="470"/>
      <c r="X86" s="469"/>
      <c r="Y86" s="470"/>
      <c r="Z86" s="400"/>
    </row>
    <row r="87" spans="1:26">
      <c r="A87" s="467"/>
      <c r="B87" s="469"/>
      <c r="C87" s="469"/>
      <c r="D87" s="469"/>
      <c r="E87" s="470"/>
      <c r="F87" s="469"/>
      <c r="G87" s="470"/>
      <c r="H87" s="469"/>
      <c r="I87" s="470"/>
      <c r="J87" s="469"/>
      <c r="K87" s="469"/>
      <c r="L87" s="469"/>
      <c r="M87" s="470"/>
      <c r="N87" s="469"/>
      <c r="O87" s="470"/>
      <c r="P87" s="469"/>
      <c r="Q87" s="470"/>
      <c r="R87" s="469"/>
      <c r="S87" s="470"/>
      <c r="T87" s="469"/>
      <c r="U87" s="470"/>
      <c r="V87" s="469"/>
      <c r="W87" s="470"/>
      <c r="X87" s="469"/>
      <c r="Y87" s="470"/>
      <c r="Z87" s="400"/>
    </row>
    <row r="88" spans="1:26">
      <c r="A88" s="467"/>
      <c r="B88" s="469"/>
      <c r="C88" s="469"/>
      <c r="D88" s="469"/>
      <c r="E88" s="470"/>
      <c r="F88" s="469"/>
      <c r="G88" s="470"/>
      <c r="H88" s="469"/>
      <c r="I88" s="470"/>
      <c r="J88" s="469"/>
      <c r="K88" s="469"/>
      <c r="L88" s="469"/>
      <c r="M88" s="470"/>
      <c r="N88" s="469"/>
      <c r="O88" s="470"/>
      <c r="P88" s="469"/>
      <c r="Q88" s="470"/>
      <c r="R88" s="469"/>
      <c r="S88" s="470"/>
      <c r="T88" s="469"/>
      <c r="U88" s="470"/>
      <c r="V88" s="469"/>
      <c r="W88" s="470"/>
      <c r="X88" s="469"/>
      <c r="Y88" s="470"/>
      <c r="Z88" s="400"/>
    </row>
    <row r="89" spans="1:26">
      <c r="A89" s="467"/>
      <c r="B89" s="469"/>
      <c r="C89" s="469"/>
      <c r="D89" s="469"/>
      <c r="E89" s="470"/>
      <c r="F89" s="469"/>
      <c r="G89" s="470"/>
      <c r="H89" s="469"/>
      <c r="I89" s="470"/>
      <c r="J89" s="469"/>
      <c r="K89" s="469"/>
      <c r="L89" s="469"/>
      <c r="M89" s="470"/>
      <c r="N89" s="469"/>
      <c r="O89" s="470"/>
      <c r="P89" s="469"/>
      <c r="Q89" s="470"/>
      <c r="R89" s="469"/>
      <c r="S89" s="470"/>
      <c r="T89" s="469"/>
      <c r="U89" s="470"/>
      <c r="V89" s="469"/>
      <c r="W89" s="470"/>
      <c r="X89" s="469"/>
      <c r="Y89" s="470"/>
      <c r="Z89" s="400"/>
    </row>
    <row r="90" spans="1:26">
      <c r="A90" s="467"/>
      <c r="B90" s="469"/>
      <c r="C90" s="469"/>
      <c r="D90" s="469"/>
      <c r="E90" s="470"/>
      <c r="F90" s="469"/>
      <c r="G90" s="470"/>
      <c r="H90" s="469"/>
      <c r="I90" s="470"/>
      <c r="J90" s="469"/>
      <c r="K90" s="469"/>
      <c r="L90" s="469"/>
      <c r="M90" s="470"/>
      <c r="N90" s="469"/>
      <c r="O90" s="470"/>
      <c r="P90" s="469"/>
      <c r="Q90" s="470"/>
      <c r="R90" s="469"/>
      <c r="S90" s="470"/>
      <c r="T90" s="469"/>
      <c r="U90" s="470"/>
      <c r="V90" s="469"/>
      <c r="W90" s="470"/>
      <c r="X90" s="469"/>
      <c r="Y90" s="470"/>
      <c r="Z90" s="400"/>
    </row>
    <row r="91" spans="1:26">
      <c r="A91" s="467"/>
      <c r="B91" s="469"/>
      <c r="C91" s="469"/>
      <c r="D91" s="469"/>
      <c r="E91" s="470"/>
      <c r="F91" s="469"/>
      <c r="G91" s="470"/>
      <c r="H91" s="469"/>
      <c r="I91" s="470"/>
      <c r="J91" s="469"/>
      <c r="K91" s="469"/>
      <c r="L91" s="469"/>
      <c r="M91" s="470"/>
      <c r="N91" s="469"/>
      <c r="O91" s="470"/>
      <c r="P91" s="469"/>
      <c r="Q91" s="470"/>
      <c r="R91" s="469"/>
      <c r="S91" s="470"/>
      <c r="T91" s="469"/>
      <c r="U91" s="470"/>
      <c r="V91" s="469"/>
      <c r="W91" s="470"/>
      <c r="X91" s="469"/>
      <c r="Y91" s="470"/>
      <c r="Z91" s="400"/>
    </row>
    <row r="92" spans="1:26">
      <c r="A92" s="467"/>
      <c r="B92" s="469"/>
      <c r="C92" s="469"/>
      <c r="D92" s="469"/>
      <c r="E92" s="470"/>
      <c r="F92" s="469"/>
      <c r="G92" s="470"/>
      <c r="H92" s="469"/>
      <c r="I92" s="470"/>
      <c r="J92" s="469"/>
      <c r="K92" s="469"/>
      <c r="L92" s="469"/>
      <c r="M92" s="470"/>
      <c r="N92" s="469"/>
      <c r="O92" s="470"/>
      <c r="P92" s="469"/>
      <c r="Q92" s="470"/>
      <c r="R92" s="469"/>
      <c r="S92" s="470"/>
      <c r="T92" s="469"/>
      <c r="U92" s="470"/>
      <c r="V92" s="469"/>
      <c r="W92" s="470"/>
      <c r="X92" s="469"/>
      <c r="Y92" s="470"/>
      <c r="Z92" s="400"/>
    </row>
    <row r="93" spans="1:26">
      <c r="A93" s="467"/>
      <c r="B93" s="469"/>
      <c r="C93" s="469"/>
      <c r="D93" s="469"/>
      <c r="E93" s="470"/>
      <c r="F93" s="469"/>
      <c r="G93" s="470"/>
      <c r="H93" s="469"/>
      <c r="I93" s="470"/>
      <c r="J93" s="469"/>
      <c r="K93" s="469"/>
      <c r="L93" s="469"/>
      <c r="M93" s="470"/>
      <c r="N93" s="469"/>
      <c r="O93" s="470"/>
      <c r="P93" s="469"/>
      <c r="Q93" s="470"/>
      <c r="R93" s="469"/>
      <c r="S93" s="470"/>
      <c r="T93" s="469"/>
      <c r="U93" s="470"/>
      <c r="V93" s="469"/>
      <c r="W93" s="470"/>
      <c r="X93" s="469"/>
      <c r="Y93" s="470"/>
      <c r="Z93" s="400"/>
    </row>
    <row r="94" spans="1:26">
      <c r="A94" s="467"/>
      <c r="B94" s="469"/>
      <c r="C94" s="469"/>
      <c r="D94" s="469"/>
      <c r="E94" s="470"/>
      <c r="F94" s="469"/>
      <c r="G94" s="470"/>
      <c r="H94" s="469"/>
      <c r="I94" s="470"/>
      <c r="J94" s="469"/>
      <c r="K94" s="469"/>
      <c r="L94" s="469"/>
      <c r="M94" s="470"/>
      <c r="N94" s="469"/>
      <c r="O94" s="470"/>
      <c r="P94" s="469"/>
      <c r="Q94" s="470"/>
      <c r="R94" s="469"/>
      <c r="S94" s="470"/>
      <c r="T94" s="469"/>
      <c r="U94" s="470"/>
      <c r="V94" s="469"/>
      <c r="W94" s="470"/>
      <c r="X94" s="469"/>
      <c r="Y94" s="470"/>
      <c r="Z94" s="400"/>
    </row>
  </sheetData>
  <sortState xmlns:xlrd2="http://schemas.microsoft.com/office/spreadsheetml/2017/richdata2" ref="A19:AN28">
    <sortCondition ref="A19:A28"/>
  </sortState>
  <pageMargins left="0.25" right="0.25" top="0.5" bottom="0.25" header="0" footer="0.25"/>
  <pageSetup scale="43"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Q65"/>
  <sheetViews>
    <sheetView showGridLines="0" zoomScale="70" zoomScaleNormal="70" workbookViewId="0"/>
  </sheetViews>
  <sheetFormatPr defaultColWidth="8.6640625" defaultRowHeight="17.25" customHeight="1"/>
  <cols>
    <col min="1" max="1" width="41.44140625" style="3640" customWidth="1"/>
    <col min="2" max="2" width="2.109375" style="3472" customWidth="1"/>
    <col min="3" max="3" width="26" style="3640" customWidth="1"/>
    <col min="4" max="4" width="22.109375" style="3640" customWidth="1"/>
    <col min="5" max="5" width="25.109375" style="3640" customWidth="1"/>
    <col min="6" max="6" width="2" style="3640" customWidth="1"/>
    <col min="7" max="7" width="24.109375" style="3475" customWidth="1"/>
    <col min="8" max="8" width="22.6640625" style="3472" customWidth="1"/>
    <col min="9" max="9" width="26.5546875" style="3472" customWidth="1"/>
    <col min="10" max="10" width="19.6640625" style="3699" customWidth="1"/>
    <col min="11" max="11" width="21.6640625" style="3699" customWidth="1"/>
    <col min="12" max="12" width="18" style="3699" bestFit="1" customWidth="1"/>
    <col min="13" max="13" width="18.44140625" style="3699" customWidth="1"/>
    <col min="14" max="14" width="17.6640625" style="3472" customWidth="1"/>
    <col min="15" max="16384" width="8.6640625" style="3472"/>
  </cols>
  <sheetData>
    <row r="1" spans="1:14" ht="17.25" customHeight="1">
      <c r="A1" s="1462" t="s">
        <v>870</v>
      </c>
    </row>
    <row r="3" spans="1:14" ht="25.35" customHeight="1">
      <c r="A3" s="3665" t="s">
        <v>0</v>
      </c>
      <c r="C3" s="3473"/>
      <c r="D3" s="3473"/>
      <c r="E3" s="3473"/>
      <c r="F3" s="3474"/>
      <c r="H3" s="3477" t="s">
        <v>14</v>
      </c>
      <c r="I3" s="3478" t="s">
        <v>1297</v>
      </c>
    </row>
    <row r="4" spans="1:14" ht="25.35" customHeight="1">
      <c r="A4" s="3666" t="s">
        <v>1317</v>
      </c>
      <c r="C4" s="3473"/>
      <c r="D4" s="3473"/>
      <c r="E4" s="3473"/>
      <c r="F4" s="3474"/>
      <c r="K4" s="3697" t="s">
        <v>14</v>
      </c>
    </row>
    <row r="5" spans="1:14" ht="21" customHeight="1">
      <c r="A5" s="3761" t="str">
        <f>'HCRA '!A6</f>
        <v xml:space="preserve">FISCAL YEAR 2022-2023   </v>
      </c>
      <c r="C5" s="3473"/>
      <c r="D5" s="3473"/>
      <c r="E5" s="3473"/>
      <c r="F5" s="3474"/>
      <c r="K5" s="3697" t="s">
        <v>14</v>
      </c>
    </row>
    <row r="6" spans="1:14" ht="17.25" customHeight="1">
      <c r="A6" s="3667"/>
      <c r="C6" s="3473"/>
      <c r="D6" s="3473"/>
      <c r="E6" s="3473"/>
      <c r="F6" s="3474"/>
    </row>
    <row r="7" spans="1:14" ht="17.25" customHeight="1">
      <c r="A7" s="3668"/>
      <c r="B7" s="3523"/>
      <c r="C7" s="3987" t="s">
        <v>1504</v>
      </c>
      <c r="D7" s="3988"/>
      <c r="E7" s="3988"/>
      <c r="F7" s="3630"/>
      <c r="G7" s="3988" t="s">
        <v>1511</v>
      </c>
      <c r="H7" s="3988"/>
      <c r="I7" s="3988"/>
    </row>
    <row r="8" spans="1:14" ht="17.25" customHeight="1">
      <c r="A8" s="3668"/>
      <c r="B8" s="3523"/>
      <c r="C8" s="3668"/>
      <c r="D8" s="3668"/>
      <c r="E8" s="3668"/>
      <c r="F8" s="3668"/>
      <c r="G8" s="3632"/>
      <c r="H8" s="3523"/>
      <c r="I8" s="3523"/>
    </row>
    <row r="9" spans="1:14" ht="17.25" customHeight="1">
      <c r="A9" s="3524"/>
      <c r="B9" s="3523"/>
      <c r="C9" s="3524" t="s">
        <v>1267</v>
      </c>
      <c r="D9" s="3524" t="s">
        <v>1268</v>
      </c>
      <c r="E9" s="3524" t="s">
        <v>1521</v>
      </c>
      <c r="F9" s="3524"/>
      <c r="G9" s="3524" t="s">
        <v>1267</v>
      </c>
      <c r="H9" s="3524" t="s">
        <v>1268</v>
      </c>
      <c r="I9" s="3476" t="s">
        <v>1269</v>
      </c>
    </row>
    <row r="10" spans="1:14" s="3671" customFormat="1" ht="17.25" customHeight="1">
      <c r="A10" s="3669"/>
      <c r="B10" s="3635"/>
      <c r="C10" s="3670"/>
      <c r="D10" s="3670"/>
      <c r="E10" s="3670"/>
      <c r="F10" s="3670"/>
      <c r="G10" s="3492"/>
      <c r="H10" s="3492"/>
      <c r="I10" s="3492"/>
      <c r="J10" s="3705"/>
      <c r="K10" s="3705"/>
      <c r="L10" s="3705"/>
      <c r="M10" s="3705"/>
    </row>
    <row r="11" spans="1:14" s="3675" customFormat="1" ht="17.25" customHeight="1">
      <c r="A11" s="3672" t="s">
        <v>1270</v>
      </c>
      <c r="B11" s="3673"/>
      <c r="C11" s="3493">
        <v>0</v>
      </c>
      <c r="D11" s="3493">
        <v>0</v>
      </c>
      <c r="E11" s="3674">
        <f>C11+D11</f>
        <v>0</v>
      </c>
      <c r="F11" s="3674"/>
      <c r="G11" s="3493">
        <v>0</v>
      </c>
      <c r="H11" s="3493">
        <v>0</v>
      </c>
      <c r="I11" s="3674">
        <f>G11+H11</f>
        <v>0</v>
      </c>
      <c r="J11" s="3726"/>
      <c r="K11" s="3726"/>
      <c r="L11" s="3726"/>
      <c r="M11" s="3726"/>
      <c r="N11" s="3676"/>
    </row>
    <row r="12" spans="1:14" s="3675" customFormat="1" ht="17.25" customHeight="1">
      <c r="A12" s="3672" t="s">
        <v>1290</v>
      </c>
      <c r="B12" s="3673"/>
      <c r="C12" s="3677">
        <v>0</v>
      </c>
      <c r="D12" s="3494">
        <v>1136371.71</v>
      </c>
      <c r="E12" s="3489">
        <f>C12+D12</f>
        <v>1136371.71</v>
      </c>
      <c r="F12" s="3489"/>
      <c r="G12" s="3677">
        <v>0</v>
      </c>
      <c r="H12" s="3494">
        <v>6290542.6900000004</v>
      </c>
      <c r="I12" s="3489">
        <f>G12+H12</f>
        <v>6290542.6900000004</v>
      </c>
      <c r="J12" s="3726"/>
      <c r="K12" s="3726"/>
      <c r="L12" s="3726"/>
      <c r="M12" s="3726"/>
      <c r="N12" s="3676"/>
    </row>
    <row r="13" spans="1:14" s="3675" customFormat="1" ht="17.25" customHeight="1">
      <c r="A13" s="3672" t="s">
        <v>1291</v>
      </c>
      <c r="B13" s="3673"/>
      <c r="C13" s="3677">
        <v>0</v>
      </c>
      <c r="D13" s="3494">
        <v>0</v>
      </c>
      <c r="E13" s="3489">
        <f t="shared" ref="E13:E46" si="0">C13+D13</f>
        <v>0</v>
      </c>
      <c r="F13" s="3489"/>
      <c r="G13" s="3677">
        <v>0</v>
      </c>
      <c r="H13" s="3494">
        <v>0</v>
      </c>
      <c r="I13" s="3489">
        <f t="shared" ref="I13:I46" si="1">G13+H13</f>
        <v>0</v>
      </c>
      <c r="J13" s="3726"/>
      <c r="K13" s="3726"/>
      <c r="L13" s="3726"/>
      <c r="M13" s="3726"/>
      <c r="N13" s="3676"/>
    </row>
    <row r="14" spans="1:14" s="3675" customFormat="1" ht="17.25" customHeight="1">
      <c r="A14" s="3479" t="s">
        <v>1281</v>
      </c>
      <c r="B14" s="3678"/>
      <c r="C14" s="3677">
        <v>5966549.2699999996</v>
      </c>
      <c r="D14" s="3494">
        <v>0</v>
      </c>
      <c r="E14" s="3489">
        <f t="shared" si="0"/>
        <v>5966549.2699999996</v>
      </c>
      <c r="F14" s="3489"/>
      <c r="G14" s="3677">
        <f>11253467.56+500270</f>
        <v>11753737.560000001</v>
      </c>
      <c r="H14" s="3494">
        <v>0</v>
      </c>
      <c r="I14" s="3489">
        <f t="shared" si="1"/>
        <v>11753737.560000001</v>
      </c>
      <c r="J14" s="3726"/>
      <c r="K14" s="3726"/>
      <c r="L14" s="3726"/>
      <c r="M14" s="3726"/>
      <c r="N14" s="3676"/>
    </row>
    <row r="15" spans="1:14" s="3675" customFormat="1" ht="17.25" customHeight="1">
      <c r="A15" s="3672" t="s">
        <v>1292</v>
      </c>
      <c r="B15" s="3673"/>
      <c r="C15" s="3677">
        <v>942293.3</v>
      </c>
      <c r="D15" s="3494">
        <v>0</v>
      </c>
      <c r="E15" s="3489">
        <f t="shared" si="0"/>
        <v>942293.3</v>
      </c>
      <c r="F15" s="3489"/>
      <c r="G15" s="3677">
        <v>1703749.96</v>
      </c>
      <c r="H15" s="3494">
        <v>0</v>
      </c>
      <c r="I15" s="3489">
        <f t="shared" si="1"/>
        <v>1703749.96</v>
      </c>
      <c r="J15" s="3726"/>
      <c r="K15" s="3726"/>
      <c r="L15" s="3726"/>
      <c r="M15" s="3726"/>
      <c r="N15" s="3676"/>
    </row>
    <row r="16" spans="1:14" s="3675" customFormat="1" ht="17.25" customHeight="1">
      <c r="A16" s="3672" t="s">
        <v>1459</v>
      </c>
      <c r="B16" s="3673"/>
      <c r="C16" s="3677">
        <v>0</v>
      </c>
      <c r="D16" s="3494">
        <v>0</v>
      </c>
      <c r="E16" s="3489">
        <f t="shared" si="0"/>
        <v>0</v>
      </c>
      <c r="F16" s="3489"/>
      <c r="G16" s="3677">
        <v>0</v>
      </c>
      <c r="H16" s="3494">
        <v>0</v>
      </c>
      <c r="I16" s="3489">
        <f t="shared" si="1"/>
        <v>0</v>
      </c>
      <c r="J16" s="3726"/>
      <c r="K16" s="3726"/>
      <c r="L16" s="3726"/>
      <c r="M16" s="3726"/>
      <c r="N16" s="3676"/>
    </row>
    <row r="17" spans="1:14" s="3675" customFormat="1" ht="17.25" customHeight="1">
      <c r="A17" s="3672" t="s">
        <v>1271</v>
      </c>
      <c r="B17" s="3673"/>
      <c r="C17" s="3677">
        <v>69164</v>
      </c>
      <c r="D17" s="3494">
        <v>0</v>
      </c>
      <c r="E17" s="3489">
        <f t="shared" si="0"/>
        <v>69164</v>
      </c>
      <c r="F17" s="3489"/>
      <c r="G17" s="3677">
        <v>69164</v>
      </c>
      <c r="H17" s="3494">
        <v>0</v>
      </c>
      <c r="I17" s="3489">
        <f t="shared" si="1"/>
        <v>69164</v>
      </c>
      <c r="J17" s="3726"/>
      <c r="K17" s="3726"/>
      <c r="L17" s="3726"/>
      <c r="M17" s="3726"/>
      <c r="N17" s="3676"/>
    </row>
    <row r="18" spans="1:14" s="3675" customFormat="1" ht="17.25" customHeight="1">
      <c r="A18" s="3672" t="s">
        <v>1272</v>
      </c>
      <c r="B18" s="3673"/>
      <c r="C18" s="3677">
        <v>0</v>
      </c>
      <c r="D18" s="3494">
        <v>779046.12</v>
      </c>
      <c r="E18" s="3489">
        <f t="shared" si="0"/>
        <v>779046.12</v>
      </c>
      <c r="F18" s="3489"/>
      <c r="G18" s="3677">
        <v>0</v>
      </c>
      <c r="H18" s="3494">
        <v>-16452680.039999999</v>
      </c>
      <c r="I18" s="3489">
        <f t="shared" si="1"/>
        <v>-16452680.039999999</v>
      </c>
      <c r="J18" s="3726"/>
      <c r="K18" s="3726"/>
      <c r="L18" s="3726"/>
      <c r="M18" s="3726"/>
      <c r="N18" s="3676"/>
    </row>
    <row r="19" spans="1:14" s="3675" customFormat="1" ht="17.25" customHeight="1">
      <c r="A19" s="3672" t="s">
        <v>1466</v>
      </c>
      <c r="B19" s="3673"/>
      <c r="C19" s="3677">
        <v>0</v>
      </c>
      <c r="D19" s="3494">
        <v>0</v>
      </c>
      <c r="E19" s="3489">
        <f t="shared" si="0"/>
        <v>0</v>
      </c>
      <c r="F19" s="3489"/>
      <c r="G19" s="3677">
        <v>0</v>
      </c>
      <c r="H19" s="3494">
        <v>0</v>
      </c>
      <c r="I19" s="3489">
        <f t="shared" si="1"/>
        <v>0</v>
      </c>
      <c r="K19" s="3726"/>
      <c r="L19" s="3726"/>
      <c r="M19" s="3726"/>
      <c r="N19" s="3676"/>
    </row>
    <row r="20" spans="1:14" s="3675" customFormat="1" ht="17.25" customHeight="1">
      <c r="A20" s="3672" t="s">
        <v>1273</v>
      </c>
      <c r="B20" s="3673"/>
      <c r="C20" s="3677">
        <v>95486.07</v>
      </c>
      <c r="D20" s="3494">
        <v>0</v>
      </c>
      <c r="E20" s="3489">
        <f t="shared" si="0"/>
        <v>95486.07</v>
      </c>
      <c r="F20" s="3489"/>
      <c r="G20" s="3677">
        <v>95486.07</v>
      </c>
      <c r="H20" s="3494">
        <v>0</v>
      </c>
      <c r="I20" s="3489">
        <f t="shared" si="1"/>
        <v>95486.07</v>
      </c>
      <c r="J20" s="3726"/>
      <c r="K20" s="3726"/>
      <c r="L20" s="3726"/>
      <c r="M20" s="3726"/>
      <c r="N20" s="3676"/>
    </row>
    <row r="21" spans="1:14" s="3675" customFormat="1" ht="17.25" customHeight="1">
      <c r="A21" s="3672" t="s">
        <v>1293</v>
      </c>
      <c r="B21" s="3673"/>
      <c r="C21" s="3677">
        <v>236073.98</v>
      </c>
      <c r="D21" s="3494">
        <v>0</v>
      </c>
      <c r="E21" s="3489">
        <f t="shared" si="0"/>
        <v>236073.98</v>
      </c>
      <c r="F21" s="3489"/>
      <c r="G21" s="3677">
        <v>737933.81</v>
      </c>
      <c r="H21" s="3494">
        <v>0</v>
      </c>
      <c r="I21" s="3489">
        <f t="shared" si="1"/>
        <v>737933.81</v>
      </c>
      <c r="J21" s="3726"/>
      <c r="K21" s="3726"/>
      <c r="L21" s="3726"/>
      <c r="M21" s="3726"/>
      <c r="N21" s="3676"/>
    </row>
    <row r="22" spans="1:14" s="3675" customFormat="1" ht="17.25" customHeight="1">
      <c r="A22" s="3672" t="s">
        <v>1301</v>
      </c>
      <c r="B22" s="3673"/>
      <c r="C22" s="3677">
        <v>238692484.72999999</v>
      </c>
      <c r="D22" s="3494">
        <v>0</v>
      </c>
      <c r="E22" s="3489">
        <f t="shared" si="0"/>
        <v>238692484.72999999</v>
      </c>
      <c r="F22" s="3489"/>
      <c r="G22" s="3677">
        <f>C22</f>
        <v>238692484.72999999</v>
      </c>
      <c r="H22" s="3494">
        <v>0</v>
      </c>
      <c r="I22" s="3489">
        <f t="shared" si="1"/>
        <v>238692484.72999999</v>
      </c>
      <c r="J22" s="3726"/>
      <c r="K22" s="3726"/>
      <c r="L22" s="3726"/>
      <c r="M22" s="3726"/>
      <c r="N22" s="3676"/>
    </row>
    <row r="23" spans="1:14" s="3675" customFormat="1" ht="17.25" customHeight="1">
      <c r="A23" s="3672" t="s">
        <v>1274</v>
      </c>
      <c r="B23" s="3673"/>
      <c r="C23" s="3677">
        <v>905203.48</v>
      </c>
      <c r="D23" s="3494">
        <v>0</v>
      </c>
      <c r="E23" s="3489">
        <f t="shared" si="0"/>
        <v>905203.48</v>
      </c>
      <c r="F23" s="3489"/>
      <c r="G23" s="3677">
        <v>1129969.97</v>
      </c>
      <c r="H23" s="3494">
        <v>0</v>
      </c>
      <c r="I23" s="3489">
        <f t="shared" si="1"/>
        <v>1129969.97</v>
      </c>
      <c r="J23" s="3726"/>
      <c r="K23" s="3726"/>
      <c r="L23" s="3726"/>
      <c r="M23" s="3726"/>
      <c r="N23" s="3676"/>
    </row>
    <row r="24" spans="1:14" s="3675" customFormat="1" ht="17.25" customHeight="1">
      <c r="A24" s="3672" t="s">
        <v>1303</v>
      </c>
      <c r="B24" s="3673"/>
      <c r="C24" s="3677">
        <v>2646029.15</v>
      </c>
      <c r="D24" s="3494">
        <v>0</v>
      </c>
      <c r="E24" s="3489">
        <f t="shared" si="0"/>
        <v>2646029.15</v>
      </c>
      <c r="F24" s="3489"/>
      <c r="G24" s="3677">
        <v>4708208.09</v>
      </c>
      <c r="H24" s="3494">
        <v>0</v>
      </c>
      <c r="I24" s="3489">
        <f t="shared" si="1"/>
        <v>4708208.09</v>
      </c>
      <c r="J24" s="3726"/>
      <c r="K24" s="3726"/>
      <c r="L24" s="3726"/>
      <c r="M24" s="3726"/>
      <c r="N24" s="3676"/>
    </row>
    <row r="25" spans="1:14" s="3675" customFormat="1" ht="17.25" customHeight="1">
      <c r="A25" s="3672" t="s">
        <v>1275</v>
      </c>
      <c r="B25" s="3673"/>
      <c r="C25" s="3677">
        <v>2582677.54</v>
      </c>
      <c r="D25" s="3494">
        <v>3161707.65</v>
      </c>
      <c r="E25" s="3489">
        <f t="shared" si="0"/>
        <v>5744385.1899999995</v>
      </c>
      <c r="F25" s="3489"/>
      <c r="G25" s="3677">
        <v>3992130.36</v>
      </c>
      <c r="H25" s="3494">
        <v>3263752.05</v>
      </c>
      <c r="I25" s="3489">
        <f t="shared" si="1"/>
        <v>7255882.4100000001</v>
      </c>
      <c r="J25" s="3726"/>
      <c r="K25" s="3726"/>
      <c r="L25" s="3726"/>
      <c r="M25" s="3726"/>
      <c r="N25" s="3676"/>
    </row>
    <row r="26" spans="1:14" s="3675" customFormat="1" ht="17.25" customHeight="1">
      <c r="A26" s="3672" t="s">
        <v>1276</v>
      </c>
      <c r="B26" s="3673"/>
      <c r="C26" s="3677">
        <v>0</v>
      </c>
      <c r="D26" s="3494">
        <v>0</v>
      </c>
      <c r="E26" s="3489">
        <f t="shared" si="0"/>
        <v>0</v>
      </c>
      <c r="F26" s="3489"/>
      <c r="G26" s="3677">
        <v>0</v>
      </c>
      <c r="H26" s="3494">
        <v>0</v>
      </c>
      <c r="I26" s="3489">
        <f t="shared" si="1"/>
        <v>0</v>
      </c>
      <c r="J26" s="3726"/>
      <c r="K26" s="3726"/>
      <c r="L26" s="3726"/>
      <c r="M26" s="3726"/>
      <c r="N26" s="3676"/>
    </row>
    <row r="27" spans="1:14" s="3675" customFormat="1" ht="17.25" customHeight="1">
      <c r="A27" s="3672" t="s">
        <v>1282</v>
      </c>
      <c r="B27" s="3673"/>
      <c r="C27" s="3677">
        <v>67948081.310000002</v>
      </c>
      <c r="D27" s="3494">
        <v>0</v>
      </c>
      <c r="E27" s="3489">
        <f t="shared" si="0"/>
        <v>67948081.310000002</v>
      </c>
      <c r="F27" s="3489"/>
      <c r="G27" s="3677">
        <v>114654910.53</v>
      </c>
      <c r="H27" s="3494">
        <v>0</v>
      </c>
      <c r="I27" s="3489">
        <f t="shared" si="1"/>
        <v>114654910.53</v>
      </c>
      <c r="J27" s="3726"/>
      <c r="K27" s="3726"/>
      <c r="L27" s="3726"/>
      <c r="M27" s="3726"/>
      <c r="N27" s="3676"/>
    </row>
    <row r="28" spans="1:14" s="3675" customFormat="1" ht="17.25" customHeight="1">
      <c r="A28" s="3672" t="s">
        <v>1328</v>
      </c>
      <c r="B28" s="3673"/>
      <c r="C28" s="3677">
        <v>0</v>
      </c>
      <c r="D28" s="3494">
        <v>0</v>
      </c>
      <c r="E28" s="3489">
        <f t="shared" si="0"/>
        <v>0</v>
      </c>
      <c r="F28" s="3489"/>
      <c r="G28" s="3677">
        <v>0</v>
      </c>
      <c r="H28" s="3494">
        <v>0</v>
      </c>
      <c r="I28" s="3489">
        <f t="shared" si="1"/>
        <v>0</v>
      </c>
      <c r="J28" s="3726"/>
      <c r="K28" s="3726"/>
      <c r="L28" s="3726"/>
      <c r="M28" s="3726"/>
      <c r="N28" s="3676"/>
    </row>
    <row r="29" spans="1:14" s="3675" customFormat="1" ht="17.25" customHeight="1">
      <c r="A29" s="3672" t="s">
        <v>1283</v>
      </c>
      <c r="B29" s="3673"/>
      <c r="C29" s="3677">
        <v>12842608.74</v>
      </c>
      <c r="D29" s="3494">
        <v>0</v>
      </c>
      <c r="E29" s="3489">
        <f t="shared" si="0"/>
        <v>12842608.74</v>
      </c>
      <c r="F29" s="3489"/>
      <c r="G29" s="3677">
        <v>16596338.050000001</v>
      </c>
      <c r="H29" s="3494">
        <v>0</v>
      </c>
      <c r="I29" s="3489">
        <f t="shared" si="1"/>
        <v>16596338.050000001</v>
      </c>
      <c r="J29" s="3726"/>
      <c r="K29" s="3726"/>
      <c r="L29" s="3726"/>
      <c r="M29" s="3726"/>
      <c r="N29" s="3676"/>
    </row>
    <row r="30" spans="1:14" s="3675" customFormat="1" ht="17.25" customHeight="1">
      <c r="A30" s="3672" t="s">
        <v>1284</v>
      </c>
      <c r="B30" s="3673"/>
      <c r="C30" s="3677">
        <v>17003655.02</v>
      </c>
      <c r="D30" s="3494">
        <v>0</v>
      </c>
      <c r="E30" s="3489">
        <f t="shared" si="0"/>
        <v>17003655.02</v>
      </c>
      <c r="F30" s="3489"/>
      <c r="G30" s="3677">
        <v>26542474.879999999</v>
      </c>
      <c r="H30" s="3494">
        <v>0</v>
      </c>
      <c r="I30" s="3489">
        <f t="shared" si="1"/>
        <v>26542474.879999999</v>
      </c>
      <c r="J30" s="3726"/>
      <c r="K30" s="3726"/>
      <c r="L30" s="3726"/>
      <c r="M30" s="3726"/>
      <c r="N30" s="3676"/>
    </row>
    <row r="31" spans="1:14" s="3675" customFormat="1" ht="17.25" customHeight="1">
      <c r="A31" s="3672" t="s">
        <v>1277</v>
      </c>
      <c r="B31" s="3673"/>
      <c r="C31" s="3677">
        <v>89112000.620000005</v>
      </c>
      <c r="D31" s="3494">
        <v>0</v>
      </c>
      <c r="E31" s="3489">
        <f t="shared" si="0"/>
        <v>89112000.620000005</v>
      </c>
      <c r="F31" s="3489"/>
      <c r="G31" s="3677">
        <v>165282424.13</v>
      </c>
      <c r="H31" s="3494">
        <v>0</v>
      </c>
      <c r="I31" s="3489">
        <f t="shared" si="1"/>
        <v>165282424.13</v>
      </c>
      <c r="J31" s="3726"/>
      <c r="K31" s="3726"/>
      <c r="L31" s="3726"/>
      <c r="M31" s="3726"/>
      <c r="N31" s="3676"/>
    </row>
    <row r="32" spans="1:14" s="3675" customFormat="1" ht="17.25" customHeight="1">
      <c r="A32" s="3672" t="s">
        <v>1285</v>
      </c>
      <c r="B32" s="3673"/>
      <c r="C32" s="3677">
        <v>344778202.74000001</v>
      </c>
      <c r="D32" s="3494">
        <v>0</v>
      </c>
      <c r="E32" s="3489">
        <f t="shared" si="0"/>
        <v>344778202.74000001</v>
      </c>
      <c r="F32" s="3489"/>
      <c r="G32" s="3677">
        <v>508922316.20999998</v>
      </c>
      <c r="H32" s="3494">
        <v>0</v>
      </c>
      <c r="I32" s="3489">
        <f t="shared" si="1"/>
        <v>508922316.20999998</v>
      </c>
      <c r="J32" s="3726"/>
      <c r="K32" s="3726"/>
      <c r="L32" s="3726"/>
      <c r="M32" s="3726"/>
      <c r="N32" s="3676"/>
    </row>
    <row r="33" spans="1:15" s="3675" customFormat="1" ht="17.25" customHeight="1">
      <c r="A33" s="3672" t="s">
        <v>1286</v>
      </c>
      <c r="B33" s="3673"/>
      <c r="C33" s="3677">
        <v>434157605.50999999</v>
      </c>
      <c r="D33" s="3494">
        <v>0</v>
      </c>
      <c r="E33" s="3489">
        <f t="shared" si="0"/>
        <v>434157605.50999999</v>
      </c>
      <c r="F33" s="3489"/>
      <c r="G33" s="3677">
        <f>1123904222.51-5403014.72</f>
        <v>1118501207.79</v>
      </c>
      <c r="H33" s="3494">
        <v>0</v>
      </c>
      <c r="I33" s="3489">
        <f t="shared" si="1"/>
        <v>1118501207.79</v>
      </c>
      <c r="J33" s="3726"/>
      <c r="K33" s="3726"/>
      <c r="L33" s="3726"/>
      <c r="M33" s="3726"/>
      <c r="N33" s="3676"/>
    </row>
    <row r="34" spans="1:15" s="3675" customFormat="1" ht="17.25" customHeight="1">
      <c r="A34" s="3672" t="s">
        <v>1278</v>
      </c>
      <c r="B34" s="3673"/>
      <c r="C34" s="3677">
        <v>13428205.9</v>
      </c>
      <c r="D34" s="3494">
        <v>0</v>
      </c>
      <c r="E34" s="3489">
        <f t="shared" si="0"/>
        <v>13428205.9</v>
      </c>
      <c r="F34" s="3489"/>
      <c r="G34" s="3677">
        <v>23578940.23</v>
      </c>
      <c r="H34" s="3494">
        <v>0</v>
      </c>
      <c r="I34" s="3489">
        <f t="shared" si="1"/>
        <v>23578940.23</v>
      </c>
      <c r="J34" s="3726"/>
      <c r="K34" s="3726"/>
      <c r="L34" s="3726"/>
      <c r="M34" s="3726"/>
      <c r="N34" s="3676"/>
    </row>
    <row r="35" spans="1:15" s="3675" customFormat="1" ht="17.25" customHeight="1">
      <c r="A35" s="3672" t="s">
        <v>1287</v>
      </c>
      <c r="B35" s="3673"/>
      <c r="C35" s="3677">
        <v>12057670.77</v>
      </c>
      <c r="D35" s="3494">
        <v>0</v>
      </c>
      <c r="E35" s="3489">
        <f t="shared" si="0"/>
        <v>12057670.77</v>
      </c>
      <c r="F35" s="3489"/>
      <c r="G35" s="3677">
        <v>22002434.719999999</v>
      </c>
      <c r="H35" s="3494">
        <v>0</v>
      </c>
      <c r="I35" s="3489">
        <f t="shared" si="1"/>
        <v>22002434.719999999</v>
      </c>
      <c r="J35" s="3726"/>
      <c r="K35" s="3726"/>
      <c r="L35" s="3726"/>
      <c r="M35" s="3726"/>
      <c r="N35" s="3676"/>
    </row>
    <row r="36" spans="1:15" s="3675" customFormat="1" ht="17.25" customHeight="1">
      <c r="A36" s="3672" t="s">
        <v>1288</v>
      </c>
      <c r="B36" s="3673"/>
      <c r="C36" s="3677">
        <v>210557.76</v>
      </c>
      <c r="D36" s="3494">
        <v>0</v>
      </c>
      <c r="E36" s="3489">
        <f t="shared" si="0"/>
        <v>210557.76</v>
      </c>
      <c r="F36" s="3489"/>
      <c r="G36" s="3677">
        <v>371894.22</v>
      </c>
      <c r="H36" s="3494">
        <v>0</v>
      </c>
      <c r="I36" s="3489">
        <f t="shared" si="1"/>
        <v>371894.22</v>
      </c>
      <c r="J36" s="3726"/>
      <c r="K36" s="3726"/>
      <c r="L36" s="3726"/>
      <c r="M36" s="3726"/>
      <c r="N36" s="3676"/>
    </row>
    <row r="37" spans="1:15" s="3675" customFormat="1" ht="17.25" customHeight="1">
      <c r="A37" s="3479" t="s">
        <v>1307</v>
      </c>
      <c r="B37" s="3673"/>
      <c r="C37" s="3677">
        <v>677917342.05999994</v>
      </c>
      <c r="D37" s="3494">
        <v>0</v>
      </c>
      <c r="E37" s="3489">
        <f t="shared" si="0"/>
        <v>677917342.05999994</v>
      </c>
      <c r="F37" s="3489"/>
      <c r="G37" s="3677">
        <v>1747282524.5799999</v>
      </c>
      <c r="H37" s="3494">
        <v>0</v>
      </c>
      <c r="I37" s="3489">
        <f t="shared" si="1"/>
        <v>1747282524.5799999</v>
      </c>
      <c r="J37" s="3726"/>
      <c r="K37" s="3726"/>
      <c r="L37" s="3726"/>
      <c r="M37" s="3726"/>
      <c r="N37" s="3676"/>
    </row>
    <row r="38" spans="1:15" s="3675" customFormat="1" ht="17.25" customHeight="1">
      <c r="A38" s="3672" t="s">
        <v>1289</v>
      </c>
      <c r="B38" s="3673"/>
      <c r="C38" s="3677">
        <v>7437089.4299999997</v>
      </c>
      <c r="D38" s="3494">
        <v>0</v>
      </c>
      <c r="E38" s="3489">
        <f t="shared" si="0"/>
        <v>7437089.4299999997</v>
      </c>
      <c r="F38" s="3489"/>
      <c r="G38" s="3677">
        <f>168054104.49+25000000</f>
        <v>193054104.49000001</v>
      </c>
      <c r="H38" s="3494">
        <v>0</v>
      </c>
      <c r="I38" s="3489">
        <f t="shared" si="1"/>
        <v>193054104.49000001</v>
      </c>
      <c r="J38" s="3726"/>
      <c r="K38" s="3726"/>
      <c r="L38" s="3726"/>
      <c r="M38" s="3726"/>
      <c r="N38" s="3676"/>
    </row>
    <row r="39" spans="1:15" s="3675" customFormat="1" ht="17.25" customHeight="1">
      <c r="A39" s="3672" t="s">
        <v>1465</v>
      </c>
      <c r="B39" s="3673"/>
      <c r="C39" s="3677">
        <v>0</v>
      </c>
      <c r="D39" s="3494">
        <v>0</v>
      </c>
      <c r="E39" s="3489">
        <f t="shared" si="0"/>
        <v>0</v>
      </c>
      <c r="F39" s="3489"/>
      <c r="G39" s="3677">
        <v>0</v>
      </c>
      <c r="H39" s="3494">
        <v>0</v>
      </c>
      <c r="I39" s="3489">
        <f t="shared" ref="I39" si="2">G39+H39</f>
        <v>0</v>
      </c>
      <c r="K39" s="3726"/>
      <c r="L39" s="3726"/>
      <c r="M39" s="3726"/>
      <c r="N39" s="3676"/>
    </row>
    <row r="40" spans="1:15" s="3675" customFormat="1" ht="17.25" customHeight="1">
      <c r="A40" s="3672" t="s">
        <v>1294</v>
      </c>
      <c r="B40" s="3673"/>
      <c r="C40" s="3677">
        <v>0</v>
      </c>
      <c r="D40" s="3494">
        <v>0</v>
      </c>
      <c r="E40" s="3489">
        <f t="shared" si="0"/>
        <v>0</v>
      </c>
      <c r="F40" s="3489"/>
      <c r="G40" s="3677">
        <v>148982.25</v>
      </c>
      <c r="H40" s="3494">
        <v>0</v>
      </c>
      <c r="I40" s="3489">
        <f t="shared" si="1"/>
        <v>148982.25</v>
      </c>
      <c r="J40" s="3726"/>
      <c r="K40" s="3726"/>
      <c r="L40" s="3726"/>
      <c r="M40" s="3726"/>
      <c r="N40" s="3676"/>
    </row>
    <row r="41" spans="1:15" s="3675" customFormat="1" ht="17.25" customHeight="1">
      <c r="A41" s="3672" t="s">
        <v>1279</v>
      </c>
      <c r="B41" s="3673"/>
      <c r="C41" s="3677">
        <v>350000000</v>
      </c>
      <c r="D41" s="3494">
        <v>0</v>
      </c>
      <c r="E41" s="3489">
        <f t="shared" si="0"/>
        <v>350000000</v>
      </c>
      <c r="F41" s="3489"/>
      <c r="G41" s="3677">
        <v>700000000</v>
      </c>
      <c r="H41" s="3494">
        <v>0</v>
      </c>
      <c r="I41" s="3489">
        <f t="shared" si="1"/>
        <v>700000000</v>
      </c>
      <c r="J41" s="3726"/>
      <c r="K41" s="3726"/>
      <c r="L41" s="3726"/>
      <c r="M41" s="3726"/>
      <c r="N41" s="3676"/>
    </row>
    <row r="42" spans="1:15" s="3675" customFormat="1" ht="17.25" customHeight="1">
      <c r="A42" s="3672" t="s">
        <v>1461</v>
      </c>
      <c r="B42" s="3673"/>
      <c r="C42" s="3677">
        <v>0</v>
      </c>
      <c r="D42" s="3494">
        <v>0</v>
      </c>
      <c r="E42" s="3489">
        <f t="shared" si="0"/>
        <v>0</v>
      </c>
      <c r="F42" s="3489"/>
      <c r="G42" s="3677">
        <v>0</v>
      </c>
      <c r="H42" s="3494">
        <v>0</v>
      </c>
      <c r="I42" s="3489">
        <f t="shared" si="1"/>
        <v>0</v>
      </c>
      <c r="J42" s="3726"/>
      <c r="K42" s="3726"/>
      <c r="L42" s="3726"/>
      <c r="M42" s="3726"/>
      <c r="N42" s="3676"/>
    </row>
    <row r="43" spans="1:15" s="3675" customFormat="1" ht="17.25" customHeight="1">
      <c r="A43" s="3672" t="s">
        <v>1462</v>
      </c>
      <c r="B43" s="3673"/>
      <c r="C43" s="3677">
        <v>0</v>
      </c>
      <c r="D43" s="3494">
        <v>0</v>
      </c>
      <c r="E43" s="3489">
        <f t="shared" si="0"/>
        <v>0</v>
      </c>
      <c r="F43" s="3489"/>
      <c r="G43" s="3677">
        <v>0</v>
      </c>
      <c r="H43" s="3494">
        <v>0</v>
      </c>
      <c r="I43" s="3489">
        <f t="shared" si="1"/>
        <v>0</v>
      </c>
      <c r="J43" s="3726"/>
      <c r="K43" s="3726"/>
      <c r="L43" s="3726"/>
      <c r="M43" s="3726"/>
      <c r="N43" s="3676"/>
    </row>
    <row r="44" spans="1:15" s="3675" customFormat="1" ht="17.25" customHeight="1">
      <c r="A44" s="3672" t="s">
        <v>1295</v>
      </c>
      <c r="B44" s="3673"/>
      <c r="C44" s="3677">
        <v>52120610.229999997</v>
      </c>
      <c r="D44" s="3494">
        <v>0</v>
      </c>
      <c r="E44" s="3489">
        <f t="shared" si="0"/>
        <v>52120610.229999997</v>
      </c>
      <c r="F44" s="3489"/>
      <c r="G44" s="3677">
        <f>51970443.45+52120610.23</f>
        <v>104091053.68000001</v>
      </c>
      <c r="H44" s="3494">
        <v>0</v>
      </c>
      <c r="I44" s="3489">
        <f t="shared" si="1"/>
        <v>104091053.68000001</v>
      </c>
      <c r="K44" s="3726"/>
      <c r="L44" s="3726"/>
      <c r="M44" s="3726"/>
      <c r="N44" s="3676"/>
    </row>
    <row r="45" spans="1:15" s="3675" customFormat="1" ht="17.25" customHeight="1">
      <c r="A45" s="3672" t="s">
        <v>1296</v>
      </c>
      <c r="B45" s="3673"/>
      <c r="C45" s="3677">
        <v>72500000</v>
      </c>
      <c r="D45" s="3494">
        <v>0</v>
      </c>
      <c r="E45" s="3489">
        <f t="shared" si="0"/>
        <v>72500000</v>
      </c>
      <c r="F45" s="3489"/>
      <c r="G45" s="3677">
        <v>145000000</v>
      </c>
      <c r="H45" s="3494">
        <v>0</v>
      </c>
      <c r="I45" s="3489">
        <f t="shared" si="1"/>
        <v>145000000</v>
      </c>
      <c r="K45" s="3726"/>
      <c r="L45" s="3726"/>
      <c r="M45" s="3726"/>
      <c r="N45" s="3676"/>
    </row>
    <row r="46" spans="1:15" s="3675" customFormat="1" ht="17.25" customHeight="1">
      <c r="A46" s="3672" t="s">
        <v>1329</v>
      </c>
      <c r="B46" s="3673"/>
      <c r="C46" s="3677">
        <v>78801981.599999994</v>
      </c>
      <c r="D46" s="3494">
        <v>0</v>
      </c>
      <c r="E46" s="3489">
        <f t="shared" si="0"/>
        <v>78801981.599999994</v>
      </c>
      <c r="F46" s="3489"/>
      <c r="G46" s="3677">
        <f>C46</f>
        <v>78801981.599999994</v>
      </c>
      <c r="H46" s="3494">
        <v>0</v>
      </c>
      <c r="I46" s="3489">
        <f t="shared" si="1"/>
        <v>78801981.599999994</v>
      </c>
      <c r="K46" s="3726"/>
      <c r="L46" s="3726"/>
      <c r="M46" s="3726"/>
      <c r="N46" s="3676"/>
    </row>
    <row r="47" spans="1:15" s="3671" customFormat="1" ht="17.25" customHeight="1">
      <c r="A47" s="3679" t="s">
        <v>1304</v>
      </c>
      <c r="B47" s="3635"/>
      <c r="C47" s="3680">
        <f>SUM(C11:C46)</f>
        <v>2482451573.21</v>
      </c>
      <c r="D47" s="3680">
        <f>SUM(D11:D46)</f>
        <v>5077125.4800000004</v>
      </c>
      <c r="E47" s="3680">
        <f>SUM(E11:E46)</f>
        <v>2487528698.6900001</v>
      </c>
      <c r="F47" s="3681"/>
      <c r="G47" s="3680">
        <f>SUM(G11:G46)</f>
        <v>5227714451.9100008</v>
      </c>
      <c r="H47" s="3680">
        <f>SUM(H11:H46)</f>
        <v>-6898385.299999998</v>
      </c>
      <c r="I47" s="3680">
        <f>SUM(I11:I46)</f>
        <v>5220816066.6100006</v>
      </c>
      <c r="J47" s="3726"/>
      <c r="K47" s="3726"/>
      <c r="L47" s="3726"/>
      <c r="M47" s="3705"/>
      <c r="N47" s="3676"/>
      <c r="O47" s="3675"/>
    </row>
    <row r="48" spans="1:15" ht="9.6" customHeight="1">
      <c r="A48" s="3668"/>
      <c r="B48" s="3523"/>
      <c r="C48" s="3496"/>
      <c r="D48" s="3496"/>
      <c r="E48" s="3496"/>
      <c r="F48" s="3496"/>
      <c r="G48" s="3497"/>
      <c r="H48" s="3497"/>
      <c r="I48" s="3497"/>
      <c r="J48" s="3726"/>
      <c r="K48" s="3726"/>
      <c r="L48" s="3726"/>
    </row>
    <row r="49" spans="1:17" ht="42.95" customHeight="1">
      <c r="A49" s="3682" t="s">
        <v>1315</v>
      </c>
      <c r="B49" s="3523"/>
      <c r="C49" s="3833">
        <v>-93105734.769999996</v>
      </c>
      <c r="D49" s="3839">
        <v>0</v>
      </c>
      <c r="E49" s="3840">
        <f>C49+D49</f>
        <v>-93105734.769999996</v>
      </c>
      <c r="F49" s="3841"/>
      <c r="G49" s="3733">
        <v>-333904760.27999997</v>
      </c>
      <c r="H49" s="3733">
        <v>0</v>
      </c>
      <c r="I49" s="3842">
        <f>G49+H49</f>
        <v>-333904760.27999997</v>
      </c>
      <c r="J49" s="3917" t="s">
        <v>14</v>
      </c>
      <c r="K49" s="3726"/>
      <c r="L49" s="3726"/>
    </row>
    <row r="50" spans="1:17" ht="15.6" customHeight="1">
      <c r="A50" s="3683"/>
      <c r="B50" s="3523"/>
      <c r="C50" s="3779"/>
      <c r="D50" s="3779"/>
      <c r="E50" s="3779"/>
      <c r="F50" s="3779"/>
      <c r="G50" s="3780"/>
      <c r="H50" s="3780" t="s">
        <v>14</v>
      </c>
      <c r="I50" s="3780"/>
      <c r="J50" s="3916" t="s">
        <v>14</v>
      </c>
      <c r="K50" s="3726"/>
      <c r="L50" s="3726"/>
    </row>
    <row r="51" spans="1:17" ht="17.25" customHeight="1" thickBot="1">
      <c r="A51" s="3683" t="s">
        <v>1280</v>
      </c>
      <c r="B51" s="3523"/>
      <c r="C51" s="3684">
        <f>+C47+C49</f>
        <v>2389345838.4400001</v>
      </c>
      <c r="D51" s="3525">
        <f>+D47</f>
        <v>5077125.4800000004</v>
      </c>
      <c r="E51" s="3525">
        <f>+E47+E49</f>
        <v>2394422963.9200001</v>
      </c>
      <c r="F51" s="3637"/>
      <c r="G51" s="3525">
        <f>+G47+G49</f>
        <v>4893809691.6300011</v>
      </c>
      <c r="H51" s="3525">
        <f>+H47</f>
        <v>-6898385.299999998</v>
      </c>
      <c r="I51" s="3525">
        <f>+I47+I49</f>
        <v>4886911306.3300009</v>
      </c>
      <c r="J51" s="3522"/>
      <c r="K51" s="3726"/>
      <c r="L51" s="3726"/>
    </row>
    <row r="52" spans="1:17" ht="17.25" customHeight="1" thickTop="1">
      <c r="A52" s="3685"/>
      <c r="B52" s="3486"/>
      <c r="C52" s="3685"/>
      <c r="D52" s="3685"/>
      <c r="E52" s="3686"/>
      <c r="F52" s="3686"/>
      <c r="G52" s="3526"/>
      <c r="H52" s="3526"/>
      <c r="I52" s="3526"/>
      <c r="J52" s="3697"/>
      <c r="K52" s="3697"/>
    </row>
    <row r="53" spans="1:17" ht="16.350000000000001" customHeight="1">
      <c r="A53" s="3687" t="s">
        <v>1320</v>
      </c>
      <c r="B53" s="3486" t="s">
        <v>14</v>
      </c>
      <c r="C53" s="3773"/>
      <c r="D53" s="3781"/>
      <c r="E53" s="3782"/>
      <c r="F53" s="3707"/>
      <c r="G53" s="3522" t="s">
        <v>14</v>
      </c>
      <c r="H53" s="3522"/>
      <c r="I53" s="3522" t="s">
        <v>14</v>
      </c>
      <c r="J53" s="3697"/>
    </row>
    <row r="54" spans="1:17" ht="16.350000000000001" customHeight="1">
      <c r="A54" s="3690" t="s">
        <v>1323</v>
      </c>
      <c r="B54" s="3486"/>
      <c r="C54" s="3691"/>
      <c r="D54" s="3692"/>
      <c r="E54" s="3693" t="s">
        <v>14</v>
      </c>
      <c r="F54" s="3694"/>
      <c r="G54" s="3695"/>
      <c r="H54" s="3527"/>
      <c r="I54" s="3482"/>
      <c r="J54" s="3697" t="s">
        <v>14</v>
      </c>
    </row>
    <row r="55" spans="1:17" ht="16.350000000000001" customHeight="1">
      <c r="A55" s="3690" t="s">
        <v>1322</v>
      </c>
      <c r="B55" s="3486"/>
      <c r="C55" s="3688"/>
      <c r="D55" s="3685"/>
      <c r="E55" s="3688" t="s">
        <v>14</v>
      </c>
      <c r="F55" s="3685"/>
      <c r="G55" s="3697" t="s">
        <v>14</v>
      </c>
      <c r="H55" s="3486"/>
      <c r="I55" s="3689" t="s">
        <v>14</v>
      </c>
      <c r="J55" s="3697"/>
    </row>
    <row r="56" spans="1:17" s="3640" customFormat="1" ht="16.350000000000001" customHeight="1">
      <c r="A56" s="3690" t="s">
        <v>1326</v>
      </c>
      <c r="B56" s="3472"/>
      <c r="C56" s="3833"/>
      <c r="D56" s="3839"/>
      <c r="E56" s="3840"/>
      <c r="F56" s="3841"/>
      <c r="G56" s="3733"/>
      <c r="H56" s="3733"/>
      <c r="I56" s="3842"/>
      <c r="J56" s="3697"/>
      <c r="K56" s="3699"/>
      <c r="L56" s="3699"/>
      <c r="M56" s="3699"/>
      <c r="N56" s="3472"/>
      <c r="O56" s="3472"/>
      <c r="P56" s="3472"/>
      <c r="Q56" s="3472"/>
    </row>
    <row r="57" spans="1:17" s="3640" customFormat="1" ht="13.35" customHeight="1">
      <c r="A57" s="3696" t="s">
        <v>1318</v>
      </c>
      <c r="B57" s="3472"/>
      <c r="C57" s="3698"/>
      <c r="G57" s="3697"/>
      <c r="H57" s="3472"/>
      <c r="I57" s="3689"/>
      <c r="J57" s="3697"/>
      <c r="K57" s="3699"/>
      <c r="L57" s="3699"/>
      <c r="M57" s="3699"/>
      <c r="N57" s="3472"/>
      <c r="O57" s="3472"/>
      <c r="P57" s="3472"/>
      <c r="Q57" s="3472"/>
    </row>
    <row r="58" spans="1:17" ht="17.25" customHeight="1">
      <c r="A58" s="3696" t="s">
        <v>1538</v>
      </c>
      <c r="G58" s="3832" t="s">
        <v>14</v>
      </c>
    </row>
    <row r="59" spans="1:17" ht="17.25" customHeight="1">
      <c r="C59" s="3698"/>
      <c r="G59" s="3832" t="s">
        <v>14</v>
      </c>
    </row>
    <row r="60" spans="1:17" ht="17.25" customHeight="1">
      <c r="C60" s="3807"/>
      <c r="D60" s="3807"/>
      <c r="E60" s="3807"/>
      <c r="F60" s="3807"/>
      <c r="G60" s="3808"/>
      <c r="H60" s="3808"/>
      <c r="I60" s="3809"/>
    </row>
    <row r="61" spans="1:17" ht="17.25" customHeight="1">
      <c r="C61" s="3698"/>
      <c r="G61" s="3699"/>
    </row>
    <row r="62" spans="1:17" ht="17.25" customHeight="1">
      <c r="G62" s="3880"/>
      <c r="I62" s="3697"/>
    </row>
    <row r="64" spans="1:17" ht="17.25" customHeight="1">
      <c r="G64" s="3699"/>
    </row>
    <row r="65" spans="7:7" ht="17.25" customHeight="1">
      <c r="G65" s="3699"/>
    </row>
  </sheetData>
  <mergeCells count="2">
    <mergeCell ref="C7:E7"/>
    <mergeCell ref="G7:I7"/>
  </mergeCells>
  <printOptions horizontalCentered="1"/>
  <pageMargins left="0.17" right="0.18" top="0.44" bottom="0.27" header="0.23" footer="0.18"/>
  <pageSetup scale="55" firstPageNumber="57" orientation="landscape" useFirstPageNumber="1" r:id="rId1"/>
  <headerFooter scaleWithDoc="0" alignWithMargins="0">
    <oddFooter>&amp;C&amp;8&amp;P</oddFooter>
  </headerFooter>
  <ignoredErrors>
    <ignoredError sqref="D51:I51"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N50"/>
  <sheetViews>
    <sheetView showGridLines="0" zoomScale="70" zoomScaleNormal="70" workbookViewId="0"/>
  </sheetViews>
  <sheetFormatPr defaultColWidth="8.6640625" defaultRowHeight="15"/>
  <cols>
    <col min="1" max="1" width="58.6640625" style="3708" customWidth="1"/>
    <col min="2" max="2" width="2" style="3472" customWidth="1"/>
    <col min="3" max="3" width="21.109375" style="3640" customWidth="1"/>
    <col min="4" max="4" width="21.6640625" style="3640" customWidth="1"/>
    <col min="5" max="5" width="19.6640625" style="3640" customWidth="1"/>
    <col min="6" max="6" width="0.6640625" style="3640" customWidth="1"/>
    <col min="7" max="7" width="22.109375" style="3475" customWidth="1"/>
    <col min="8" max="8" width="20.6640625" style="3472" customWidth="1"/>
    <col min="9" max="9" width="21.6640625" style="3472" customWidth="1"/>
    <col min="10" max="10" width="21.109375" style="3472" customWidth="1"/>
    <col min="11" max="11" width="19.109375" style="3472" customWidth="1"/>
    <col min="12" max="12" width="17.6640625" style="3472" customWidth="1"/>
    <col min="13" max="14" width="14.6640625" style="3472" bestFit="1" customWidth="1"/>
    <col min="15" max="16384" width="8.6640625" style="3472"/>
  </cols>
  <sheetData>
    <row r="1" spans="1:14" ht="15.75">
      <c r="A1" s="1462" t="s">
        <v>870</v>
      </c>
    </row>
    <row r="3" spans="1:14" ht="25.35" customHeight="1">
      <c r="A3" s="3665" t="s">
        <v>0</v>
      </c>
      <c r="C3" s="3473"/>
      <c r="D3" s="3473"/>
      <c r="E3" s="3473"/>
      <c r="F3" s="3474"/>
      <c r="I3" s="3478" t="s">
        <v>1300</v>
      </c>
    </row>
    <row r="4" spans="1:14" ht="25.35" customHeight="1">
      <c r="A4" s="3666" t="s">
        <v>1319</v>
      </c>
      <c r="C4" s="3473"/>
      <c r="D4" s="3473"/>
      <c r="E4" s="3473"/>
      <c r="F4" s="3474"/>
    </row>
    <row r="5" spans="1:14" ht="18.600000000000001" customHeight="1">
      <c r="A5" s="3761" t="str">
        <f>'Appendix H'!A5</f>
        <v xml:space="preserve">FISCAL YEAR 2022-2023   </v>
      </c>
      <c r="C5" s="3473"/>
      <c r="D5" s="3473"/>
      <c r="E5" s="3473"/>
      <c r="F5" s="3474"/>
    </row>
    <row r="6" spans="1:14" ht="21">
      <c r="A6" s="3702"/>
      <c r="C6" s="3473"/>
      <c r="D6" s="3473"/>
      <c r="E6" s="3473"/>
      <c r="F6" s="3474"/>
    </row>
    <row r="7" spans="1:14" ht="15.75">
      <c r="A7" s="3703"/>
      <c r="B7" s="3523"/>
      <c r="C7" s="3987" t="str">
        <f>'Appendix H'!C7:E7</f>
        <v>MAY 2022</v>
      </c>
      <c r="D7" s="3988"/>
      <c r="E7" s="3988"/>
      <c r="F7" s="3630"/>
      <c r="G7" s="3988" t="str">
        <f>'Appendix H'!G7:I7</f>
        <v>2 MONTHS ENDED MAY 31</v>
      </c>
      <c r="H7" s="3988"/>
      <c r="I7" s="3988"/>
    </row>
    <row r="8" spans="1:14" ht="15.75">
      <c r="A8" s="3703"/>
      <c r="B8" s="3523"/>
      <c r="C8" s="3631"/>
      <c r="D8" s="3631"/>
      <c r="E8" s="3631"/>
      <c r="F8" s="3631"/>
      <c r="G8" s="3632"/>
      <c r="H8" s="3523"/>
      <c r="I8" s="3523"/>
    </row>
    <row r="9" spans="1:14" ht="15.75">
      <c r="A9" s="3704"/>
      <c r="B9" s="3523"/>
      <c r="C9" s="3524" t="s">
        <v>1267</v>
      </c>
      <c r="D9" s="3524" t="s">
        <v>1268</v>
      </c>
      <c r="E9" s="3524" t="s">
        <v>1521</v>
      </c>
      <c r="F9" s="3524"/>
      <c r="G9" s="3524" t="s">
        <v>1267</v>
      </c>
      <c r="H9" s="3524" t="s">
        <v>1268</v>
      </c>
      <c r="I9" s="3476" t="s">
        <v>1269</v>
      </c>
    </row>
    <row r="10" spans="1:14" s="3671" customFormat="1" ht="15.75">
      <c r="A10" s="3669"/>
      <c r="B10" s="3635"/>
      <c r="C10" s="3633"/>
      <c r="D10" s="3633"/>
      <c r="E10" s="3633"/>
      <c r="F10" s="3633"/>
      <c r="G10" s="3634"/>
      <c r="H10" s="3635"/>
      <c r="I10" s="3634"/>
    </row>
    <row r="11" spans="1:14" s="3675" customFormat="1" ht="15.75">
      <c r="A11" s="3672" t="s">
        <v>1302</v>
      </c>
      <c r="B11" s="3673"/>
      <c r="C11" s="3636">
        <v>12319265.539999999</v>
      </c>
      <c r="D11" s="3636">
        <v>0</v>
      </c>
      <c r="E11" s="3637">
        <f>C11+D11</f>
        <v>12319265.539999999</v>
      </c>
      <c r="F11" s="3637"/>
      <c r="G11" s="3636">
        <v>17561247.719999999</v>
      </c>
      <c r="H11" s="3636">
        <f>D11</f>
        <v>0</v>
      </c>
      <c r="I11" s="3637">
        <f>G11+H11</f>
        <v>17561247.719999999</v>
      </c>
      <c r="J11" s="3676"/>
      <c r="K11" s="3676"/>
      <c r="L11" s="3676"/>
      <c r="N11" s="3676"/>
    </row>
    <row r="12" spans="1:14" s="3675" customFormat="1" ht="15.75">
      <c r="A12" s="3672" t="s">
        <v>1281</v>
      </c>
      <c r="B12" s="3673"/>
      <c r="C12" s="3889">
        <v>101141.5</v>
      </c>
      <c r="D12" s="3494">
        <v>0</v>
      </c>
      <c r="E12" s="3489">
        <f>C12+D12</f>
        <v>101141.5</v>
      </c>
      <c r="F12" s="3489"/>
      <c r="G12" s="3889">
        <v>184249.39</v>
      </c>
      <c r="H12" s="3494">
        <v>0</v>
      </c>
      <c r="I12" s="3489">
        <f>G12+H12</f>
        <v>184249.39</v>
      </c>
      <c r="J12" s="3676"/>
      <c r="K12" s="3676"/>
      <c r="L12" s="3676"/>
      <c r="M12" s="3726"/>
      <c r="N12" s="3676"/>
    </row>
    <row r="13" spans="1:14" s="3675" customFormat="1" ht="15.75">
      <c r="A13" s="3672" t="s">
        <v>1478</v>
      </c>
      <c r="B13" s="3673"/>
      <c r="C13" s="3494">
        <v>0</v>
      </c>
      <c r="D13" s="3494">
        <v>0</v>
      </c>
      <c r="E13" s="3489">
        <f>C13+D13</f>
        <v>0</v>
      </c>
      <c r="F13" s="3489"/>
      <c r="G13" s="3889">
        <v>514637598.52999997</v>
      </c>
      <c r="H13" s="3494">
        <v>0</v>
      </c>
      <c r="I13" s="3489">
        <f>G13+H13</f>
        <v>514637598.52999997</v>
      </c>
      <c r="J13" s="3676"/>
      <c r="K13" s="3676"/>
      <c r="L13" s="3676"/>
      <c r="M13" s="3726"/>
      <c r="N13" s="3676"/>
    </row>
    <row r="14" spans="1:14" s="3675" customFormat="1" ht="15.75">
      <c r="A14" s="3672" t="s">
        <v>1282</v>
      </c>
      <c r="B14" s="3673"/>
      <c r="C14" s="3494">
        <v>347302515.16000003</v>
      </c>
      <c r="D14" s="3494">
        <v>0</v>
      </c>
      <c r="E14" s="3489">
        <f t="shared" ref="E14:E23" si="0">C14+D14</f>
        <v>347302515.16000003</v>
      </c>
      <c r="F14" s="3489"/>
      <c r="G14" s="3494">
        <v>630753678.82000005</v>
      </c>
      <c r="H14" s="3494">
        <f t="shared" ref="H14:H25" si="1">D14</f>
        <v>0</v>
      </c>
      <c r="I14" s="3489">
        <f t="shared" ref="I14:I25" si="2">G14+H14</f>
        <v>630753678.82000005</v>
      </c>
      <c r="J14" s="3676"/>
      <c r="K14" s="3676"/>
      <c r="L14" s="3676"/>
      <c r="M14" s="3726"/>
      <c r="N14" s="3676"/>
    </row>
    <row r="15" spans="1:14" s="3675" customFormat="1" ht="15.75">
      <c r="A15" s="3672" t="s">
        <v>1283</v>
      </c>
      <c r="B15" s="3673"/>
      <c r="C15" s="3494">
        <v>39500213.710000001</v>
      </c>
      <c r="D15" s="3494">
        <v>0</v>
      </c>
      <c r="E15" s="3489">
        <f t="shared" si="0"/>
        <v>39500213.710000001</v>
      </c>
      <c r="F15" s="3489"/>
      <c r="G15" s="3494">
        <v>80506137.349999994</v>
      </c>
      <c r="H15" s="3494">
        <f t="shared" si="1"/>
        <v>0</v>
      </c>
      <c r="I15" s="3489">
        <f>G15+H15</f>
        <v>80506137.349999994</v>
      </c>
      <c r="J15" s="3676"/>
      <c r="K15" s="3676"/>
      <c r="L15" s="3676"/>
      <c r="M15" s="3726"/>
      <c r="N15" s="3676"/>
    </row>
    <row r="16" spans="1:14" s="3675" customFormat="1" ht="15.75">
      <c r="A16" s="3672" t="s">
        <v>1284</v>
      </c>
      <c r="B16" s="3673"/>
      <c r="C16" s="3494">
        <v>66644916.020000003</v>
      </c>
      <c r="D16" s="3494">
        <v>0</v>
      </c>
      <c r="E16" s="3489">
        <f t="shared" si="0"/>
        <v>66644916.020000003</v>
      </c>
      <c r="F16" s="3489"/>
      <c r="G16" s="3494">
        <v>132468330.77</v>
      </c>
      <c r="H16" s="3494">
        <f t="shared" si="1"/>
        <v>0</v>
      </c>
      <c r="I16" s="3489">
        <f t="shared" si="2"/>
        <v>132468330.77</v>
      </c>
      <c r="J16" s="3676"/>
      <c r="K16" s="3676"/>
      <c r="L16" s="3676"/>
      <c r="M16" s="3726"/>
      <c r="N16" s="3676"/>
    </row>
    <row r="17" spans="1:14" s="3675" customFormat="1" ht="15.75">
      <c r="A17" s="3672" t="s">
        <v>1277</v>
      </c>
      <c r="B17" s="3673"/>
      <c r="C17" s="3494">
        <v>154203121.24000001</v>
      </c>
      <c r="D17" s="3494">
        <v>0</v>
      </c>
      <c r="E17" s="3489">
        <f t="shared" si="0"/>
        <v>154203121.24000001</v>
      </c>
      <c r="F17" s="3489"/>
      <c r="G17" s="3494">
        <v>298117781.69</v>
      </c>
      <c r="H17" s="3494">
        <f t="shared" si="1"/>
        <v>0</v>
      </c>
      <c r="I17" s="3489">
        <f t="shared" si="2"/>
        <v>298117781.69</v>
      </c>
      <c r="J17" s="3676"/>
      <c r="K17" s="3676"/>
      <c r="L17" s="3676"/>
      <c r="M17" s="3726"/>
      <c r="N17" s="3676"/>
    </row>
    <row r="18" spans="1:14" s="3675" customFormat="1" ht="15.75">
      <c r="A18" s="3672" t="s">
        <v>1285</v>
      </c>
      <c r="B18" s="3673"/>
      <c r="C18" s="3494">
        <v>1471698613.9400001</v>
      </c>
      <c r="D18" s="3494">
        <v>0</v>
      </c>
      <c r="E18" s="3489">
        <f t="shared" si="0"/>
        <v>1471698613.9400001</v>
      </c>
      <c r="F18" s="3489"/>
      <c r="G18" s="3494">
        <v>3409974420.3400002</v>
      </c>
      <c r="H18" s="3494">
        <f t="shared" si="1"/>
        <v>0</v>
      </c>
      <c r="I18" s="3489">
        <f t="shared" si="2"/>
        <v>3409974420.3400002</v>
      </c>
      <c r="J18" s="3676"/>
      <c r="K18" s="3676"/>
      <c r="L18" s="3676"/>
      <c r="M18" s="3726"/>
      <c r="N18" s="3676"/>
    </row>
    <row r="19" spans="1:14" s="3675" customFormat="1" ht="15.75">
      <c r="A19" s="3672" t="s">
        <v>1286</v>
      </c>
      <c r="B19" s="3673"/>
      <c r="C19" s="3494">
        <v>2142909602.28</v>
      </c>
      <c r="D19" s="3494">
        <v>0</v>
      </c>
      <c r="E19" s="3489">
        <f t="shared" si="0"/>
        <v>2142909602.28</v>
      </c>
      <c r="F19" s="3489"/>
      <c r="G19" s="3494">
        <f>4044521813.37-10006225.04</f>
        <v>4034515588.3299999</v>
      </c>
      <c r="H19" s="3494">
        <f t="shared" si="1"/>
        <v>0</v>
      </c>
      <c r="I19" s="3489">
        <f t="shared" si="2"/>
        <v>4034515588.3299999</v>
      </c>
      <c r="J19" s="3676"/>
      <c r="K19" s="3676"/>
      <c r="L19" s="3676"/>
      <c r="M19" s="3726"/>
      <c r="N19" s="3676"/>
    </row>
    <row r="20" spans="1:14" s="3675" customFormat="1" ht="15.75">
      <c r="A20" s="3672" t="s">
        <v>1278</v>
      </c>
      <c r="B20" s="3673"/>
      <c r="C20" s="3494">
        <v>43607214.450000003</v>
      </c>
      <c r="D20" s="3494">
        <v>0</v>
      </c>
      <c r="E20" s="3489">
        <f t="shared" si="0"/>
        <v>43607214.450000003</v>
      </c>
      <c r="F20" s="3489"/>
      <c r="G20" s="3494">
        <v>82080079.790000007</v>
      </c>
      <c r="H20" s="3494">
        <f t="shared" si="1"/>
        <v>0</v>
      </c>
      <c r="I20" s="3489">
        <f t="shared" si="2"/>
        <v>82080079.790000007</v>
      </c>
      <c r="J20" s="3676"/>
      <c r="K20" s="3676"/>
      <c r="L20" s="3676"/>
      <c r="M20" s="3726"/>
      <c r="N20" s="3676"/>
    </row>
    <row r="21" spans="1:14" s="3675" customFormat="1" ht="15.75">
      <c r="A21" s="3672" t="s">
        <v>1287</v>
      </c>
      <c r="B21" s="3673"/>
      <c r="C21" s="3494">
        <v>57776154.149999999</v>
      </c>
      <c r="D21" s="3494">
        <v>0</v>
      </c>
      <c r="E21" s="3489">
        <f t="shared" si="0"/>
        <v>57776154.149999999</v>
      </c>
      <c r="F21" s="3489"/>
      <c r="G21" s="3494">
        <v>108302599.06</v>
      </c>
      <c r="H21" s="3494">
        <f t="shared" si="1"/>
        <v>0</v>
      </c>
      <c r="I21" s="3489">
        <f t="shared" si="2"/>
        <v>108302599.06</v>
      </c>
      <c r="J21" s="3676"/>
      <c r="K21" s="3676"/>
      <c r="L21" s="3676"/>
      <c r="M21" s="3726"/>
      <c r="N21" s="3676"/>
    </row>
    <row r="22" spans="1:14" s="3675" customFormat="1" ht="15.75">
      <c r="A22" s="3672" t="s">
        <v>1288</v>
      </c>
      <c r="B22" s="3673"/>
      <c r="C22" s="3494">
        <v>724690.06</v>
      </c>
      <c r="D22" s="3494">
        <v>0</v>
      </c>
      <c r="E22" s="3489">
        <f t="shared" si="0"/>
        <v>724690.06</v>
      </c>
      <c r="F22" s="3489"/>
      <c r="G22" s="3494">
        <v>1398549.72</v>
      </c>
      <c r="H22" s="3494">
        <f t="shared" si="1"/>
        <v>0</v>
      </c>
      <c r="I22" s="3489">
        <f t="shared" si="2"/>
        <v>1398549.72</v>
      </c>
      <c r="J22" s="3676"/>
      <c r="K22" s="3676"/>
      <c r="L22" s="3676"/>
      <c r="M22" s="3726"/>
      <c r="N22" s="3676"/>
    </row>
    <row r="23" spans="1:14" s="3675" customFormat="1" ht="15.75">
      <c r="A23" s="3672" t="s">
        <v>1306</v>
      </c>
      <c r="B23" s="3673"/>
      <c r="C23" s="3494">
        <v>328609093.55000001</v>
      </c>
      <c r="D23" s="3494">
        <v>0</v>
      </c>
      <c r="E23" s="3489">
        <f t="shared" si="0"/>
        <v>328609093.55000001</v>
      </c>
      <c r="F23" s="3489"/>
      <c r="G23" s="3494">
        <v>395517237.31</v>
      </c>
      <c r="H23" s="3494">
        <v>0</v>
      </c>
      <c r="I23" s="3489">
        <f t="shared" si="2"/>
        <v>395517237.31</v>
      </c>
      <c r="J23" s="3676"/>
      <c r="K23" s="3676"/>
      <c r="L23" s="3676"/>
      <c r="M23" s="3726"/>
      <c r="N23" s="3676"/>
    </row>
    <row r="24" spans="1:14" s="3675" customFormat="1" ht="15.75">
      <c r="A24" s="3672" t="s">
        <v>1289</v>
      </c>
      <c r="B24" s="3673"/>
      <c r="C24" s="3494">
        <v>0</v>
      </c>
      <c r="D24" s="3494">
        <v>0</v>
      </c>
      <c r="E24" s="3489">
        <f>C24+D24</f>
        <v>0</v>
      </c>
      <c r="F24" s="3489"/>
      <c r="G24" s="3494">
        <v>-23683488</v>
      </c>
      <c r="H24" s="3494">
        <f t="shared" si="1"/>
        <v>0</v>
      </c>
      <c r="I24" s="3489">
        <f t="shared" si="2"/>
        <v>-23683488</v>
      </c>
      <c r="J24" s="3676"/>
      <c r="K24" s="3676"/>
      <c r="L24" s="3676"/>
      <c r="N24" s="3676"/>
    </row>
    <row r="25" spans="1:14" s="3675" customFormat="1" ht="15.75">
      <c r="A25" s="3672" t="s">
        <v>1329</v>
      </c>
      <c r="B25" s="3673"/>
      <c r="C25" s="3494">
        <v>101111218.40000001</v>
      </c>
      <c r="D25" s="3494">
        <v>0</v>
      </c>
      <c r="E25" s="3489">
        <f>C25</f>
        <v>101111218.40000001</v>
      </c>
      <c r="F25" s="3489"/>
      <c r="G25" s="3494">
        <f>C25</f>
        <v>101111218.40000001</v>
      </c>
      <c r="H25" s="3494">
        <f t="shared" si="1"/>
        <v>0</v>
      </c>
      <c r="I25" s="3489">
        <f t="shared" si="2"/>
        <v>101111218.40000001</v>
      </c>
      <c r="J25" s="3676"/>
      <c r="K25" s="3676"/>
      <c r="L25" s="3676"/>
      <c r="N25" s="3676"/>
    </row>
    <row r="26" spans="1:14" s="3671" customFormat="1" ht="26.1" customHeight="1">
      <c r="A26" s="3679" t="s">
        <v>1304</v>
      </c>
      <c r="B26" s="3635"/>
      <c r="C26" s="3495">
        <f>SUM(C11:C25)</f>
        <v>4766507760</v>
      </c>
      <c r="D26" s="3495">
        <f>SUM(D11:D25)</f>
        <v>0</v>
      </c>
      <c r="E26" s="3495">
        <f>SUM(E11:E25)</f>
        <v>4766507760</v>
      </c>
      <c r="F26" s="3638"/>
      <c r="G26" s="3495">
        <f>SUM(G11:G25)</f>
        <v>9783445229.2199993</v>
      </c>
      <c r="H26" s="3495">
        <f>SUM(H11:H25)</f>
        <v>0</v>
      </c>
      <c r="I26" s="3495">
        <f>SUM(I11:I25)</f>
        <v>9783445229.2199993</v>
      </c>
      <c r="J26" s="3705"/>
      <c r="K26" s="3676"/>
      <c r="L26" s="3676"/>
      <c r="N26" s="3676"/>
    </row>
    <row r="27" spans="1:14" ht="6.6" customHeight="1">
      <c r="A27" s="3706"/>
      <c r="B27" s="3523"/>
      <c r="C27" s="3639"/>
      <c r="D27" s="3639"/>
      <c r="E27" s="3639"/>
      <c r="F27" s="3639"/>
      <c r="G27" s="3522"/>
      <c r="H27" s="3522"/>
      <c r="I27" s="3522"/>
      <c r="K27" s="3676"/>
    </row>
    <row r="28" spans="1:14" ht="42" customHeight="1">
      <c r="A28" s="3682" t="s">
        <v>1316</v>
      </c>
      <c r="B28" s="3523"/>
      <c r="C28" s="3833">
        <v>-794039061.84000003</v>
      </c>
      <c r="D28" s="3834">
        <v>0</v>
      </c>
      <c r="E28" s="3835">
        <f>+C28</f>
        <v>-794039061.84000003</v>
      </c>
      <c r="F28" s="3836"/>
      <c r="G28" s="3733">
        <v>-1039153262.13</v>
      </c>
      <c r="H28" s="3837">
        <v>0</v>
      </c>
      <c r="I28" s="3838">
        <f>G28+H28</f>
        <v>-1039153262.13</v>
      </c>
      <c r="J28" s="3522" t="s">
        <v>14</v>
      </c>
      <c r="K28" s="3676"/>
    </row>
    <row r="29" spans="1:14" ht="15.6" customHeight="1">
      <c r="A29" s="3683"/>
      <c r="B29" s="3523"/>
      <c r="C29" s="3736"/>
      <c r="D29" s="3736"/>
      <c r="E29" s="3736"/>
      <c r="F29" s="3736"/>
      <c r="G29" s="3737"/>
      <c r="H29" s="3737"/>
      <c r="I29" s="3737"/>
      <c r="J29" s="3522" t="s">
        <v>14</v>
      </c>
      <c r="K29" s="3697"/>
    </row>
    <row r="30" spans="1:14" ht="19.5" thickBot="1">
      <c r="A30" s="3683" t="s">
        <v>1305</v>
      </c>
      <c r="B30" s="3523"/>
      <c r="C30" s="3525">
        <f>+C26+C28</f>
        <v>3972468698.1599998</v>
      </c>
      <c r="D30" s="3525">
        <f>D26</f>
        <v>0</v>
      </c>
      <c r="E30" s="3525">
        <f>E26+E28</f>
        <v>3972468698.1599998</v>
      </c>
      <c r="F30" s="3637"/>
      <c r="G30" s="3525">
        <f>+G26+G28</f>
        <v>8744291967.0900002</v>
      </c>
      <c r="H30" s="3525">
        <f>H26</f>
        <v>0</v>
      </c>
      <c r="I30" s="3525">
        <f>I26+I28</f>
        <v>8744291967.0900002</v>
      </c>
      <c r="J30" s="3689"/>
      <c r="K30" s="3697"/>
    </row>
    <row r="31" spans="1:14" ht="15.75" thickTop="1">
      <c r="J31" s="3701"/>
      <c r="K31" s="3697"/>
    </row>
    <row r="32" spans="1:14" ht="16.350000000000001" customHeight="1">
      <c r="A32" s="3687" t="s">
        <v>1321</v>
      </c>
      <c r="D32" s="3700"/>
      <c r="E32" s="3698" t="s">
        <v>14</v>
      </c>
      <c r="G32" s="3733" t="s">
        <v>14</v>
      </c>
      <c r="H32" s="3699"/>
      <c r="I32" s="3697" t="s">
        <v>14</v>
      </c>
      <c r="J32" s="3486" t="s">
        <v>14</v>
      </c>
      <c r="K32" s="3697"/>
    </row>
    <row r="33" spans="1:11" ht="16.350000000000001" customHeight="1">
      <c r="A33" s="3690" t="s">
        <v>1323</v>
      </c>
      <c r="C33" s="3691"/>
      <c r="D33" s="3691"/>
      <c r="E33" s="3483"/>
      <c r="F33" s="3484"/>
      <c r="G33" s="3695" t="s">
        <v>14</v>
      </c>
      <c r="H33" s="3695"/>
      <c r="I33" s="3485" t="s">
        <v>14</v>
      </c>
      <c r="K33" s="3697"/>
    </row>
    <row r="34" spans="1:11" ht="14.85" customHeight="1">
      <c r="A34" s="3696" t="s">
        <v>1322</v>
      </c>
      <c r="C34" s="3773"/>
      <c r="D34" s="3774"/>
      <c r="E34" s="3775" t="s">
        <v>14</v>
      </c>
      <c r="F34" s="3776"/>
      <c r="G34" s="3522" t="s">
        <v>14</v>
      </c>
      <c r="H34" s="3777"/>
      <c r="I34" s="3778"/>
    </row>
    <row r="35" spans="1:11" ht="16.350000000000001" customHeight="1">
      <c r="A35" s="3696" t="s">
        <v>1308</v>
      </c>
      <c r="C35" s="3698"/>
      <c r="E35" s="3698" t="s">
        <v>14</v>
      </c>
      <c r="G35" s="3522"/>
      <c r="I35" s="3697" t="s">
        <v>14</v>
      </c>
    </row>
    <row r="36" spans="1:11" ht="16.350000000000001" customHeight="1">
      <c r="A36" s="3696" t="s">
        <v>1309</v>
      </c>
      <c r="C36" s="3698"/>
      <c r="E36" s="3698" t="s">
        <v>14</v>
      </c>
      <c r="G36" s="3697" t="s">
        <v>14</v>
      </c>
    </row>
    <row r="37" spans="1:11">
      <c r="G37" s="3697" t="s">
        <v>14</v>
      </c>
    </row>
    <row r="38" spans="1:11">
      <c r="C38" s="3879"/>
      <c r="D38" s="3834"/>
      <c r="E38" s="3835"/>
      <c r="F38" s="3836"/>
      <c r="G38" s="3733"/>
      <c r="H38" s="3837"/>
      <c r="I38" s="3838"/>
    </row>
    <row r="39" spans="1:11">
      <c r="I39" s="3697"/>
    </row>
    <row r="40" spans="1:11">
      <c r="I40" s="3697"/>
    </row>
    <row r="44" spans="1:11">
      <c r="I44" s="3699"/>
    </row>
    <row r="45" spans="1:11" ht="11.85" customHeight="1">
      <c r="D45" s="3698"/>
      <c r="E45" s="3698"/>
      <c r="F45" s="3698"/>
      <c r="G45" s="3699"/>
      <c r="H45" s="3699"/>
      <c r="I45" s="3699"/>
      <c r="J45" s="3699"/>
    </row>
    <row r="46" spans="1:11">
      <c r="D46" s="3698"/>
      <c r="E46" s="3698" t="s">
        <v>14</v>
      </c>
      <c r="F46" s="3698"/>
      <c r="G46" s="3699"/>
      <c r="H46" s="3699"/>
      <c r="I46" s="3697" t="s">
        <v>14</v>
      </c>
      <c r="J46" s="3699"/>
    </row>
    <row r="47" spans="1:11">
      <c r="D47" s="3698"/>
      <c r="E47" s="3698"/>
      <c r="F47" s="3698"/>
      <c r="G47" s="3699"/>
      <c r="H47" s="3699"/>
      <c r="I47" s="3699"/>
      <c r="J47" s="3699"/>
    </row>
    <row r="48" spans="1:11">
      <c r="D48" s="3698"/>
      <c r="E48" s="3698"/>
      <c r="F48" s="3698"/>
      <c r="G48" s="3699"/>
      <c r="H48" s="3699"/>
      <c r="I48" s="3699"/>
      <c r="J48" s="3699"/>
    </row>
    <row r="49" spans="4:10">
      <c r="D49" s="3698"/>
      <c r="E49" s="3698"/>
      <c r="F49" s="3698"/>
      <c r="G49" s="3699"/>
      <c r="H49" s="3699"/>
      <c r="I49" s="3697" t="s">
        <v>14</v>
      </c>
      <c r="J49" s="3699"/>
    </row>
    <row r="50" spans="4:10">
      <c r="D50" s="3698"/>
      <c r="E50" s="3698"/>
      <c r="F50" s="3698"/>
      <c r="G50" s="3699"/>
      <c r="H50" s="3699"/>
      <c r="I50" s="3697" t="s">
        <v>14</v>
      </c>
      <c r="J50" s="3699"/>
    </row>
  </sheetData>
  <mergeCells count="2">
    <mergeCell ref="C7:E7"/>
    <mergeCell ref="G7:I7"/>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70" zoomScaleNormal="70" workbookViewId="0"/>
  </sheetViews>
  <sheetFormatPr defaultColWidth="8.6640625" defaultRowHeight="15"/>
  <cols>
    <col min="1" max="1" width="44.6640625" style="38" customWidth="1"/>
    <col min="2" max="2" width="13.6640625" style="38" customWidth="1"/>
    <col min="3" max="3" width="1.6640625" style="38" customWidth="1"/>
    <col min="4" max="4" width="13.6640625" style="38" customWidth="1"/>
    <col min="5" max="5" width="1.5546875" style="38" customWidth="1"/>
    <col min="6" max="6" width="13.6640625" style="38" customWidth="1"/>
    <col min="7" max="7" width="1.6640625" style="38" customWidth="1"/>
    <col min="8" max="8" width="13.6640625" style="38" customWidth="1"/>
    <col min="9" max="9" width="0.6640625" style="38" customWidth="1"/>
    <col min="10" max="10" width="12.6640625" style="38" customWidth="1"/>
    <col min="11" max="11" width="1.5546875" style="38" customWidth="1"/>
    <col min="12" max="12" width="13.6640625" style="38" customWidth="1"/>
    <col min="13" max="13" width="1" style="38" customWidth="1"/>
    <col min="14" max="14" width="13.44140625" style="1667" customWidth="1"/>
    <col min="15" max="15" width="1.109375" style="1667" customWidth="1"/>
    <col min="16" max="16" width="13.109375" style="1667" customWidth="1"/>
    <col min="17" max="17" width="1.5546875" style="38" customWidth="1"/>
    <col min="18" max="18" width="1" style="98" customWidth="1"/>
    <col min="19" max="19" width="11.6640625" style="38" customWidth="1"/>
    <col min="20" max="20" width="0.6640625" style="98" customWidth="1"/>
    <col min="21" max="21" width="10.6640625" style="38" customWidth="1"/>
    <col min="22" max="22" width="3.109375" style="98" customWidth="1"/>
    <col min="23" max="16384" width="8.6640625" style="38"/>
  </cols>
  <sheetData>
    <row r="1" spans="1:22">
      <c r="A1" s="625" t="s">
        <v>870</v>
      </c>
    </row>
    <row r="2" spans="1:22">
      <c r="A2" s="801"/>
    </row>
    <row r="3" spans="1:22" s="31" customFormat="1" ht="18" customHeight="1">
      <c r="A3" s="26" t="s">
        <v>0</v>
      </c>
      <c r="B3" s="26"/>
      <c r="C3" s="26"/>
      <c r="D3" s="26"/>
      <c r="E3" s="26"/>
      <c r="F3" s="27"/>
      <c r="G3" s="27"/>
      <c r="H3" s="26"/>
      <c r="I3" s="26"/>
      <c r="J3" s="26"/>
      <c r="K3" s="26"/>
      <c r="L3" s="26"/>
      <c r="M3" s="26"/>
      <c r="N3" s="3381"/>
      <c r="O3" s="3937"/>
      <c r="P3" s="3937"/>
      <c r="Q3" s="1321"/>
      <c r="R3" s="1321"/>
      <c r="S3" s="28"/>
      <c r="T3" s="30"/>
      <c r="U3" s="3938" t="s">
        <v>60</v>
      </c>
      <c r="V3" s="3938"/>
    </row>
    <row r="4" spans="1:22" s="31" customFormat="1" ht="15.75">
      <c r="A4" s="26" t="s">
        <v>346</v>
      </c>
      <c r="B4" s="26"/>
      <c r="C4" s="26"/>
      <c r="D4" s="26"/>
      <c r="E4" s="26"/>
      <c r="F4" s="27"/>
      <c r="G4" s="27"/>
      <c r="H4" s="26"/>
      <c r="I4" s="26"/>
      <c r="J4" s="26"/>
      <c r="K4" s="26"/>
      <c r="L4" s="26"/>
      <c r="M4" s="26"/>
      <c r="N4" s="99"/>
      <c r="O4" s="99"/>
      <c r="P4" s="99"/>
      <c r="Q4" s="26"/>
      <c r="R4" s="248"/>
      <c r="S4" s="28"/>
      <c r="T4" s="30"/>
      <c r="U4" s="29"/>
      <c r="V4" s="30"/>
    </row>
    <row r="5" spans="1:22" s="31" customFormat="1" ht="15.75" customHeight="1">
      <c r="A5" s="1322" t="s">
        <v>781</v>
      </c>
      <c r="B5" s="26"/>
      <c r="C5" s="26"/>
      <c r="D5" s="26"/>
      <c r="E5" s="26"/>
      <c r="F5" s="27"/>
      <c r="G5" s="27"/>
      <c r="H5" s="26"/>
      <c r="I5" s="26"/>
      <c r="J5" s="26"/>
      <c r="K5" s="26"/>
      <c r="L5" s="26"/>
      <c r="M5" s="26"/>
      <c r="N5" s="99"/>
      <c r="O5" s="99"/>
      <c r="P5" s="99" t="s">
        <v>14</v>
      </c>
      <c r="Q5" s="26"/>
      <c r="R5" s="248"/>
      <c r="S5" s="28"/>
      <c r="T5" s="30"/>
      <c r="U5" s="29"/>
      <c r="V5" s="30"/>
    </row>
    <row r="6" spans="1:22" s="31" customFormat="1" ht="15.75">
      <c r="A6" s="26" t="s">
        <v>1250</v>
      </c>
      <c r="B6" s="26"/>
      <c r="C6" s="26"/>
      <c r="D6" s="26"/>
      <c r="E6" s="26"/>
      <c r="F6" s="27"/>
      <c r="G6" s="27"/>
      <c r="H6" s="26"/>
      <c r="I6" s="26"/>
      <c r="J6" s="26"/>
      <c r="K6" s="26"/>
      <c r="L6" s="26"/>
      <c r="M6" s="26"/>
      <c r="N6" s="99"/>
      <c r="O6" s="99"/>
      <c r="P6" s="99"/>
      <c r="Q6" s="26"/>
      <c r="R6" s="248"/>
      <c r="S6" s="28"/>
      <c r="T6" s="30"/>
      <c r="U6" s="29"/>
      <c r="V6" s="30"/>
    </row>
    <row r="7" spans="1:22" s="31" customFormat="1" ht="15.75">
      <c r="A7" s="32"/>
      <c r="B7" s="26"/>
      <c r="C7" s="26"/>
      <c r="D7" s="26"/>
      <c r="E7" s="26"/>
      <c r="F7" s="27"/>
      <c r="G7" s="27"/>
      <c r="H7" s="26"/>
      <c r="I7" s="26"/>
      <c r="J7" s="26"/>
      <c r="K7" s="26"/>
      <c r="L7" s="26"/>
      <c r="M7" s="26"/>
      <c r="N7" s="99"/>
      <c r="O7" s="99"/>
      <c r="P7" s="99"/>
      <c r="Q7" s="26"/>
      <c r="R7" s="248"/>
      <c r="S7" s="28"/>
      <c r="T7" s="30"/>
      <c r="U7" s="29"/>
      <c r="V7" s="30"/>
    </row>
    <row r="8" spans="1:22" s="31" customFormat="1" ht="15.75">
      <c r="B8" s="26"/>
      <c r="C8" s="26"/>
      <c r="D8" s="26"/>
      <c r="E8" s="26"/>
      <c r="F8" s="27"/>
      <c r="G8" s="27"/>
      <c r="H8" s="26"/>
      <c r="I8" s="26"/>
      <c r="J8" s="26"/>
      <c r="K8" s="26"/>
      <c r="L8" s="26"/>
      <c r="M8" s="26"/>
      <c r="N8" s="99"/>
      <c r="O8" s="99"/>
      <c r="P8" s="99"/>
      <c r="Q8" s="26"/>
      <c r="R8" s="248"/>
      <c r="S8" s="28"/>
      <c r="T8" s="30"/>
      <c r="U8" s="29"/>
      <c r="V8" s="30"/>
    </row>
    <row r="9" spans="1:22" s="31" customFormat="1" ht="8.1" customHeight="1">
      <c r="A9" s="28"/>
      <c r="B9" s="26"/>
      <c r="C9" s="26"/>
      <c r="D9" s="26"/>
      <c r="E9" s="26"/>
      <c r="F9" s="26"/>
      <c r="G9" s="27"/>
      <c r="H9" s="26"/>
      <c r="I9" s="26"/>
      <c r="J9" s="26"/>
      <c r="K9" s="26"/>
      <c r="L9" s="26"/>
      <c r="M9" s="26"/>
      <c r="N9" s="99"/>
      <c r="O9" s="99"/>
      <c r="P9" s="99"/>
      <c r="Q9" s="26"/>
      <c r="R9" s="248"/>
      <c r="S9" s="28"/>
      <c r="T9" s="33"/>
      <c r="U9" s="28"/>
      <c r="V9" s="34"/>
    </row>
    <row r="10" spans="1:22" s="31" customFormat="1" ht="15.75">
      <c r="A10" s="28"/>
      <c r="B10" s="26"/>
      <c r="C10" s="26"/>
      <c r="D10" s="26"/>
      <c r="E10" s="26"/>
      <c r="F10" s="26"/>
      <c r="G10" s="27"/>
      <c r="H10" s="26"/>
      <c r="I10" s="26"/>
      <c r="J10" s="26"/>
      <c r="K10" s="26"/>
      <c r="L10" s="26"/>
      <c r="M10" s="26"/>
      <c r="N10" s="99"/>
      <c r="O10" s="99"/>
      <c r="P10" s="99"/>
      <c r="Q10" s="26"/>
      <c r="R10" s="248"/>
      <c r="S10" s="28"/>
      <c r="T10" s="30"/>
      <c r="U10" s="29"/>
      <c r="V10" s="30"/>
    </row>
    <row r="11" spans="1:22" s="31" customFormat="1" ht="15.75">
      <c r="A11" s="28"/>
      <c r="B11" s="26"/>
      <c r="C11" s="26"/>
      <c r="D11" s="26"/>
      <c r="E11" s="26"/>
      <c r="F11" s="26"/>
      <c r="G11" s="27"/>
      <c r="H11" s="26"/>
      <c r="I11" s="26"/>
      <c r="K11" s="716"/>
      <c r="L11" s="1323"/>
      <c r="M11" s="205"/>
      <c r="N11" s="719"/>
      <c r="O11" s="719"/>
      <c r="P11" s="719"/>
      <c r="Q11" s="716"/>
      <c r="R11" s="733"/>
      <c r="S11" s="28"/>
      <c r="T11" s="30"/>
      <c r="U11" s="29"/>
      <c r="V11" s="30"/>
    </row>
    <row r="12" spans="1:22" ht="16.350000000000001" customHeight="1">
      <c r="A12" s="28"/>
      <c r="B12" s="716"/>
      <c r="C12" s="716" t="s">
        <v>61</v>
      </c>
      <c r="D12" s="716"/>
      <c r="E12" s="26"/>
      <c r="F12" s="716"/>
      <c r="G12" s="716" t="s">
        <v>62</v>
      </c>
      <c r="H12" s="716"/>
      <c r="I12" s="26"/>
      <c r="J12" s="716"/>
      <c r="K12" s="716"/>
      <c r="L12" s="1323"/>
      <c r="M12" s="716" t="s">
        <v>63</v>
      </c>
      <c r="N12" s="719"/>
      <c r="O12" s="719"/>
      <c r="P12" s="719"/>
      <c r="Q12" s="716"/>
      <c r="R12" s="733"/>
      <c r="S12" s="2166" t="s">
        <v>802</v>
      </c>
      <c r="T12" s="2167"/>
      <c r="U12" s="2167"/>
      <c r="V12" s="36"/>
    </row>
    <row r="13" spans="1:22" ht="13.35" customHeight="1">
      <c r="A13" s="28"/>
      <c r="B13" s="39"/>
      <c r="C13" s="39"/>
      <c r="D13" s="39"/>
      <c r="E13" s="28"/>
      <c r="F13" s="39"/>
      <c r="G13" s="40"/>
      <c r="H13" s="39"/>
      <c r="I13" s="28"/>
      <c r="J13" s="39"/>
      <c r="K13" s="39"/>
      <c r="L13" s="39"/>
      <c r="M13" s="39"/>
      <c r="N13" s="3385"/>
      <c r="O13" s="3385"/>
      <c r="P13" s="3385"/>
      <c r="Q13" s="33"/>
      <c r="R13" s="961"/>
      <c r="S13" s="35"/>
      <c r="T13" s="41"/>
      <c r="U13" s="37"/>
      <c r="V13" s="41"/>
    </row>
    <row r="14" spans="1:22" ht="16.350000000000001" customHeight="1">
      <c r="A14" s="28"/>
      <c r="B14" s="716" t="s">
        <v>6</v>
      </c>
      <c r="C14" s="26"/>
      <c r="D14" s="716" t="str">
        <f>'Exhibit A'!F11</f>
        <v>2 MOS. ENDED</v>
      </c>
      <c r="E14" s="26"/>
      <c r="F14" s="716" t="s">
        <v>6</v>
      </c>
      <c r="G14" s="203"/>
      <c r="H14" s="716" t="str">
        <f>D14</f>
        <v>2 MOS. ENDED</v>
      </c>
      <c r="I14" s="26"/>
      <c r="J14" s="716" t="s">
        <v>6</v>
      </c>
      <c r="K14" s="26"/>
      <c r="L14" s="716" t="str">
        <f>D14</f>
        <v>2 MOS. ENDED</v>
      </c>
      <c r="M14" s="26"/>
      <c r="N14" s="719" t="s">
        <v>6</v>
      </c>
      <c r="O14" s="99"/>
      <c r="P14" s="719" t="str">
        <f>H14</f>
        <v>2 MOS. ENDED</v>
      </c>
      <c r="Q14" s="716"/>
      <c r="R14" s="962"/>
      <c r="S14" s="727" t="s">
        <v>7</v>
      </c>
      <c r="T14" s="204"/>
      <c r="U14" s="728" t="s">
        <v>8</v>
      </c>
      <c r="V14" s="41"/>
    </row>
    <row r="15" spans="1:22" ht="16.350000000000001" customHeight="1">
      <c r="A15" s="28"/>
      <c r="B15" s="717" t="str">
        <f>'Exhibit A'!D12</f>
        <v>MAY 2022</v>
      </c>
      <c r="C15" s="26"/>
      <c r="D15" s="718" t="str">
        <f>'Exhibit A'!F12</f>
        <v>MAY 31, 2022</v>
      </c>
      <c r="E15" s="26"/>
      <c r="F15" s="716" t="str">
        <f>B15</f>
        <v>MAY 2022</v>
      </c>
      <c r="G15" s="26"/>
      <c r="H15" s="716" t="str">
        <f>D15</f>
        <v>MAY 31, 2022</v>
      </c>
      <c r="I15" s="26"/>
      <c r="J15" s="716" t="str">
        <f>B15</f>
        <v>MAY 2022</v>
      </c>
      <c r="K15" s="26"/>
      <c r="L15" s="716" t="str">
        <f>'Exhibit A'!X12</f>
        <v>MAY 31, 2022</v>
      </c>
      <c r="M15" s="26"/>
      <c r="N15" s="3382" t="str">
        <f>'Exhibit A'!AB12</f>
        <v>MAY 2021</v>
      </c>
      <c r="O15" s="99"/>
      <c r="P15" s="3712" t="str">
        <f>'Exhibit A'!AD12</f>
        <v>MAY 31, 2021</v>
      </c>
      <c r="Q15" s="715"/>
      <c r="R15" s="963"/>
      <c r="S15" s="730" t="s">
        <v>11</v>
      </c>
      <c r="T15" s="203"/>
      <c r="U15" s="731" t="s">
        <v>12</v>
      </c>
      <c r="V15" s="41"/>
    </row>
    <row r="16" spans="1:22" ht="13.35" customHeight="1">
      <c r="A16" s="28"/>
      <c r="B16" s="39"/>
      <c r="C16" s="28"/>
      <c r="D16" s="39" t="s">
        <v>14</v>
      </c>
      <c r="E16" s="28"/>
      <c r="F16" s="39"/>
      <c r="G16" s="28"/>
      <c r="H16" s="40" t="s">
        <v>14</v>
      </c>
      <c r="I16" s="42"/>
      <c r="J16" s="43"/>
      <c r="K16" s="28"/>
      <c r="L16" s="39"/>
      <c r="M16" s="42"/>
      <c r="N16" s="103"/>
      <c r="O16" s="101"/>
      <c r="P16" s="103"/>
      <c r="Q16" s="33"/>
      <c r="R16" s="961"/>
      <c r="S16" s="35"/>
      <c r="T16" s="33"/>
      <c r="U16" s="37"/>
      <c r="V16" s="33"/>
    </row>
    <row r="17" spans="1:22" ht="16.350000000000001" customHeight="1">
      <c r="A17" s="26" t="s">
        <v>13</v>
      </c>
      <c r="B17" s="44"/>
      <c r="C17" s="44"/>
      <c r="D17" s="44"/>
      <c r="E17" s="44"/>
      <c r="F17" s="44"/>
      <c r="G17" s="44"/>
      <c r="H17" s="44"/>
      <c r="I17" s="45"/>
      <c r="J17" s="45"/>
      <c r="K17" s="44"/>
      <c r="L17" s="44"/>
      <c r="M17" s="45"/>
      <c r="N17" s="3359"/>
      <c r="O17" s="3386"/>
      <c r="P17" s="3711"/>
      <c r="Q17" s="46"/>
      <c r="R17" s="964"/>
      <c r="S17" s="35"/>
      <c r="T17" s="46"/>
      <c r="U17" s="37"/>
      <c r="V17" s="46"/>
    </row>
    <row r="18" spans="1:22" ht="16.350000000000001" customHeight="1">
      <c r="A18" s="28" t="s">
        <v>19</v>
      </c>
      <c r="B18" s="639">
        <f>'Exhibit J'!E19</f>
        <v>257.2</v>
      </c>
      <c r="C18" s="639"/>
      <c r="D18" s="948">
        <f>+'Exhibit J'!AB19</f>
        <v>448.4</v>
      </c>
      <c r="E18" s="639"/>
      <c r="F18" s="948">
        <f>'Exhibit K'!D17</f>
        <v>36</v>
      </c>
      <c r="G18" s="639"/>
      <c r="H18" s="948">
        <f>+'Exhibit K'!AA17</f>
        <v>67.8</v>
      </c>
      <c r="I18" s="1189"/>
      <c r="J18" s="1189">
        <f>ROUND(SUM(B18)+SUM(F18),1)</f>
        <v>293.2</v>
      </c>
      <c r="K18" s="639"/>
      <c r="L18" s="1357">
        <f>ROUND(SUM(D18)+SUM(H18),1)</f>
        <v>516.20000000000005</v>
      </c>
      <c r="M18" s="1189"/>
      <c r="N18" s="992">
        <v>228.10000000000002</v>
      </c>
      <c r="O18" s="992"/>
      <c r="P18" s="992">
        <f>'Exhibit J'!AE19+'Exhibit K'!AD17</f>
        <v>545.1</v>
      </c>
      <c r="Q18" s="948"/>
      <c r="R18" s="1358"/>
      <c r="S18" s="639">
        <f>ROUND(SUM(L18-P18),1)</f>
        <v>-28.9</v>
      </c>
      <c r="T18" s="1173"/>
      <c r="U18" s="1400">
        <f>ROUND(+S18/P18,3)</f>
        <v>-5.2999999999999999E-2</v>
      </c>
      <c r="V18" s="48"/>
    </row>
    <row r="19" spans="1:22" ht="16.350000000000001" customHeight="1">
      <c r="A19" s="798" t="s">
        <v>64</v>
      </c>
      <c r="B19" s="624">
        <f>'Exhibit J'!E20</f>
        <v>11.3</v>
      </c>
      <c r="C19" s="624"/>
      <c r="D19" s="920">
        <f>+'Exhibit J'!AB20</f>
        <v>25.5</v>
      </c>
      <c r="E19" s="624"/>
      <c r="F19" s="640">
        <v>0</v>
      </c>
      <c r="G19" s="624"/>
      <c r="H19" s="640">
        <v>0</v>
      </c>
      <c r="I19" s="1359"/>
      <c r="J19" s="1360">
        <f>ROUND(SUM(B19)+SUM(F19),1)</f>
        <v>11.3</v>
      </c>
      <c r="K19" s="650"/>
      <c r="L19" s="920">
        <f>ROUND(SUM(D19)+SUM(H19),1)</f>
        <v>25.5</v>
      </c>
      <c r="M19" s="1361"/>
      <c r="N19" s="1001">
        <v>4264.1000000000004</v>
      </c>
      <c r="O19" s="1001"/>
      <c r="P19" s="1001">
        <f>'Exhibit J'!AE20</f>
        <v>8955.5</v>
      </c>
      <c r="Q19" s="920"/>
      <c r="R19" s="1362"/>
      <c r="S19" s="624">
        <f>ROUND(SUM(L19-P19),1)</f>
        <v>-8930</v>
      </c>
      <c r="T19" s="1363"/>
      <c r="U19" s="1478">
        <f>ROUND(+S19/P19,3)</f>
        <v>-0.997</v>
      </c>
      <c r="V19" s="54"/>
    </row>
    <row r="20" spans="1:22" ht="16.350000000000001" customHeight="1">
      <c r="A20" s="28" t="s">
        <v>65</v>
      </c>
      <c r="B20" s="624">
        <f>'Exhibit J'!E21</f>
        <v>71</v>
      </c>
      <c r="C20" s="624"/>
      <c r="D20" s="920">
        <f>+'Exhibit J'!AB21</f>
        <v>233.8</v>
      </c>
      <c r="E20" s="624"/>
      <c r="F20" s="640">
        <v>0</v>
      </c>
      <c r="G20" s="624"/>
      <c r="H20" s="640">
        <v>0</v>
      </c>
      <c r="I20" s="1359"/>
      <c r="J20" s="1364">
        <f>ROUND(SUM(B20+F20),1)</f>
        <v>71</v>
      </c>
      <c r="K20" s="650"/>
      <c r="L20" s="920">
        <f>ROUND(SUM(D20)+SUM(H20),1)</f>
        <v>233.8</v>
      </c>
      <c r="M20" s="1361"/>
      <c r="N20" s="1001">
        <v>313.59999999999997</v>
      </c>
      <c r="O20" s="3384"/>
      <c r="P20" s="1001">
        <f>'Exhibit J'!AE21</f>
        <v>532.1</v>
      </c>
      <c r="Q20" s="920"/>
      <c r="R20" s="1362"/>
      <c r="S20" s="624">
        <f>ROUND(SUM(L20-P20),1)</f>
        <v>-298.3</v>
      </c>
      <c r="T20" s="1363"/>
      <c r="U20" s="3529">
        <f>ROUND(+S20/P20,3)</f>
        <v>-0.56100000000000005</v>
      </c>
      <c r="V20" s="54"/>
    </row>
    <row r="21" spans="1:22" ht="15.75">
      <c r="A21" s="26" t="s">
        <v>21</v>
      </c>
      <c r="B21" s="3312">
        <f>ROUND(SUM(B18:B20),1)</f>
        <v>339.5</v>
      </c>
      <c r="C21" s="899"/>
      <c r="D21" s="56">
        <f>ROUND(SUM(D18:D20),1)</f>
        <v>707.7</v>
      </c>
      <c r="E21" s="899"/>
      <c r="F21" s="56">
        <f>ROUND(SUM(F18:F20),1)</f>
        <v>36</v>
      </c>
      <c r="G21" s="899"/>
      <c r="H21" s="56">
        <f>ROUND(SUM(H18:H20),1)</f>
        <v>67.8</v>
      </c>
      <c r="I21" s="58"/>
      <c r="J21" s="56">
        <f>SUM(J18:J20)</f>
        <v>375.5</v>
      </c>
      <c r="K21" s="899"/>
      <c r="L21" s="56">
        <f>SUM(L18:L20)</f>
        <v>775.5</v>
      </c>
      <c r="M21" s="59"/>
      <c r="N21" s="3312">
        <f>ROUND(SUM(N18:N20),1)</f>
        <v>4805.8</v>
      </c>
      <c r="O21" s="106"/>
      <c r="P21" s="3312">
        <f>ROUND(SUM(P18:P20),1)</f>
        <v>10032.700000000001</v>
      </c>
      <c r="Q21" s="71"/>
      <c r="R21" s="329"/>
      <c r="S21" s="56">
        <f>ROUND(SUM(S18:S20),1)</f>
        <v>-9257.2000000000007</v>
      </c>
      <c r="T21" s="648"/>
      <c r="U21" s="3558">
        <f>ROUND(+S21/P21,3)</f>
        <v>-0.92300000000000004</v>
      </c>
      <c r="V21" s="54"/>
    </row>
    <row r="22" spans="1:22" ht="15.75">
      <c r="A22" s="26"/>
      <c r="B22" s="624"/>
      <c r="C22" s="624"/>
      <c r="D22" s="624"/>
      <c r="E22" s="624"/>
      <c r="F22" s="624"/>
      <c r="G22" s="624"/>
      <c r="H22" s="624"/>
      <c r="I22" s="1360"/>
      <c r="J22" s="1360"/>
      <c r="K22" s="624"/>
      <c r="L22" s="624"/>
      <c r="M22" s="1360"/>
      <c r="N22" s="1001"/>
      <c r="O22" s="872"/>
      <c r="P22" s="1001"/>
      <c r="Q22" s="920"/>
      <c r="R22" s="1362"/>
      <c r="S22" s="897"/>
      <c r="T22" s="1365"/>
      <c r="U22" s="1401"/>
      <c r="V22" s="46"/>
    </row>
    <row r="23" spans="1:22" ht="16.350000000000001" customHeight="1">
      <c r="A23" s="26" t="s">
        <v>22</v>
      </c>
      <c r="B23" s="624"/>
      <c r="C23" s="624"/>
      <c r="D23" s="624"/>
      <c r="E23" s="624"/>
      <c r="F23" s="624"/>
      <c r="G23" s="624"/>
      <c r="H23" s="624"/>
      <c r="I23" s="1360"/>
      <c r="J23" s="1360"/>
      <c r="K23" s="624"/>
      <c r="L23" s="624"/>
      <c r="M23" s="1360"/>
      <c r="N23" s="1001"/>
      <c r="O23" s="872"/>
      <c r="P23" s="1001"/>
      <c r="Q23" s="920"/>
      <c r="R23" s="1362"/>
      <c r="S23" s="897"/>
      <c r="T23" s="1365"/>
      <c r="U23" s="1401"/>
      <c r="V23" s="46"/>
    </row>
    <row r="24" spans="1:22" ht="16.350000000000001" customHeight="1">
      <c r="A24" s="28" t="s">
        <v>35</v>
      </c>
      <c r="B24" s="624"/>
      <c r="C24" s="624"/>
      <c r="D24" s="624"/>
      <c r="E24" s="624"/>
      <c r="F24" s="624"/>
      <c r="G24" s="624"/>
      <c r="H24" s="624"/>
      <c r="I24" s="1360"/>
      <c r="J24" s="1360"/>
      <c r="K24" s="624"/>
      <c r="L24" s="624"/>
      <c r="M24" s="1360"/>
      <c r="N24" s="1001"/>
      <c r="O24" s="872"/>
      <c r="P24" s="1001"/>
      <c r="Q24" s="920"/>
      <c r="R24" s="1362"/>
      <c r="S24" s="897"/>
      <c r="T24" s="1365"/>
      <c r="U24" s="1401"/>
      <c r="V24" s="46"/>
    </row>
    <row r="25" spans="1:22" ht="16.350000000000001" customHeight="1">
      <c r="A25" s="28" t="s">
        <v>66</v>
      </c>
      <c r="B25" s="624">
        <f>'Exhibit J'!E28</f>
        <v>132.99999999999997</v>
      </c>
      <c r="C25" s="624"/>
      <c r="D25" s="920">
        <f>+'Exhibit J'!AB28</f>
        <v>267.39999999999998</v>
      </c>
      <c r="E25" s="624"/>
      <c r="F25" s="624">
        <f>'Exhibit K'!D24</f>
        <v>9.7000000000000011</v>
      </c>
      <c r="G25" s="624"/>
      <c r="H25" s="624">
        <f>+'Exhibit K'!AA24</f>
        <v>20.100000000000001</v>
      </c>
      <c r="I25" s="1360"/>
      <c r="J25" s="1360">
        <f>ROUND(SUM(B25)+SUM(F25),1)</f>
        <v>142.69999999999999</v>
      </c>
      <c r="K25" s="624"/>
      <c r="L25" s="920">
        <f>ROUND(SUM(D25)+SUM(H25),1)</f>
        <v>287.5</v>
      </c>
      <c r="M25" s="1360"/>
      <c r="N25" s="1001">
        <v>138.5</v>
      </c>
      <c r="O25" s="1001"/>
      <c r="P25" s="1001">
        <f>'Exhibit J'!AE28+'Exhibit K'!AD24</f>
        <v>276.5</v>
      </c>
      <c r="Q25" s="920"/>
      <c r="R25" s="1362"/>
      <c r="S25" s="624">
        <f>ROUND(SUM(L25-P25),1)</f>
        <v>11</v>
      </c>
      <c r="T25" s="648"/>
      <c r="U25" s="3529">
        <f>ROUND(+S25/P25,3)</f>
        <v>0.04</v>
      </c>
      <c r="V25" s="46"/>
    </row>
    <row r="26" spans="1:22" ht="16.350000000000001" customHeight="1">
      <c r="A26" s="28" t="s">
        <v>67</v>
      </c>
      <c r="B26" s="624">
        <f>'Exhibit J'!E29</f>
        <v>32.799999999999997</v>
      </c>
      <c r="C26" s="624"/>
      <c r="D26" s="920">
        <f>+'Exhibit J'!AB29</f>
        <v>59.1</v>
      </c>
      <c r="E26" s="624"/>
      <c r="F26" s="624">
        <f>'Exhibit K'!D25</f>
        <v>33.5</v>
      </c>
      <c r="G26" s="624"/>
      <c r="H26" s="624">
        <f>+'Exhibit K'!AA25</f>
        <v>67.3</v>
      </c>
      <c r="I26" s="1360"/>
      <c r="J26" s="1360">
        <f>ROUND(SUM(B26)+SUM(F26),1)</f>
        <v>66.3</v>
      </c>
      <c r="K26" s="624"/>
      <c r="L26" s="920">
        <f>ROUND(SUM(D26)+SUM(H26),1)</f>
        <v>126.4</v>
      </c>
      <c r="M26" s="1360"/>
      <c r="N26" s="1001">
        <v>94.5</v>
      </c>
      <c r="O26" s="1001"/>
      <c r="P26" s="1001">
        <f>'Exhibit J'!AE29+'Exhibit K'!AD25</f>
        <v>147.69999999999999</v>
      </c>
      <c r="Q26" s="920"/>
      <c r="R26" s="1362"/>
      <c r="S26" s="624">
        <f>ROUND(SUM(L26-P26),1)</f>
        <v>-21.3</v>
      </c>
      <c r="T26" s="648"/>
      <c r="U26" s="3529">
        <f>ROUND(+S26/P26,3)</f>
        <v>-0.14399999999999999</v>
      </c>
      <c r="V26" s="46"/>
    </row>
    <row r="27" spans="1:22" ht="16.350000000000001" customHeight="1">
      <c r="A27" s="28" t="s">
        <v>68</v>
      </c>
      <c r="B27" s="624">
        <f>'Exhibit J'!E30</f>
        <v>55.8</v>
      </c>
      <c r="C27" s="624"/>
      <c r="D27" s="920">
        <f>+'Exhibit J'!AB30</f>
        <v>114.8</v>
      </c>
      <c r="E27" s="920"/>
      <c r="F27" s="624">
        <f>'Exhibit K'!D26</f>
        <v>5.0000000000000009</v>
      </c>
      <c r="G27" s="624"/>
      <c r="H27" s="1366">
        <f>+'Exhibit K'!AA26</f>
        <v>8.3000000000000007</v>
      </c>
      <c r="I27" s="920"/>
      <c r="J27" s="1360">
        <f>ROUND(SUM(B27)+SUM(F27),1)</f>
        <v>60.8</v>
      </c>
      <c r="K27" s="624"/>
      <c r="L27" s="920">
        <f>ROUND(SUM(D27)+SUM(H27),1)</f>
        <v>123.1</v>
      </c>
      <c r="M27" s="1360"/>
      <c r="N27" s="1001">
        <v>64.2</v>
      </c>
      <c r="O27" s="3384"/>
      <c r="P27" s="1001">
        <f>'Exhibit J'!AE30+'Exhibit K'!AD26</f>
        <v>121.2</v>
      </c>
      <c r="Q27" s="920"/>
      <c r="R27" s="1362"/>
      <c r="S27" s="624">
        <f>ROUND(SUM(L27-P27),1)</f>
        <v>1.9</v>
      </c>
      <c r="T27" s="648"/>
      <c r="U27" s="3529">
        <f>ROUND(+S27/P27,3)</f>
        <v>1.6E-2</v>
      </c>
      <c r="V27" s="46"/>
    </row>
    <row r="28" spans="1:22" ht="15.75" customHeight="1">
      <c r="A28" s="798" t="s">
        <v>69</v>
      </c>
      <c r="B28" s="624">
        <f>'Exhibit J'!E31</f>
        <v>-186.6</v>
      </c>
      <c r="C28" s="624"/>
      <c r="D28" s="920">
        <f>+'Exhibit J'!AB31</f>
        <v>-10.7</v>
      </c>
      <c r="E28" s="624"/>
      <c r="F28" s="923">
        <v>0</v>
      </c>
      <c r="G28" s="624"/>
      <c r="H28" s="1368">
        <v>0</v>
      </c>
      <c r="I28" s="920"/>
      <c r="J28" s="1360">
        <f>ROUND(SUM(B28)+SUM(F28),1)</f>
        <v>-186.6</v>
      </c>
      <c r="K28" s="1166"/>
      <c r="L28" s="920">
        <f>ROUND(SUM(D28)+SUM(H28),1)</f>
        <v>-10.7</v>
      </c>
      <c r="M28" s="1369"/>
      <c r="N28" s="1001">
        <v>4624</v>
      </c>
      <c r="O28" s="1008"/>
      <c r="P28" s="1668">
        <f>'Exhibit J'!AE31</f>
        <v>9591.1</v>
      </c>
      <c r="Q28" s="951"/>
      <c r="R28" s="1370"/>
      <c r="S28" s="624">
        <f>ROUND(SUM(L28-P28),1)</f>
        <v>-9601.7999999999993</v>
      </c>
      <c r="T28" s="648"/>
      <c r="U28" s="3529">
        <f>ROUND(+S28/P28,3)</f>
        <v>-1.0009999999999999</v>
      </c>
      <c r="V28" s="54"/>
    </row>
    <row r="29" spans="1:22" ht="15.75">
      <c r="A29" s="26" t="s">
        <v>56</v>
      </c>
      <c r="B29" s="3312">
        <f>ROUND(SUM(B25:B28),1)</f>
        <v>35</v>
      </c>
      <c r="C29" s="899"/>
      <c r="D29" s="56">
        <f>ROUND(SUM(D25:D28),1)</f>
        <v>430.6</v>
      </c>
      <c r="E29" s="899"/>
      <c r="F29" s="56">
        <f>ROUND(SUM(F24:F28),1)</f>
        <v>48.2</v>
      </c>
      <c r="G29" s="899"/>
      <c r="H29" s="56">
        <f>ROUND(SUM(H25:H28),1)</f>
        <v>95.7</v>
      </c>
      <c r="I29" s="58"/>
      <c r="J29" s="66">
        <f>ROUND(SUM(J25:J28),1)</f>
        <v>83.2</v>
      </c>
      <c r="K29" s="899"/>
      <c r="L29" s="67">
        <f>ROUND(SUM(L25:L28),1)</f>
        <v>526.29999999999995</v>
      </c>
      <c r="M29" s="59"/>
      <c r="N29" s="3312">
        <f>ROUND(SUM(N25:N28),1)</f>
        <v>4921.2</v>
      </c>
      <c r="O29" s="106"/>
      <c r="P29" s="3312">
        <f>ROUND(SUM(P25:P28),1)</f>
        <v>10136.5</v>
      </c>
      <c r="Q29" s="71"/>
      <c r="R29" s="329"/>
      <c r="S29" s="56">
        <f>ROUND(SUM(S25:S28),1)</f>
        <v>-9610.2000000000007</v>
      </c>
      <c r="T29" s="648"/>
      <c r="U29" s="3530">
        <f>ROUND(+S29/P29,3)</f>
        <v>-0.94799999999999995</v>
      </c>
      <c r="V29" s="54"/>
    </row>
    <row r="30" spans="1:22" ht="15.75">
      <c r="A30" s="26"/>
      <c r="B30" s="624"/>
      <c r="C30" s="624"/>
      <c r="D30" s="624"/>
      <c r="E30" s="624"/>
      <c r="F30" s="624"/>
      <c r="G30" s="624"/>
      <c r="H30" s="624"/>
      <c r="I30" s="1360"/>
      <c r="J30" s="1360"/>
      <c r="K30" s="624"/>
      <c r="L30" s="624"/>
      <c r="M30" s="1360"/>
      <c r="N30" s="1001"/>
      <c r="O30" s="872"/>
      <c r="P30" s="1001"/>
      <c r="Q30" s="920"/>
      <c r="R30" s="1362"/>
      <c r="S30" s="897"/>
      <c r="T30" s="1365"/>
      <c r="U30" s="1401"/>
      <c r="V30" s="46"/>
    </row>
    <row r="31" spans="1:22" ht="16.350000000000001" customHeight="1">
      <c r="A31" s="26" t="s">
        <v>43</v>
      </c>
      <c r="B31" s="624"/>
      <c r="C31" s="624"/>
      <c r="D31" s="624"/>
      <c r="E31" s="624"/>
      <c r="F31" s="624"/>
      <c r="G31" s="624"/>
      <c r="H31" s="624"/>
      <c r="I31" s="1360"/>
      <c r="J31" s="1360"/>
      <c r="K31" s="624"/>
      <c r="L31" s="624"/>
      <c r="M31" s="1360"/>
      <c r="N31" s="1001"/>
      <c r="O31" s="872"/>
      <c r="P31" s="1001"/>
      <c r="Q31" s="920"/>
      <c r="R31" s="1362"/>
      <c r="S31" s="897"/>
      <c r="T31" s="1365"/>
      <c r="U31" s="1401"/>
      <c r="V31" s="46"/>
    </row>
    <row r="32" spans="1:22" ht="15.75">
      <c r="A32" s="26" t="s">
        <v>70</v>
      </c>
      <c r="B32" s="68">
        <f>ROUND(SUM(B21-B29),1)</f>
        <v>304.5</v>
      </c>
      <c r="C32" s="899"/>
      <c r="D32" s="69">
        <f>ROUND(SUM(D21-D29),1)</f>
        <v>277.10000000000002</v>
      </c>
      <c r="E32" s="899"/>
      <c r="F32" s="69">
        <f>ROUND(SUM(F21-F29),1)</f>
        <v>-12.2</v>
      </c>
      <c r="G32" s="899"/>
      <c r="H32" s="69">
        <f>ROUND(SUM(H21-H29),1)</f>
        <v>-27.9</v>
      </c>
      <c r="I32" s="59"/>
      <c r="J32" s="70">
        <f>ROUND(SUM(J21-J29),1)</f>
        <v>292.3</v>
      </c>
      <c r="K32" s="899"/>
      <c r="L32" s="69">
        <f>ROUND(SUM(L21-L29),1)</f>
        <v>249.2</v>
      </c>
      <c r="M32" s="59"/>
      <c r="N32" s="107">
        <f>ROUND(SUM(N21-N29),1)</f>
        <v>-115.4</v>
      </c>
      <c r="O32" s="109"/>
      <c r="P32" s="107">
        <f>ROUND(SUM(P21-P29),1)</f>
        <v>-103.8</v>
      </c>
      <c r="Q32" s="71"/>
      <c r="R32" s="329"/>
      <c r="S32" s="69">
        <f>ROUND(SUM(S21-S29),1)</f>
        <v>353</v>
      </c>
      <c r="T32" s="1365"/>
      <c r="U32" s="1571">
        <f>-ROUND(+S32/P32,3)</f>
        <v>3.4009999999999998</v>
      </c>
      <c r="V32" s="46"/>
    </row>
    <row r="33" spans="1:22">
      <c r="A33" s="28"/>
      <c r="B33" s="624"/>
      <c r="C33" s="624"/>
      <c r="D33" s="624"/>
      <c r="E33" s="624"/>
      <c r="F33" s="624"/>
      <c r="G33" s="624"/>
      <c r="H33" s="624"/>
      <c r="I33" s="1360"/>
      <c r="J33" s="1360"/>
      <c r="K33" s="624"/>
      <c r="L33" s="624"/>
      <c r="M33" s="1360"/>
      <c r="N33" s="1001"/>
      <c r="O33" s="872"/>
      <c r="P33" s="1001"/>
      <c r="Q33" s="920"/>
      <c r="R33" s="1362"/>
      <c r="S33" s="897"/>
      <c r="T33" s="1365"/>
      <c r="U33" s="1401"/>
      <c r="V33" s="46"/>
    </row>
    <row r="34" spans="1:22" ht="16.350000000000001" customHeight="1">
      <c r="A34" s="26" t="s">
        <v>45</v>
      </c>
      <c r="B34" s="624"/>
      <c r="C34" s="624"/>
      <c r="D34" s="624"/>
      <c r="E34" s="624"/>
      <c r="F34" s="624"/>
      <c r="G34" s="624"/>
      <c r="H34" s="624"/>
      <c r="I34" s="1360"/>
      <c r="J34" s="1360"/>
      <c r="K34" s="624"/>
      <c r="L34" s="624"/>
      <c r="M34" s="1360"/>
      <c r="N34" s="1001"/>
      <c r="O34" s="872"/>
      <c r="P34" s="1001"/>
      <c r="Q34" s="920"/>
      <c r="R34" s="1362"/>
      <c r="S34" s="897"/>
      <c r="T34" s="1365"/>
      <c r="U34" s="1401"/>
      <c r="V34" s="46"/>
    </row>
    <row r="35" spans="1:22" ht="16.350000000000001" customHeight="1">
      <c r="A35" s="28" t="s">
        <v>46</v>
      </c>
      <c r="B35" s="923">
        <f>+'Exhibit J'!E41</f>
        <v>2</v>
      </c>
      <c r="C35" s="624"/>
      <c r="D35" s="923">
        <f>+'Exhibit J'!AB41</f>
        <v>3</v>
      </c>
      <c r="E35" s="624"/>
      <c r="F35" s="624">
        <f>'Exhibit K'!D36</f>
        <v>3</v>
      </c>
      <c r="G35" s="661"/>
      <c r="H35" s="1371">
        <f>+'Exhibit K'!AA36</f>
        <v>5.5</v>
      </c>
      <c r="I35" s="1360"/>
      <c r="J35" s="1360">
        <f>ROUND(SUM(B35)+SUM(F35),1)</f>
        <v>5</v>
      </c>
      <c r="K35" s="661"/>
      <c r="L35" s="1366">
        <f>ROUND(SUM(D35)+SUM(H35),1)</f>
        <v>8.5</v>
      </c>
      <c r="M35" s="920"/>
      <c r="N35" s="1001">
        <v>2.7</v>
      </c>
      <c r="O35" s="1001"/>
      <c r="P35" s="1669">
        <f>'Exhibit J'!AE41+'Exhibit K'!AD36</f>
        <v>8.1999999999999993</v>
      </c>
      <c r="Q35" s="1367"/>
      <c r="R35" s="1372"/>
      <c r="S35" s="624">
        <f>ROUND(SUM(L35-P35),1)</f>
        <v>0.3</v>
      </c>
      <c r="T35" s="648"/>
      <c r="U35" s="1355">
        <f>ROUND(IF(S35=0,0,S35/(P35)),3)</f>
        <v>3.6999999999999998E-2</v>
      </c>
      <c r="V35" s="75"/>
    </row>
    <row r="36" spans="1:22" s="1667" customFormat="1" ht="16.350000000000001" customHeight="1">
      <c r="A36" s="101" t="s">
        <v>71</v>
      </c>
      <c r="B36" s="2940">
        <f>+'Exhibit J'!E42</f>
        <v>0</v>
      </c>
      <c r="C36" s="1021"/>
      <c r="D36" s="1015">
        <f>+'Exhibit J'!AB42</f>
        <v>0</v>
      </c>
      <c r="E36" s="872"/>
      <c r="F36" s="872">
        <f>'Exhibit K'!D37</f>
        <v>-0.1</v>
      </c>
      <c r="G36" s="872"/>
      <c r="H36" s="1005">
        <f>+'Exhibit K'!AA37</f>
        <v>-0.1</v>
      </c>
      <c r="I36" s="2941"/>
      <c r="J36" s="1385">
        <f>ROUND(SUM(B36)+SUM(F36),1)</f>
        <v>-0.1</v>
      </c>
      <c r="K36" s="872"/>
      <c r="L36" s="1001">
        <f>ROUND(SUM(D36)+SUM(H36),1)</f>
        <v>-0.1</v>
      </c>
      <c r="M36" s="1385"/>
      <c r="N36" s="1001">
        <v>0</v>
      </c>
      <c r="O36" s="3384"/>
      <c r="P36" s="1669">
        <f>'Exhibit J'!AE42+'Exhibit K'!AD37</f>
        <v>-0.1</v>
      </c>
      <c r="Q36" s="1669"/>
      <c r="R36" s="2942"/>
      <c r="S36" s="2943">
        <f>-ROUND(SUM(L36-P36),1)</f>
        <v>0</v>
      </c>
      <c r="T36" s="630"/>
      <c r="U36" s="3529">
        <f>ROUND(IF(P36=0,1,S36/ABS(P36)),3)</f>
        <v>0</v>
      </c>
      <c r="V36" s="2944"/>
    </row>
    <row r="37" spans="1:22" ht="15.75">
      <c r="A37" s="26" t="s">
        <v>48</v>
      </c>
      <c r="B37" s="76">
        <f>ROUND(SUM(B35:B36),1)</f>
        <v>2</v>
      </c>
      <c r="C37" s="77"/>
      <c r="D37" s="76">
        <f>ROUND(SUM(D35:D36),1)</f>
        <v>3</v>
      </c>
      <c r="E37" s="899"/>
      <c r="F37" s="78">
        <f>ROUND(SUM(F35:F36),1)</f>
        <v>2.9</v>
      </c>
      <c r="G37" s="79"/>
      <c r="H37" s="80">
        <f>ROUND(SUM(H35:H36),1)</f>
        <v>5.4</v>
      </c>
      <c r="I37" s="71"/>
      <c r="J37" s="81">
        <f>ROUND(SUM(J35:J36),1)</f>
        <v>4.9000000000000004</v>
      </c>
      <c r="K37" s="79"/>
      <c r="L37" s="80">
        <f>ROUND(SUM(L35:L36),1)</f>
        <v>8.4</v>
      </c>
      <c r="M37" s="59"/>
      <c r="N37" s="3387">
        <f>ROUND(SUM(N35:N36),1)</f>
        <v>2.7</v>
      </c>
      <c r="O37" s="106"/>
      <c r="P37" s="3387">
        <f>ROUND(SUM(P35:P36),1)</f>
        <v>8.1</v>
      </c>
      <c r="Q37" s="959"/>
      <c r="R37" s="965"/>
      <c r="S37" s="78">
        <f>L37-P37</f>
        <v>0.30000000000000071</v>
      </c>
      <c r="T37" s="1373"/>
      <c r="U37" s="279">
        <f>ROUND(SUM(S37/P37),3)</f>
        <v>3.6999999999999998E-2</v>
      </c>
      <c r="V37" s="82"/>
    </row>
    <row r="38" spans="1:22" ht="15.75">
      <c r="A38" s="26"/>
      <c r="B38" s="667"/>
      <c r="C38" s="624"/>
      <c r="D38" s="667"/>
      <c r="E38" s="624"/>
      <c r="F38" s="920"/>
      <c r="G38" s="624"/>
      <c r="H38" s="920"/>
      <c r="I38" s="1360"/>
      <c r="J38" s="1360"/>
      <c r="K38" s="624"/>
      <c r="L38" s="667"/>
      <c r="M38" s="1360"/>
      <c r="N38" s="1001"/>
      <c r="O38" s="872"/>
      <c r="P38" s="1001"/>
      <c r="Q38" s="920"/>
      <c r="R38" s="1362"/>
      <c r="S38" s="897"/>
      <c r="T38" s="1365"/>
      <c r="U38" s="801"/>
      <c r="V38" s="46"/>
    </row>
    <row r="39" spans="1:22" ht="15.75" customHeight="1">
      <c r="A39" s="26" t="s">
        <v>43</v>
      </c>
      <c r="B39" s="624"/>
      <c r="C39" s="624"/>
      <c r="D39" s="624"/>
      <c r="E39" s="624"/>
      <c r="F39" s="872"/>
      <c r="G39" s="624"/>
      <c r="H39" s="624"/>
      <c r="I39" s="1360"/>
      <c r="J39" s="1360"/>
      <c r="K39" s="624"/>
      <c r="L39" s="624"/>
      <c r="M39" s="1360"/>
      <c r="N39" s="1001"/>
      <c r="O39" s="872"/>
      <c r="P39" s="1001"/>
      <c r="Q39" s="920"/>
      <c r="R39" s="1362"/>
      <c r="S39" s="897"/>
      <c r="T39" s="1365"/>
      <c r="U39" s="801"/>
      <c r="V39" s="46"/>
    </row>
    <row r="40" spans="1:22" ht="15.75" customHeight="1">
      <c r="A40" s="26" t="s">
        <v>72</v>
      </c>
      <c r="B40" s="624"/>
      <c r="C40" s="624"/>
      <c r="D40" s="624"/>
      <c r="E40" s="624"/>
      <c r="F40" s="872"/>
      <c r="G40" s="624"/>
      <c r="H40" s="624"/>
      <c r="I40" s="1360"/>
      <c r="J40" s="1360"/>
      <c r="K40" s="624"/>
      <c r="L40" s="624"/>
      <c r="M40" s="1360"/>
      <c r="N40" s="1001"/>
      <c r="O40" s="872"/>
      <c r="P40" s="1001"/>
      <c r="Q40" s="920"/>
      <c r="R40" s="1362"/>
      <c r="S40" s="897"/>
      <c r="T40" s="1365"/>
      <c r="U40" s="801"/>
      <c r="V40" s="46"/>
    </row>
    <row r="41" spans="1:22" ht="15.75" customHeight="1">
      <c r="A41" s="26" t="s">
        <v>73</v>
      </c>
      <c r="B41" s="624"/>
      <c r="C41" s="624"/>
      <c r="D41" s="624"/>
      <c r="E41" s="624"/>
      <c r="F41" s="872"/>
      <c r="G41" s="624"/>
      <c r="H41" s="624"/>
      <c r="I41" s="1360"/>
      <c r="J41" s="1360"/>
      <c r="K41" s="624"/>
      <c r="L41" s="624"/>
      <c r="M41" s="1360"/>
      <c r="N41" s="1001"/>
      <c r="O41" s="872"/>
      <c r="P41" s="1001"/>
      <c r="Q41" s="920"/>
      <c r="R41" s="1362"/>
      <c r="S41" s="897"/>
      <c r="T41" s="1365"/>
      <c r="U41" s="801"/>
      <c r="V41" s="46"/>
    </row>
    <row r="42" spans="1:22" ht="15.75" customHeight="1">
      <c r="A42" s="26" t="s">
        <v>74</v>
      </c>
      <c r="B42" s="84">
        <f>ROUND(SUM(B32,B37),1)</f>
        <v>306.5</v>
      </c>
      <c r="C42" s="899"/>
      <c r="D42" s="84">
        <f>ROUND(SUM(D32,D37),1)</f>
        <v>280.10000000000002</v>
      </c>
      <c r="E42" s="899"/>
      <c r="F42" s="1570">
        <f>ROUND(SUM(F32,F37),1)</f>
        <v>-9.3000000000000007</v>
      </c>
      <c r="G42" s="899"/>
      <c r="H42" s="84">
        <f>ROUND(SUM(H32,H37),1)</f>
        <v>-22.5</v>
      </c>
      <c r="I42" s="85"/>
      <c r="J42" s="84">
        <f>ROUND(SUM(J32,J37),1)</f>
        <v>297.2</v>
      </c>
      <c r="K42" s="899"/>
      <c r="L42" s="84">
        <f>ROUND(SUM(L32,L37),1)</f>
        <v>257.60000000000002</v>
      </c>
      <c r="M42" s="59"/>
      <c r="N42" s="1570">
        <f>ROUND(SUM(N32,N37),1)</f>
        <v>-112.7</v>
      </c>
      <c r="O42" s="106"/>
      <c r="P42" s="1570">
        <f>ROUND(SUM(P32,P37),1)</f>
        <v>-95.7</v>
      </c>
      <c r="Q42" s="84"/>
      <c r="R42" s="966"/>
      <c r="S42" s="84">
        <f>ROUND(SUM(S32,S37),1)</f>
        <v>353.3</v>
      </c>
      <c r="T42" s="86"/>
      <c r="U42" s="1463">
        <f>-ROUND(S42/P42,3)</f>
        <v>3.6920000000000002</v>
      </c>
      <c r="V42" s="46"/>
    </row>
    <row r="43" spans="1:22" ht="15.75">
      <c r="A43" s="26"/>
      <c r="B43" s="624"/>
      <c r="C43" s="624"/>
      <c r="D43" s="624"/>
      <c r="E43" s="624"/>
      <c r="F43" s="872"/>
      <c r="G43" s="624"/>
      <c r="H43" s="624"/>
      <c r="I43" s="1360"/>
      <c r="J43" s="1360"/>
      <c r="K43" s="624"/>
      <c r="L43" s="624"/>
      <c r="M43" s="1360"/>
      <c r="N43" s="1001"/>
      <c r="O43" s="872"/>
      <c r="P43" s="1001"/>
      <c r="Q43" s="920"/>
      <c r="R43" s="1362"/>
      <c r="S43" s="897"/>
      <c r="T43" s="1365"/>
      <c r="U43" s="897"/>
      <c r="V43" s="46"/>
    </row>
    <row r="44" spans="1:22" s="60" customFormat="1" ht="15.75">
      <c r="A44" s="26" t="s">
        <v>75</v>
      </c>
      <c r="B44" s="899">
        <f>+'Exhibit J'!E16</f>
        <v>331.3</v>
      </c>
      <c r="C44" s="899"/>
      <c r="D44" s="899">
        <f>+'Exhibit J'!AB16</f>
        <v>357.7</v>
      </c>
      <c r="E44" s="899"/>
      <c r="F44" s="3390">
        <f>+'Exhibit K'!D14</f>
        <v>-149.9</v>
      </c>
      <c r="G44" s="899"/>
      <c r="H44" s="899">
        <f>+'Exhibit K'!AA14</f>
        <v>-136.69999999999999</v>
      </c>
      <c r="I44" s="59"/>
      <c r="J44" s="59">
        <f>ROUND(SUM(B44)+SUM(F44),1)</f>
        <v>181.4</v>
      </c>
      <c r="K44" s="899"/>
      <c r="L44" s="899">
        <f>ROUND(SUM(D44)+SUM(H44),1)</f>
        <v>221</v>
      </c>
      <c r="M44" s="59"/>
      <c r="N44" s="114">
        <v>-18.500000000000021</v>
      </c>
      <c r="O44" s="106"/>
      <c r="P44" s="107">
        <f>'Exhibit J'!AE16+'Exhibit K'!AD14</f>
        <v>-35.5</v>
      </c>
      <c r="Q44" s="71"/>
      <c r="R44" s="329"/>
      <c r="S44" s="899">
        <f>ROUND(SUM(L44-P44),1)</f>
        <v>256.5</v>
      </c>
      <c r="T44" s="86"/>
      <c r="U44" s="1463">
        <f>-ROUND(SUM(S44/P44),3)</f>
        <v>7.2249999999999996</v>
      </c>
      <c r="V44" s="86"/>
    </row>
    <row r="45" spans="1:22" ht="16.5" thickBot="1">
      <c r="A45" s="26" t="s">
        <v>76</v>
      </c>
      <c r="B45" s="87">
        <f>ROUND(SUM(B42+B44),1)</f>
        <v>637.79999999999995</v>
      </c>
      <c r="C45" s="88"/>
      <c r="D45" s="87">
        <f>ROUND(SUM(D42+D44),1)</f>
        <v>637.79999999999995</v>
      </c>
      <c r="E45" s="88"/>
      <c r="F45" s="130">
        <f>ROUND(SUM(F42+F44),1)</f>
        <v>-159.19999999999999</v>
      </c>
      <c r="G45" s="88"/>
      <c r="H45" s="87">
        <f>ROUND(SUM(H42+H44),1)</f>
        <v>-159.19999999999999</v>
      </c>
      <c r="I45" s="89"/>
      <c r="J45" s="90">
        <f>ROUND(SUM(J42+J44),1)</f>
        <v>478.6</v>
      </c>
      <c r="K45" s="88"/>
      <c r="L45" s="91">
        <f>ROUND(SUM(L42+L44),1)</f>
        <v>478.6</v>
      </c>
      <c r="M45" s="89"/>
      <c r="N45" s="1450">
        <f>ROUND(SUM(N42+N44),1)</f>
        <v>-131.19999999999999</v>
      </c>
      <c r="O45" s="129"/>
      <c r="P45" s="1450">
        <f>ROUND(SUM(P42+P44),1)</f>
        <v>-131.19999999999999</v>
      </c>
      <c r="Q45" s="213"/>
      <c r="R45" s="321"/>
      <c r="S45" s="92">
        <f>ROUND(SUM(S42+S44),1)</f>
        <v>609.79999999999995</v>
      </c>
      <c r="T45" s="1173"/>
      <c r="U45" s="1440">
        <f>ROUND(SUM(S45/ABS(P45)),3)</f>
        <v>4.6479999999999997</v>
      </c>
      <c r="V45" s="48"/>
    </row>
    <row r="46" spans="1:22" ht="4.3499999999999996" customHeight="1" thickTop="1">
      <c r="A46" s="28"/>
      <c r="B46" s="1374"/>
      <c r="C46" s="903"/>
      <c r="D46" s="1374"/>
      <c r="E46" s="903"/>
      <c r="F46" s="1023"/>
      <c r="G46" s="903"/>
      <c r="H46" s="1374"/>
      <c r="I46" s="903"/>
      <c r="J46" s="1374"/>
      <c r="K46" s="903"/>
      <c r="L46" s="1374"/>
      <c r="M46" s="903"/>
      <c r="N46" s="996"/>
      <c r="O46" s="994"/>
      <c r="P46" s="996"/>
      <c r="Q46" s="1173"/>
      <c r="R46" s="1173"/>
      <c r="S46" s="903"/>
      <c r="T46" s="1375"/>
      <c r="U46" s="1376"/>
      <c r="V46" s="94"/>
    </row>
    <row r="47" spans="1:22">
      <c r="A47" s="669"/>
      <c r="B47" s="35" t="s">
        <v>14</v>
      </c>
      <c r="C47" s="35"/>
      <c r="D47" s="35"/>
      <c r="E47" s="35"/>
      <c r="F47" s="1067"/>
      <c r="G47" s="35"/>
      <c r="H47" s="35"/>
      <c r="I47" s="35"/>
      <c r="J47" s="35"/>
      <c r="K47" s="35"/>
      <c r="L47" s="35"/>
      <c r="M47" s="35"/>
      <c r="N47" s="3389"/>
      <c r="O47" s="3388"/>
      <c r="P47" s="3388"/>
      <c r="Q47" s="35"/>
      <c r="R47" s="97"/>
      <c r="S47" s="35"/>
      <c r="T47" s="41"/>
      <c r="U47" s="37"/>
      <c r="V47" s="41"/>
    </row>
    <row r="48" spans="1:22" s="96" customFormat="1" ht="16.5" customHeight="1">
      <c r="A48" s="1028"/>
      <c r="B48" s="96" t="s">
        <v>14</v>
      </c>
      <c r="N48" s="1666"/>
      <c r="O48" s="1666"/>
      <c r="P48" s="1666"/>
      <c r="R48" s="960"/>
    </row>
    <row r="49" spans="1:21">
      <c r="A49" s="669"/>
      <c r="B49" s="50" t="s">
        <v>14</v>
      </c>
      <c r="C49" s="35"/>
      <c r="D49" s="35"/>
      <c r="E49" s="35"/>
      <c r="F49" s="35"/>
      <c r="G49" s="35"/>
      <c r="H49" s="35"/>
      <c r="I49" s="35"/>
      <c r="J49" s="35"/>
      <c r="K49" s="35"/>
      <c r="L49" s="35"/>
      <c r="M49" s="35"/>
      <c r="N49" s="3389"/>
      <c r="O49" s="3388"/>
      <c r="P49" s="3389"/>
      <c r="Q49" s="35"/>
      <c r="R49" s="97"/>
      <c r="S49" s="35"/>
      <c r="T49" s="97"/>
      <c r="U49" s="35"/>
    </row>
    <row r="50" spans="1:21">
      <c r="A50" s="669"/>
      <c r="B50" s="35"/>
      <c r="C50" s="35"/>
      <c r="D50" s="35"/>
      <c r="E50" s="35"/>
      <c r="F50" s="35"/>
      <c r="G50" s="35"/>
      <c r="H50" s="35"/>
      <c r="I50" s="35"/>
      <c r="J50" s="35"/>
      <c r="K50" s="35"/>
      <c r="L50" s="35"/>
      <c r="M50" s="35"/>
      <c r="N50" s="272" t="s">
        <v>14</v>
      </c>
      <c r="O50" s="3388"/>
      <c r="P50" s="272"/>
      <c r="Q50" s="35"/>
      <c r="R50" s="97"/>
      <c r="S50" s="35"/>
      <c r="T50" s="97"/>
      <c r="U50" s="35"/>
    </row>
    <row r="51" spans="1:21">
      <c r="A51" s="669"/>
      <c r="B51" s="35"/>
      <c r="C51" s="35"/>
      <c r="D51" s="35"/>
      <c r="E51" s="35"/>
      <c r="F51" s="35"/>
      <c r="G51" s="35"/>
      <c r="H51" s="35"/>
      <c r="I51" s="35"/>
      <c r="J51" s="35"/>
      <c r="K51" s="35"/>
      <c r="L51" s="35"/>
      <c r="M51" s="35"/>
      <c r="N51" s="3388" t="s">
        <v>14</v>
      </c>
      <c r="O51" s="3388"/>
      <c r="P51" s="3388"/>
      <c r="Q51" s="35"/>
      <c r="R51" s="97"/>
      <c r="S51" s="35"/>
      <c r="T51" s="97"/>
      <c r="U51" s="35"/>
    </row>
    <row r="52" spans="1:21">
      <c r="A52" s="669"/>
      <c r="B52" s="35"/>
      <c r="C52" s="35"/>
      <c r="D52" s="35"/>
      <c r="E52" s="35"/>
      <c r="F52" s="35"/>
      <c r="G52" s="35"/>
      <c r="H52" s="35"/>
      <c r="I52" s="35"/>
      <c r="J52" s="35"/>
      <c r="K52" s="35"/>
      <c r="L52" s="35"/>
      <c r="M52" s="35"/>
      <c r="N52" s="3388"/>
      <c r="O52" s="3388"/>
      <c r="P52" s="3388"/>
      <c r="Q52" s="35"/>
      <c r="R52" s="97"/>
      <c r="S52" s="35"/>
      <c r="T52" s="97"/>
      <c r="U52" s="35"/>
    </row>
    <row r="53" spans="1:21">
      <c r="A53" s="897"/>
    </row>
    <row r="54" spans="1:21">
      <c r="A54" s="897"/>
    </row>
    <row r="55" spans="1:21">
      <c r="A55" s="897"/>
    </row>
    <row r="56" spans="1:21">
      <c r="A56" s="897"/>
    </row>
    <row r="57" spans="1:21">
      <c r="A57" s="897"/>
    </row>
  </sheetData>
  <mergeCells count="2">
    <mergeCell ref="O3:P3"/>
    <mergeCell ref="U3:V3"/>
  </mergeCells>
  <pageMargins left="0.25" right="0.25" top="0.5" bottom="0.36" header="0" footer="0.25"/>
  <pageSetup scale="59"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zoomScaleNormal="70" workbookViewId="0"/>
  </sheetViews>
  <sheetFormatPr defaultColWidth="8.6640625" defaultRowHeight="15"/>
  <cols>
    <col min="1" max="1" width="38.109375" style="865" customWidth="1"/>
    <col min="2" max="2" width="13.6640625" style="865" customWidth="1"/>
    <col min="3" max="3" width="1.6640625" style="865" customWidth="1"/>
    <col min="4" max="4" width="13.6640625" style="865" customWidth="1"/>
    <col min="5" max="5" width="2.44140625" style="865" customWidth="1"/>
    <col min="6" max="6" width="13.6640625" style="865" customWidth="1"/>
    <col min="7" max="7" width="1.6640625" style="865" customWidth="1"/>
    <col min="8" max="8" width="13.6640625" style="865" customWidth="1"/>
    <col min="9" max="9" width="1.6640625" style="865" customWidth="1"/>
    <col min="10" max="10" width="13.6640625" style="865" customWidth="1"/>
    <col min="11" max="11" width="1.6640625" style="865" customWidth="1"/>
    <col min="12" max="12" width="13.6640625" style="865" customWidth="1"/>
    <col min="13" max="13" width="0.5546875" style="865" customWidth="1"/>
    <col min="14" max="14" width="13.6640625" style="865" customWidth="1"/>
    <col min="15" max="15" width="2.5546875" style="865" customWidth="1"/>
    <col min="16" max="16" width="13.6640625" style="865" customWidth="1"/>
    <col min="17" max="17" width="1.5546875" style="865" customWidth="1"/>
    <col min="18" max="18" width="2.109375" style="969" customWidth="1"/>
    <col min="19" max="19" width="10.5546875" style="865" bestFit="1" customWidth="1"/>
    <col min="20" max="20" width="2.44140625" style="969" customWidth="1"/>
    <col min="21" max="21" width="11.109375" style="865" bestFit="1" customWidth="1"/>
    <col min="22" max="16384" width="8.6640625" style="865"/>
  </cols>
  <sheetData>
    <row r="1" spans="1:22">
      <c r="A1" s="625" t="s">
        <v>870</v>
      </c>
    </row>
    <row r="2" spans="1:22">
      <c r="A2" s="802"/>
    </row>
    <row r="3" spans="1:22" s="970" customFormat="1" ht="18" customHeight="1">
      <c r="A3" s="99" t="s">
        <v>0</v>
      </c>
      <c r="B3" s="99"/>
      <c r="C3" s="99"/>
      <c r="D3" s="99"/>
      <c r="E3" s="99"/>
      <c r="F3" s="865"/>
      <c r="G3" s="865"/>
      <c r="H3" s="99"/>
      <c r="I3" s="99"/>
      <c r="J3" s="99"/>
      <c r="K3" s="99"/>
      <c r="L3" s="99"/>
      <c r="M3" s="99"/>
      <c r="N3" s="3381"/>
      <c r="P3" s="985"/>
      <c r="Q3" s="971"/>
      <c r="R3" s="972"/>
      <c r="S3" s="802"/>
      <c r="T3" s="972"/>
      <c r="U3" s="956" t="s">
        <v>77</v>
      </c>
      <c r="V3" s="802"/>
    </row>
    <row r="4" spans="1:22" s="970" customFormat="1" ht="15.75" customHeight="1">
      <c r="A4" s="99" t="s">
        <v>782</v>
      </c>
      <c r="B4" s="99"/>
      <c r="C4" s="99"/>
      <c r="D4" s="99"/>
      <c r="E4" s="99"/>
      <c r="F4" s="865"/>
      <c r="G4" s="865"/>
      <c r="H4" s="99"/>
      <c r="I4" s="99"/>
      <c r="J4" s="99"/>
      <c r="K4" s="99"/>
      <c r="L4" s="99"/>
      <c r="M4" s="99"/>
      <c r="N4" s="99"/>
      <c r="O4" s="99"/>
      <c r="P4" s="99"/>
      <c r="Q4" s="971"/>
      <c r="R4" s="972"/>
      <c r="S4" s="802"/>
      <c r="T4" s="972"/>
      <c r="U4" s="802"/>
      <c r="V4" s="802"/>
    </row>
    <row r="5" spans="1:22" s="970" customFormat="1" ht="15.75" customHeight="1">
      <c r="A5" s="255" t="s">
        <v>783</v>
      </c>
      <c r="B5" s="99"/>
      <c r="C5" s="99"/>
      <c r="D5" s="99"/>
      <c r="E5" s="99"/>
      <c r="F5" s="865"/>
      <c r="G5" s="865"/>
      <c r="H5" s="99"/>
      <c r="I5" s="99"/>
      <c r="J5" s="99"/>
      <c r="K5" s="99"/>
      <c r="L5" s="99"/>
      <c r="M5" s="99"/>
      <c r="N5" s="99"/>
      <c r="O5" s="99"/>
      <c r="P5" s="99" t="s">
        <v>14</v>
      </c>
      <c r="Q5" s="971"/>
      <c r="R5" s="972"/>
      <c r="S5" s="802"/>
      <c r="T5" s="972"/>
      <c r="U5" s="802"/>
      <c r="V5" s="802"/>
    </row>
    <row r="6" spans="1:22" s="970" customFormat="1" ht="15.75" customHeight="1">
      <c r="A6" s="99" t="s">
        <v>1250</v>
      </c>
      <c r="B6" s="99"/>
      <c r="C6" s="99"/>
      <c r="D6" s="99"/>
      <c r="E6" s="99"/>
      <c r="F6" s="865"/>
      <c r="G6" s="865"/>
      <c r="H6" s="99"/>
      <c r="I6" s="99"/>
      <c r="J6" s="99"/>
      <c r="K6" s="99"/>
      <c r="L6" s="99"/>
      <c r="M6" s="99"/>
      <c r="N6" s="99"/>
      <c r="O6" s="99"/>
      <c r="P6" s="99"/>
      <c r="Q6" s="971"/>
      <c r="R6" s="972"/>
      <c r="S6" s="802"/>
      <c r="T6" s="972"/>
      <c r="U6" s="802"/>
      <c r="V6" s="802"/>
    </row>
    <row r="7" spans="1:22" s="970" customFormat="1" ht="15.75">
      <c r="A7" s="102"/>
      <c r="B7" s="99"/>
      <c r="C7" s="99"/>
      <c r="D7" s="99"/>
      <c r="E7" s="99"/>
      <c r="F7" s="865"/>
      <c r="G7" s="865"/>
      <c r="H7" s="99"/>
      <c r="I7" s="99"/>
      <c r="J7" s="99"/>
      <c r="K7" s="99"/>
      <c r="L7" s="99"/>
      <c r="M7" s="99"/>
      <c r="N7" s="99"/>
      <c r="O7" s="99"/>
      <c r="P7" s="99"/>
      <c r="Q7" s="971"/>
      <c r="R7" s="972"/>
      <c r="S7" s="802"/>
      <c r="T7" s="972"/>
      <c r="U7" s="802"/>
      <c r="V7" s="802"/>
    </row>
    <row r="8" spans="1:22" s="970" customFormat="1" ht="15.75">
      <c r="B8" s="99"/>
      <c r="C8" s="99"/>
      <c r="D8" s="99"/>
      <c r="E8" s="99"/>
      <c r="F8" s="865"/>
      <c r="G8" s="865"/>
      <c r="H8" s="99"/>
      <c r="I8" s="99"/>
      <c r="J8" s="99"/>
      <c r="K8" s="99"/>
      <c r="L8" s="99"/>
      <c r="M8" s="99"/>
      <c r="N8" s="99"/>
      <c r="O8" s="99"/>
      <c r="P8" s="99"/>
      <c r="Q8" s="971"/>
      <c r="R8" s="972"/>
      <c r="S8" s="802"/>
      <c r="T8" s="972"/>
      <c r="U8" s="802"/>
      <c r="V8" s="802"/>
    </row>
    <row r="9" spans="1:22" s="970" customFormat="1" ht="8.1" customHeight="1">
      <c r="A9" s="971"/>
      <c r="B9" s="99"/>
      <c r="C9" s="99"/>
      <c r="D9" s="99"/>
      <c r="E9" s="99"/>
      <c r="F9" s="99"/>
      <c r="G9" s="865"/>
      <c r="H9" s="99"/>
      <c r="I9" s="99"/>
      <c r="J9" s="99"/>
      <c r="K9" s="99"/>
      <c r="L9" s="99"/>
      <c r="M9" s="99"/>
      <c r="N9" s="99"/>
      <c r="O9" s="99"/>
      <c r="P9" s="99"/>
      <c r="Q9" s="971"/>
      <c r="R9" s="973"/>
      <c r="S9" s="971"/>
      <c r="T9" s="969"/>
      <c r="U9" s="865"/>
      <c r="V9" s="865"/>
    </row>
    <row r="10" spans="1:22" s="970" customFormat="1" ht="15.75">
      <c r="A10" s="971"/>
      <c r="B10" s="99"/>
      <c r="C10" s="99"/>
      <c r="D10" s="99"/>
      <c r="E10" s="99"/>
      <c r="F10" s="99"/>
      <c r="G10" s="865"/>
      <c r="H10" s="99"/>
      <c r="I10" s="99"/>
      <c r="J10" s="99"/>
      <c r="K10" s="99"/>
      <c r="L10" s="99"/>
      <c r="M10" s="99"/>
      <c r="N10" s="99"/>
      <c r="O10" s="99"/>
      <c r="P10" s="99"/>
      <c r="Q10" s="971"/>
      <c r="R10" s="972"/>
      <c r="S10" s="802"/>
      <c r="T10" s="972"/>
      <c r="U10" s="802"/>
      <c r="V10" s="802"/>
    </row>
    <row r="11" spans="1:22" s="970" customFormat="1" ht="15.75">
      <c r="A11" s="971"/>
      <c r="B11" s="99"/>
      <c r="C11" s="99"/>
      <c r="D11" s="99"/>
      <c r="E11" s="99"/>
      <c r="F11" s="99"/>
      <c r="G11" s="865"/>
      <c r="H11" s="99"/>
      <c r="I11" s="99"/>
      <c r="K11" s="104"/>
      <c r="L11" s="866"/>
      <c r="M11" s="866"/>
      <c r="N11" s="104"/>
      <c r="O11" s="104"/>
      <c r="P11" s="104"/>
      <c r="Q11" s="971"/>
      <c r="R11" s="972"/>
      <c r="S11" s="802"/>
      <c r="T11" s="972"/>
      <c r="U11" s="802"/>
      <c r="V11" s="802"/>
    </row>
    <row r="12" spans="1:22" ht="16.350000000000001" customHeight="1">
      <c r="A12" s="971"/>
      <c r="B12" s="104" t="s">
        <v>1468</v>
      </c>
      <c r="C12" s="974"/>
      <c r="D12" s="104"/>
      <c r="E12" s="99"/>
      <c r="F12" s="104" t="s">
        <v>78</v>
      </c>
      <c r="G12" s="974"/>
      <c r="H12" s="104"/>
      <c r="I12" s="99"/>
      <c r="J12" s="104" t="s">
        <v>79</v>
      </c>
      <c r="K12" s="104"/>
      <c r="L12" s="866"/>
      <c r="M12" s="104"/>
      <c r="N12" s="104"/>
      <c r="O12" s="104"/>
      <c r="P12" s="104"/>
      <c r="Q12" s="971"/>
      <c r="R12" s="975"/>
      <c r="S12" s="3939" t="s">
        <v>802</v>
      </c>
      <c r="T12" s="3939"/>
      <c r="U12" s="3939"/>
      <c r="V12" s="802"/>
    </row>
    <row r="13" spans="1:22" ht="13.35" customHeight="1">
      <c r="A13" s="971"/>
      <c r="B13" s="976"/>
      <c r="C13" s="976"/>
      <c r="D13" s="976"/>
      <c r="E13" s="971"/>
      <c r="F13" s="976"/>
      <c r="G13" s="977"/>
      <c r="H13" s="976"/>
      <c r="I13" s="971"/>
      <c r="J13" s="976"/>
      <c r="K13" s="976"/>
      <c r="L13" s="976"/>
      <c r="M13" s="976"/>
      <c r="N13" s="976"/>
      <c r="O13" s="976"/>
      <c r="P13" s="976"/>
      <c r="Q13" s="971"/>
      <c r="R13" s="978"/>
      <c r="S13" s="971"/>
      <c r="T13" s="979"/>
      <c r="U13" s="801"/>
      <c r="V13" s="802"/>
    </row>
    <row r="14" spans="1:22" ht="16.350000000000001" customHeight="1">
      <c r="A14" s="971"/>
      <c r="B14" s="719" t="s">
        <v>6</v>
      </c>
      <c r="C14" s="99"/>
      <c r="D14" s="720" t="str">
        <f>'Exhibit A'!F11</f>
        <v>2 MOS. ENDED</v>
      </c>
      <c r="E14" s="99"/>
      <c r="F14" s="719" t="s">
        <v>6</v>
      </c>
      <c r="G14" s="721"/>
      <c r="H14" s="719" t="str">
        <f>D14</f>
        <v>2 MOS. ENDED</v>
      </c>
      <c r="I14" s="99"/>
      <c r="J14" s="719" t="s">
        <v>6</v>
      </c>
      <c r="K14" s="99"/>
      <c r="L14" s="719" t="str">
        <f>D14</f>
        <v>2 MOS. ENDED</v>
      </c>
      <c r="M14" s="99"/>
      <c r="N14" s="719" t="s">
        <v>6</v>
      </c>
      <c r="O14" s="99"/>
      <c r="P14" s="719" t="str">
        <f>H14</f>
        <v>2 MOS. ENDED</v>
      </c>
      <c r="Q14" s="971"/>
      <c r="R14" s="978"/>
      <c r="S14" s="3204" t="s">
        <v>7</v>
      </c>
      <c r="T14" s="204"/>
      <c r="U14" s="728" t="s">
        <v>8</v>
      </c>
      <c r="V14" s="802"/>
    </row>
    <row r="15" spans="1:22" ht="16.350000000000001" customHeight="1">
      <c r="A15" s="971"/>
      <c r="B15" s="882" t="str">
        <f>'Exhibit A'!D12</f>
        <v>MAY 2022</v>
      </c>
      <c r="C15" s="99"/>
      <c r="D15" s="882" t="str">
        <f>'Exhibit A'!F12</f>
        <v>MAY 31, 2022</v>
      </c>
      <c r="E15" s="99"/>
      <c r="F15" s="722" t="str">
        <f>+B15</f>
        <v>MAY 2022</v>
      </c>
      <c r="G15" s="99"/>
      <c r="H15" s="723" t="str">
        <f>D15</f>
        <v>MAY 31, 2022</v>
      </c>
      <c r="I15" s="99"/>
      <c r="J15" s="722" t="str">
        <f>+F15</f>
        <v>MAY 2022</v>
      </c>
      <c r="K15" s="99"/>
      <c r="L15" s="723" t="str">
        <f>'Exhibit A'!X12</f>
        <v>MAY 31, 2022</v>
      </c>
      <c r="M15" s="99"/>
      <c r="N15" s="3382" t="str">
        <f>'Exhibit A'!AB12</f>
        <v>MAY 2021</v>
      </c>
      <c r="O15" s="99"/>
      <c r="P15" s="882" t="str">
        <f>'Exhibit A'!AD12</f>
        <v>MAY 31, 2021</v>
      </c>
      <c r="Q15" s="971"/>
      <c r="R15" s="978"/>
      <c r="S15" s="3205" t="s">
        <v>11</v>
      </c>
      <c r="T15" s="203"/>
      <c r="U15" s="731" t="s">
        <v>12</v>
      </c>
      <c r="V15" s="802"/>
    </row>
    <row r="16" spans="1:22" ht="13.35" customHeight="1">
      <c r="A16" s="971"/>
      <c r="B16" s="973"/>
      <c r="C16" s="971"/>
      <c r="D16" s="973" t="s">
        <v>14</v>
      </c>
      <c r="E16" s="971"/>
      <c r="F16" s="976"/>
      <c r="G16" s="971"/>
      <c r="H16" s="980" t="s">
        <v>14</v>
      </c>
      <c r="I16" s="973"/>
      <c r="J16" s="981"/>
      <c r="K16" s="971"/>
      <c r="L16" s="982"/>
      <c r="M16" s="973"/>
      <c r="N16" s="973"/>
      <c r="O16" s="971"/>
      <c r="P16" s="973"/>
      <c r="Q16" s="971"/>
      <c r="R16" s="983"/>
      <c r="S16" s="802"/>
      <c r="T16" s="973"/>
      <c r="U16" s="802"/>
      <c r="V16" s="802"/>
    </row>
    <row r="17" spans="1:22" ht="16.350000000000001" customHeight="1">
      <c r="A17" s="99" t="s">
        <v>13</v>
      </c>
      <c r="B17" s="984"/>
      <c r="C17" s="984"/>
      <c r="D17" s="984"/>
      <c r="E17" s="984"/>
      <c r="F17" s="985"/>
      <c r="G17" s="984"/>
      <c r="H17" s="986"/>
      <c r="I17" s="985"/>
      <c r="J17" s="987"/>
      <c r="K17" s="984"/>
      <c r="L17" s="986"/>
      <c r="M17" s="985"/>
      <c r="N17" s="985"/>
      <c r="O17" s="984"/>
      <c r="P17" s="985"/>
      <c r="Q17" s="971"/>
      <c r="R17" s="988"/>
      <c r="S17" s="802"/>
      <c r="T17" s="985"/>
      <c r="U17" s="802"/>
      <c r="V17" s="802"/>
    </row>
    <row r="18" spans="1:22" ht="16.350000000000001" customHeight="1">
      <c r="A18" s="971" t="s">
        <v>19</v>
      </c>
      <c r="B18" s="989">
        <f>+'Exhibit L'!D16</f>
        <v>10.9</v>
      </c>
      <c r="C18" s="871"/>
      <c r="D18" s="870">
        <f>+'Exhibit L'!AA16</f>
        <v>22.3</v>
      </c>
      <c r="E18" s="871"/>
      <c r="F18" s="990">
        <f>'Exhibit M'!D16</f>
        <v>0.60000000000000009</v>
      </c>
      <c r="G18" s="871"/>
      <c r="H18" s="991">
        <f>+'Exhibit M'!AA16</f>
        <v>2.1</v>
      </c>
      <c r="I18" s="992"/>
      <c r="J18" s="993">
        <f>SUM(B18)+SUM(F18)</f>
        <v>11.5</v>
      </c>
      <c r="K18" s="871"/>
      <c r="L18" s="991">
        <f>D18+SUM(H18)</f>
        <v>24.400000000000002</v>
      </c>
      <c r="M18" s="992"/>
      <c r="N18" s="3383">
        <v>13.299999999999999</v>
      </c>
      <c r="O18" s="871"/>
      <c r="P18" s="3383">
        <f>'Exhibit L'!AD16+'Exhibit M'!AD16</f>
        <v>19.3</v>
      </c>
      <c r="Q18" s="994"/>
      <c r="R18" s="995"/>
      <c r="S18" s="1100">
        <f>ROUND(SUM(L18-P18),1)</f>
        <v>5.0999999999999996</v>
      </c>
      <c r="T18" s="996"/>
      <c r="U18" s="1355">
        <f>ROUND(IF(S18=0,0,S18/ABS(P18)),3)</f>
        <v>0.26400000000000001</v>
      </c>
      <c r="V18" s="997"/>
    </row>
    <row r="19" spans="1:22" ht="15.75">
      <c r="A19" s="99" t="s">
        <v>21</v>
      </c>
      <c r="B19" s="105">
        <f>ROUND(SUM(B18),1)</f>
        <v>10.9</v>
      </c>
      <c r="C19" s="106"/>
      <c r="D19" s="105">
        <f>ROUND(SUM(D18),1)</f>
        <v>22.3</v>
      </c>
      <c r="E19" s="106"/>
      <c r="F19" s="107">
        <f>ROUND(SUM(F18),1)</f>
        <v>0.6</v>
      </c>
      <c r="G19" s="106"/>
      <c r="H19" s="108">
        <f>ROUND(SUM(H18),1)</f>
        <v>2.1</v>
      </c>
      <c r="I19" s="109"/>
      <c r="J19" s="110">
        <f>ROUND(SUM(J18),1)</f>
        <v>11.5</v>
      </c>
      <c r="K19" s="106"/>
      <c r="L19" s="108">
        <f>ROUND(SUM(L18),1)</f>
        <v>24.4</v>
      </c>
      <c r="M19" s="109"/>
      <c r="N19" s="105">
        <f>ROUND(SUM(N18),1)</f>
        <v>13.3</v>
      </c>
      <c r="O19" s="106"/>
      <c r="P19" s="105">
        <f>ROUND(SUM(P18),1)</f>
        <v>19.3</v>
      </c>
      <c r="Q19" s="721"/>
      <c r="R19" s="999"/>
      <c r="S19" s="1026">
        <f>ROUND(SUM(S18),3)</f>
        <v>5.0999999999999996</v>
      </c>
      <c r="T19" s="630"/>
      <c r="U19" s="1027">
        <f>ROUND(+S19/P19,3)</f>
        <v>0.26400000000000001</v>
      </c>
      <c r="V19" s="802"/>
    </row>
    <row r="20" spans="1:22" ht="15.75">
      <c r="A20" s="99"/>
      <c r="B20" s="872"/>
      <c r="C20" s="872"/>
      <c r="D20" s="872"/>
      <c r="E20" s="872"/>
      <c r="F20" s="872"/>
      <c r="G20" s="872"/>
      <c r="H20" s="1000"/>
      <c r="I20" s="1001"/>
      <c r="J20" s="1002"/>
      <c r="K20" s="872"/>
      <c r="L20" s="1003"/>
      <c r="M20" s="1001"/>
      <c r="N20" s="1001"/>
      <c r="O20" s="872"/>
      <c r="P20" s="1001"/>
      <c r="R20" s="988"/>
      <c r="S20" s="1025"/>
      <c r="T20" s="985"/>
      <c r="U20" s="802"/>
      <c r="V20" s="802"/>
    </row>
    <row r="21" spans="1:22" ht="16.350000000000001" customHeight="1">
      <c r="A21" s="99" t="s">
        <v>22</v>
      </c>
      <c r="B21" s="872"/>
      <c r="C21" s="872"/>
      <c r="D21" s="872"/>
      <c r="E21" s="872"/>
      <c r="F21" s="872"/>
      <c r="G21" s="872"/>
      <c r="H21" s="1003"/>
      <c r="I21" s="1001"/>
      <c r="J21" s="1002"/>
      <c r="K21" s="872"/>
      <c r="L21" s="1003"/>
      <c r="M21" s="1001"/>
      <c r="N21" s="1001"/>
      <c r="O21" s="872"/>
      <c r="P21" s="1001"/>
      <c r="R21" s="988"/>
      <c r="S21" s="1025"/>
      <c r="T21" s="985"/>
      <c r="U21" s="802"/>
      <c r="V21" s="802"/>
    </row>
    <row r="22" spans="1:22" ht="16.350000000000001" customHeight="1">
      <c r="A22" s="971" t="s">
        <v>35</v>
      </c>
      <c r="B22" s="872"/>
      <c r="C22" s="872"/>
      <c r="D22" s="872"/>
      <c r="E22" s="872"/>
      <c r="F22" s="872"/>
      <c r="G22" s="872"/>
      <c r="H22" s="1003"/>
      <c r="I22" s="1001"/>
      <c r="J22" s="1002"/>
      <c r="K22" s="872"/>
      <c r="L22" s="1003"/>
      <c r="M22" s="1001"/>
      <c r="N22" s="1001"/>
      <c r="O22" s="872"/>
      <c r="P22" s="1001"/>
      <c r="R22" s="988"/>
      <c r="S22" s="1025"/>
      <c r="T22" s="985"/>
      <c r="U22" s="802"/>
      <c r="V22" s="802"/>
    </row>
    <row r="23" spans="1:22" ht="16.350000000000001" customHeight="1">
      <c r="A23" s="971" t="s">
        <v>66</v>
      </c>
      <c r="B23" s="663">
        <f>+'Exhibit L'!D22</f>
        <v>6.6</v>
      </c>
      <c r="C23" s="872"/>
      <c r="D23" s="663">
        <f>+'Exhibit L'!AA22</f>
        <v>12.5</v>
      </c>
      <c r="E23" s="872"/>
      <c r="F23" s="1004">
        <f>+'Exhibit M'!D22</f>
        <v>0.1</v>
      </c>
      <c r="G23" s="872"/>
      <c r="H23" s="1005">
        <f>+'Exhibit M'!AA22</f>
        <v>0.1</v>
      </c>
      <c r="I23" s="1001"/>
      <c r="J23" s="1006">
        <f>SUM(B23)+SUM(F23)</f>
        <v>6.6999999999999993</v>
      </c>
      <c r="K23" s="872"/>
      <c r="L23" s="1007">
        <f>SUM(D23)+SUM(H23)</f>
        <v>12.6</v>
      </c>
      <c r="M23" s="1001"/>
      <c r="N23" s="1008">
        <v>5.6</v>
      </c>
      <c r="O23" s="872"/>
      <c r="P23" s="1008">
        <f>'Exhibit L'!AD22+'Exhibit M'!AD22</f>
        <v>11.5</v>
      </c>
      <c r="R23" s="988"/>
      <c r="S23" s="1025">
        <f>ROUND(SUM(L23-P23),1)</f>
        <v>1.1000000000000001</v>
      </c>
      <c r="T23" s="985"/>
      <c r="U23" s="1355">
        <f>ROUND(IF(S23=0,0,S23/ABS(P23)),3)</f>
        <v>9.6000000000000002E-2</v>
      </c>
      <c r="V23" s="802"/>
    </row>
    <row r="24" spans="1:22" ht="16.350000000000001" customHeight="1">
      <c r="A24" s="971" t="s">
        <v>67</v>
      </c>
      <c r="B24" s="663">
        <f>+'Exhibit L'!D23</f>
        <v>1</v>
      </c>
      <c r="C24" s="872"/>
      <c r="D24" s="1008">
        <f>+'Exhibit L'!AA23</f>
        <v>1.6</v>
      </c>
      <c r="E24" s="872"/>
      <c r="F24" s="1004">
        <f>+'Exhibit M'!D23</f>
        <v>0</v>
      </c>
      <c r="G24" s="872"/>
      <c r="H24" s="1005">
        <f>+'Exhibit M'!AA23</f>
        <v>0</v>
      </c>
      <c r="I24" s="1001"/>
      <c r="J24" s="1006">
        <f>SUM(B24)+SUM(F24)</f>
        <v>1</v>
      </c>
      <c r="K24" s="872"/>
      <c r="L24" s="1007">
        <f>SUM(D24)+SUM(H24)</f>
        <v>1.6</v>
      </c>
      <c r="M24" s="1001"/>
      <c r="N24" s="1008">
        <v>1.2</v>
      </c>
      <c r="O24" s="1001"/>
      <c r="P24" s="1008">
        <f>'Exhibit L'!AD23+'Exhibit M'!AD23</f>
        <v>1.8</v>
      </c>
      <c r="R24" s="988"/>
      <c r="S24" s="1025">
        <f>ROUND(SUM(L24-P24),1)</f>
        <v>-0.2</v>
      </c>
      <c r="T24" s="985"/>
      <c r="U24" s="1355">
        <f>ROUND(IF(S24=0,0,S24/ABS(P24)),3)</f>
        <v>-0.111</v>
      </c>
      <c r="V24" s="802"/>
    </row>
    <row r="25" spans="1:22" ht="16.350000000000001" customHeight="1">
      <c r="A25" s="971" t="s">
        <v>68</v>
      </c>
      <c r="B25" s="663">
        <f>+'Exhibit L'!D24</f>
        <v>3.8</v>
      </c>
      <c r="C25" s="872"/>
      <c r="D25" s="1009">
        <f>+'Exhibit L'!AA24</f>
        <v>7.5</v>
      </c>
      <c r="E25" s="872"/>
      <c r="F25" s="1004">
        <f>+'Exhibit M'!D24</f>
        <v>0</v>
      </c>
      <c r="G25" s="872"/>
      <c r="H25" s="1010">
        <f>+'Exhibit M'!AA24</f>
        <v>0</v>
      </c>
      <c r="I25" s="1001"/>
      <c r="J25" s="1006">
        <f>SUM(B25)+SUM(F25)</f>
        <v>3.8</v>
      </c>
      <c r="K25" s="872"/>
      <c r="L25" s="1011">
        <f>SUM(D25)+SUM(H25)</f>
        <v>7.5</v>
      </c>
      <c r="M25" s="1001"/>
      <c r="N25" s="1008">
        <v>3.9</v>
      </c>
      <c r="O25" s="3384"/>
      <c r="P25" s="1008">
        <f>'Exhibit L'!AD24+'Exhibit M'!AD24</f>
        <v>5.7</v>
      </c>
      <c r="R25" s="988"/>
      <c r="S25" s="1025">
        <f>ROUND(SUM(L25-P25),1)</f>
        <v>1.8</v>
      </c>
      <c r="T25" s="985"/>
      <c r="U25" s="3559">
        <f>ROUND(IF(P25=0,1,S25/ABS(P25)),3)</f>
        <v>0.316</v>
      </c>
      <c r="V25" s="802"/>
    </row>
    <row r="26" spans="1:22" ht="15.75">
      <c r="A26" s="99" t="s">
        <v>56</v>
      </c>
      <c r="B26" s="105">
        <f>ROUND(SUM(B23:B25),1)</f>
        <v>11.4</v>
      </c>
      <c r="C26" s="106"/>
      <c r="D26" s="105">
        <f>ROUND(SUM(D23:D25),1)</f>
        <v>21.6</v>
      </c>
      <c r="E26" s="106"/>
      <c r="F26" s="105">
        <f>ROUND(SUM(F23:F25),1)</f>
        <v>0.1</v>
      </c>
      <c r="G26" s="106"/>
      <c r="H26" s="108">
        <f>ROUND(SUM(H23:H25),1)</f>
        <v>0.1</v>
      </c>
      <c r="I26" s="109"/>
      <c r="J26" s="110">
        <f>ROUND(SUM(J23:J25),1)</f>
        <v>11.5</v>
      </c>
      <c r="K26" s="106"/>
      <c r="L26" s="108">
        <f>ROUND(SUM(L23:L25),1)</f>
        <v>21.7</v>
      </c>
      <c r="M26" s="109"/>
      <c r="N26" s="105">
        <f>ROUND(SUM(N23:N25),1)</f>
        <v>10.7</v>
      </c>
      <c r="O26" s="106"/>
      <c r="P26" s="105">
        <f>ROUND(SUM(P23:P25),1)</f>
        <v>19</v>
      </c>
      <c r="Q26" s="721"/>
      <c r="R26" s="967"/>
      <c r="S26" s="1026">
        <f>ROUND(SUM(S23:S25),3)</f>
        <v>2.7</v>
      </c>
      <c r="T26" s="630"/>
      <c r="U26" s="3563">
        <f>ROUND(S26/P26,3)</f>
        <v>0.14199999999999999</v>
      </c>
      <c r="V26" s="802"/>
    </row>
    <row r="27" spans="1:22" ht="15.75">
      <c r="A27" s="99"/>
      <c r="B27" s="872"/>
      <c r="C27" s="872"/>
      <c r="D27" s="872"/>
      <c r="E27" s="872"/>
      <c r="F27" s="872"/>
      <c r="G27" s="872"/>
      <c r="H27" s="1003"/>
      <c r="I27" s="1001"/>
      <c r="J27" s="1002"/>
      <c r="K27" s="872"/>
      <c r="L27" s="1003"/>
      <c r="M27" s="1001"/>
      <c r="N27" s="1001"/>
      <c r="O27" s="872"/>
      <c r="P27" s="1001"/>
      <c r="R27" s="988"/>
      <c r="S27" s="1025"/>
      <c r="T27" s="985"/>
      <c r="U27" s="802"/>
      <c r="V27" s="802"/>
    </row>
    <row r="28" spans="1:22" ht="16.350000000000001" customHeight="1">
      <c r="A28" s="99" t="s">
        <v>43</v>
      </c>
      <c r="B28" s="872"/>
      <c r="C28" s="872"/>
      <c r="D28" s="872"/>
      <c r="E28" s="872"/>
      <c r="F28" s="872"/>
      <c r="G28" s="872"/>
      <c r="H28" s="1003"/>
      <c r="I28" s="1001"/>
      <c r="J28" s="1002"/>
      <c r="K28" s="872"/>
      <c r="L28" s="1003"/>
      <c r="M28" s="1001"/>
      <c r="N28" s="1001"/>
      <c r="O28" s="872"/>
      <c r="P28" s="1001"/>
      <c r="R28" s="988"/>
      <c r="S28" s="1025"/>
      <c r="T28" s="985"/>
      <c r="U28" s="802"/>
      <c r="V28" s="802"/>
    </row>
    <row r="29" spans="1:22" ht="15.75">
      <c r="A29" s="99" t="s">
        <v>70</v>
      </c>
      <c r="B29" s="114">
        <f>ROUND(SUM(B19-B26),1)</f>
        <v>-0.5</v>
      </c>
      <c r="C29" s="106"/>
      <c r="D29" s="114">
        <f>ROUND(SUM(D19-D26),1)</f>
        <v>0.7</v>
      </c>
      <c r="E29" s="106"/>
      <c r="F29" s="114">
        <f>ROUND(SUM(F19-F26),1)</f>
        <v>0.5</v>
      </c>
      <c r="G29" s="106"/>
      <c r="H29" s="115">
        <f>ROUND(SUM(H19-H26),1)</f>
        <v>2</v>
      </c>
      <c r="I29" s="109"/>
      <c r="J29" s="116">
        <f>ROUND(SUM(J19-J26),1)</f>
        <v>0</v>
      </c>
      <c r="K29" s="109"/>
      <c r="L29" s="115">
        <f>ROUND(SUM(L19-L26),1)</f>
        <v>2.7</v>
      </c>
      <c r="M29" s="109"/>
      <c r="N29" s="114">
        <f>ROUND(SUM(N19-N26),1)</f>
        <v>2.6</v>
      </c>
      <c r="O29" s="109"/>
      <c r="P29" s="114">
        <f>ROUND(SUM(P19-P26),1)</f>
        <v>0.3</v>
      </c>
      <c r="Q29" s="721"/>
      <c r="R29" s="988"/>
      <c r="S29" s="1517">
        <f>ROUND(SUM(L29-P29),1)</f>
        <v>2.4</v>
      </c>
      <c r="T29" s="985"/>
      <c r="U29" s="2065">
        <f>ROUND(IF(P29=0,1,S29/ABS(P29)),3)</f>
        <v>8</v>
      </c>
      <c r="V29" s="802"/>
    </row>
    <row r="30" spans="1:22">
      <c r="A30" s="971"/>
      <c r="B30" s="872"/>
      <c r="C30" s="872"/>
      <c r="D30" s="872"/>
      <c r="E30" s="872"/>
      <c r="F30" s="872"/>
      <c r="G30" s="872"/>
      <c r="H30" s="1003"/>
      <c r="I30" s="1001"/>
      <c r="J30" s="1002"/>
      <c r="K30" s="872"/>
      <c r="L30" s="1003"/>
      <c r="M30" s="1001"/>
      <c r="N30" s="1001"/>
      <c r="O30" s="872"/>
      <c r="P30" s="1001"/>
      <c r="R30" s="988"/>
      <c r="S30" s="1025"/>
      <c r="T30" s="985"/>
      <c r="U30" s="802"/>
      <c r="V30" s="802"/>
    </row>
    <row r="31" spans="1:22" ht="16.350000000000001" customHeight="1">
      <c r="A31" s="99" t="s">
        <v>45</v>
      </c>
      <c r="B31" s="872"/>
      <c r="C31" s="872"/>
      <c r="D31" s="872"/>
      <c r="E31" s="872"/>
      <c r="F31" s="872"/>
      <c r="G31" s="872"/>
      <c r="H31" s="1003"/>
      <c r="I31" s="1001"/>
      <c r="J31" s="1002"/>
      <c r="K31" s="872"/>
      <c r="L31" s="1003"/>
      <c r="M31" s="1001"/>
      <c r="N31" s="1001"/>
      <c r="O31" s="872"/>
      <c r="P31" s="1001"/>
      <c r="R31" s="988"/>
      <c r="S31" s="1025"/>
      <c r="T31" s="985"/>
      <c r="U31" s="802"/>
      <c r="V31" s="802"/>
    </row>
    <row r="32" spans="1:22" ht="16.350000000000001" customHeight="1">
      <c r="A32" s="971" t="s">
        <v>46</v>
      </c>
      <c r="B32" s="1004">
        <f>+'Exhibit L'!D31</f>
        <v>0</v>
      </c>
      <c r="C32" s="872"/>
      <c r="D32" s="1004">
        <f>+'Exhibit L'!AA31</f>
        <v>0</v>
      </c>
      <c r="E32" s="872"/>
      <c r="F32" s="1004">
        <f>+'Exhibit M'!D31</f>
        <v>0</v>
      </c>
      <c r="G32" s="663"/>
      <c r="H32" s="1012">
        <f>+'Exhibit M'!AA31</f>
        <v>0</v>
      </c>
      <c r="I32" s="1001"/>
      <c r="J32" s="1013">
        <f>SUM(B32)+SUM(F32)</f>
        <v>0</v>
      </c>
      <c r="K32" s="872"/>
      <c r="L32" s="1005">
        <f>SUM(D32)+SUM(H32)</f>
        <v>0</v>
      </c>
      <c r="M32" s="1001"/>
      <c r="N32" s="1008">
        <v>0</v>
      </c>
      <c r="O32" s="1001"/>
      <c r="P32" s="1009">
        <f>'Exhibit L'!AD31+'Exhibit M'!AD31</f>
        <v>0</v>
      </c>
      <c r="R32" s="1014"/>
      <c r="S32" s="1025">
        <f>ROUND(SUM(L32-P32),1)</f>
        <v>0</v>
      </c>
      <c r="T32" s="648"/>
      <c r="U32" s="1355">
        <f>ROUND(IF(S32=0,0,S32/ABS(P32)),3)</f>
        <v>0</v>
      </c>
      <c r="V32" s="802"/>
    </row>
    <row r="33" spans="1:22" ht="16.350000000000001" customHeight="1">
      <c r="A33" s="971" t="s">
        <v>71</v>
      </c>
      <c r="B33" s="1004">
        <f>+'Exhibit L'!D32</f>
        <v>0</v>
      </c>
      <c r="C33" s="872"/>
      <c r="D33" s="1015">
        <f>+'Exhibit L'!AA32</f>
        <v>0</v>
      </c>
      <c r="E33" s="872"/>
      <c r="F33" s="1004">
        <f>+'Exhibit M'!D32</f>
        <v>0</v>
      </c>
      <c r="G33" s="872"/>
      <c r="H33" s="1012">
        <f>+'Exhibit M'!AA32</f>
        <v>0</v>
      </c>
      <c r="I33" s="1001"/>
      <c r="J33" s="1013">
        <f>SUM(B33)+SUM(F33)</f>
        <v>0</v>
      </c>
      <c r="K33" s="872"/>
      <c r="L33" s="1016">
        <f>SUM(D33)+SUM(H33)</f>
        <v>0</v>
      </c>
      <c r="M33" s="1001"/>
      <c r="N33" s="1008">
        <v>0</v>
      </c>
      <c r="O33" s="3384"/>
      <c r="P33" s="1009">
        <f>'Exhibit L'!AD32+'Exhibit M'!AD32</f>
        <v>0</v>
      </c>
      <c r="R33" s="1017"/>
      <c r="S33" s="1025">
        <f>ROUND(SUM(L33-P33),1)</f>
        <v>0</v>
      </c>
      <c r="T33" s="648"/>
      <c r="U33" s="1355">
        <f>ROUND(IF(S33=0,0,S33/ABS(P33)),3)</f>
        <v>0</v>
      </c>
      <c r="V33" s="802"/>
    </row>
    <row r="34" spans="1:22" ht="15.75">
      <c r="A34" s="99" t="s">
        <v>48</v>
      </c>
      <c r="B34" s="117">
        <f>ROUND(SUM(B32:B33),1)</f>
        <v>0</v>
      </c>
      <c r="C34" s="106"/>
      <c r="D34" s="117">
        <f>ROUND(SUM(D32:D33),1)</f>
        <v>0</v>
      </c>
      <c r="E34" s="106"/>
      <c r="F34" s="117">
        <f>ROUND(SUM(F32:F33),1)</f>
        <v>0</v>
      </c>
      <c r="G34" s="106"/>
      <c r="H34" s="118">
        <f>ROUND(SUM(H32:H33),1)</f>
        <v>0</v>
      </c>
      <c r="I34" s="109"/>
      <c r="J34" s="119">
        <f>ROUND(SUM(J32:J33),1)</f>
        <v>0</v>
      </c>
      <c r="K34" s="106"/>
      <c r="L34" s="108">
        <f>ROUND(SUM(L32:L33),1)</f>
        <v>0</v>
      </c>
      <c r="M34" s="109"/>
      <c r="N34" s="105">
        <f>ROUND(SUM(N32:N33),1)</f>
        <v>0</v>
      </c>
      <c r="O34" s="106"/>
      <c r="P34" s="105">
        <f>ROUND(SUM(P32:P33),1)</f>
        <v>0</v>
      </c>
      <c r="R34" s="1018"/>
      <c r="S34" s="3206">
        <f>ROUND(SUM(S32-S33),3)</f>
        <v>0</v>
      </c>
      <c r="T34" s="1373"/>
      <c r="U34" s="1056">
        <f>ROUND(IF(P34=0,0,S34/ABS(P34)),3)</f>
        <v>0</v>
      </c>
      <c r="V34" s="802"/>
    </row>
    <row r="35" spans="1:22" ht="15.75">
      <c r="A35" s="99"/>
      <c r="B35" s="1019"/>
      <c r="C35" s="872"/>
      <c r="D35" s="1019"/>
      <c r="E35" s="872"/>
      <c r="F35" s="1001"/>
      <c r="G35" s="872"/>
      <c r="H35" s="1003"/>
      <c r="I35" s="1001"/>
      <c r="J35" s="1002"/>
      <c r="K35" s="872"/>
      <c r="L35" s="1020"/>
      <c r="M35" s="1001"/>
      <c r="N35" s="1001"/>
      <c r="O35" s="872"/>
      <c r="P35" s="1001"/>
      <c r="R35" s="988"/>
      <c r="S35" s="1025"/>
      <c r="T35" s="985"/>
      <c r="U35" s="802"/>
      <c r="V35" s="802"/>
    </row>
    <row r="36" spans="1:22" ht="15.75" customHeight="1">
      <c r="A36" s="99" t="s">
        <v>43</v>
      </c>
      <c r="B36" s="872"/>
      <c r="C36" s="872"/>
      <c r="D36" s="872"/>
      <c r="E36" s="872"/>
      <c r="F36" s="872"/>
      <c r="G36" s="872"/>
      <c r="H36" s="1003"/>
      <c r="I36" s="1001"/>
      <c r="J36" s="1002"/>
      <c r="K36" s="872"/>
      <c r="L36" s="1003"/>
      <c r="M36" s="1001"/>
      <c r="N36" s="1001"/>
      <c r="O36" s="872"/>
      <c r="P36" s="1001"/>
      <c r="R36" s="988"/>
      <c r="S36" s="1025"/>
      <c r="T36" s="985"/>
      <c r="U36" s="802"/>
      <c r="V36" s="802"/>
    </row>
    <row r="37" spans="1:22" ht="15.75" customHeight="1">
      <c r="A37" s="99" t="s">
        <v>72</v>
      </c>
      <c r="B37" s="872"/>
      <c r="C37" s="872"/>
      <c r="D37" s="872"/>
      <c r="E37" s="872"/>
      <c r="F37" s="872"/>
      <c r="G37" s="872"/>
      <c r="H37" s="1003"/>
      <c r="I37" s="1001"/>
      <c r="J37" s="1002"/>
      <c r="K37" s="872"/>
      <c r="L37" s="1003"/>
      <c r="M37" s="1001"/>
      <c r="N37" s="1001"/>
      <c r="O37" s="872"/>
      <c r="P37" s="1001"/>
      <c r="R37" s="988"/>
      <c r="S37" s="1025"/>
      <c r="T37" s="985"/>
      <c r="U37" s="802"/>
      <c r="V37" s="802"/>
    </row>
    <row r="38" spans="1:22" ht="15.75" customHeight="1">
      <c r="A38" s="99" t="s">
        <v>73</v>
      </c>
      <c r="B38" s="872"/>
      <c r="C38" s="872"/>
      <c r="D38" s="872"/>
      <c r="E38" s="872"/>
      <c r="F38" s="1021"/>
      <c r="G38" s="872"/>
      <c r="H38" s="1003"/>
      <c r="I38" s="1001"/>
      <c r="J38" s="1002"/>
      <c r="K38" s="872"/>
      <c r="L38" s="1003"/>
      <c r="M38" s="1001"/>
      <c r="N38" s="1001"/>
      <c r="O38" s="872"/>
      <c r="P38" s="1001"/>
      <c r="R38" s="988"/>
      <c r="S38" s="1025"/>
      <c r="T38" s="985"/>
      <c r="U38" s="802"/>
      <c r="V38" s="802"/>
    </row>
    <row r="39" spans="1:22" ht="15.75" customHeight="1">
      <c r="A39" s="99" t="s">
        <v>74</v>
      </c>
      <c r="B39" s="122">
        <f>ROUND(SUM(B29+B34),1)</f>
        <v>-0.5</v>
      </c>
      <c r="C39" s="106"/>
      <c r="D39" s="122">
        <f>ROUND(SUM(D29+D34),1)</f>
        <v>0.7</v>
      </c>
      <c r="E39" s="106"/>
      <c r="F39" s="122">
        <f>ROUND(SUM(F29+F34),1)</f>
        <v>0.5</v>
      </c>
      <c r="G39" s="106"/>
      <c r="H39" s="123">
        <f>ROUND(SUM(H29+H34),1)</f>
        <v>2</v>
      </c>
      <c r="I39" s="109"/>
      <c r="J39" s="124">
        <f>ROUND(SUM(J29+J34),1)</f>
        <v>0</v>
      </c>
      <c r="K39" s="106"/>
      <c r="L39" s="123">
        <f>ROUND(SUM(L29+L34),1)</f>
        <v>2.7</v>
      </c>
      <c r="M39" s="109"/>
      <c r="N39" s="122">
        <f>ROUND(SUM(N29+N34),1)</f>
        <v>2.6</v>
      </c>
      <c r="O39" s="109"/>
      <c r="P39" s="122">
        <f>ROUND(SUM(P29+P34),1)</f>
        <v>0.3</v>
      </c>
      <c r="Q39" s="721"/>
      <c r="R39" s="988"/>
      <c r="S39" s="1430">
        <f>ROUND(SUM(L39-P39),1)</f>
        <v>2.4</v>
      </c>
      <c r="T39" s="985"/>
      <c r="U39" s="2066">
        <f>ROUND(IF(P39=0,1,S39/ABS(P39)),3)</f>
        <v>8</v>
      </c>
      <c r="V39" s="802"/>
    </row>
    <row r="40" spans="1:22" ht="15.75">
      <c r="A40" s="99"/>
      <c r="B40" s="872"/>
      <c r="C40" s="872"/>
      <c r="D40" s="872"/>
      <c r="E40" s="872"/>
      <c r="F40" s="872"/>
      <c r="G40" s="872"/>
      <c r="H40" s="1003"/>
      <c r="I40" s="1001"/>
      <c r="J40" s="1002"/>
      <c r="K40" s="872"/>
      <c r="L40" s="1003"/>
      <c r="M40" s="1001"/>
      <c r="N40" s="1001"/>
      <c r="O40" s="872"/>
      <c r="P40" s="1001"/>
      <c r="R40" s="988"/>
      <c r="T40" s="1365"/>
      <c r="U40" s="897"/>
      <c r="V40" s="802"/>
    </row>
    <row r="41" spans="1:22" s="721" customFormat="1" ht="15.75">
      <c r="A41" s="99" t="s">
        <v>51</v>
      </c>
      <c r="B41" s="125">
        <f>+'Exhibit L'!D13</f>
        <v>320.10000000000002</v>
      </c>
      <c r="C41" s="106"/>
      <c r="D41" s="125">
        <f>+'Exhibit L'!AA13</f>
        <v>318.89999999999998</v>
      </c>
      <c r="E41" s="106"/>
      <c r="F41" s="125">
        <f>+'Exhibit M'!D13</f>
        <v>47.4</v>
      </c>
      <c r="G41" s="106"/>
      <c r="H41" s="126">
        <f>+'Exhibit M'!AA13</f>
        <v>45.9</v>
      </c>
      <c r="I41" s="109"/>
      <c r="J41" s="127">
        <f>ROUND(SUM(B41)+SUM(F41),1)</f>
        <v>367.5</v>
      </c>
      <c r="K41" s="106"/>
      <c r="L41" s="123">
        <f>ROUND(SUM(D41+H41),1)</f>
        <v>364.8</v>
      </c>
      <c r="M41" s="109"/>
      <c r="N41" s="114">
        <v>37.9</v>
      </c>
      <c r="O41" s="106"/>
      <c r="P41" s="114">
        <f>'Exhibit L'!AD13+'Exhibit M'!AD13</f>
        <v>40.200000000000003</v>
      </c>
      <c r="R41" s="968"/>
      <c r="S41" s="1570">
        <f>ROUND(SUM(+L41-P41),1)</f>
        <v>324.60000000000002</v>
      </c>
      <c r="T41" s="86"/>
      <c r="U41" s="1356">
        <f>ROUND(IF(S41=0,0,S41/ABS(P41)),3)</f>
        <v>8.0749999999999993</v>
      </c>
      <c r="V41" s="1022"/>
    </row>
    <row r="42" spans="1:22" ht="16.5" thickBot="1">
      <c r="A42" s="99" t="s">
        <v>76</v>
      </c>
      <c r="B42" s="128">
        <f>ROUND(SUM(B41)+SUM(B39),1)</f>
        <v>319.60000000000002</v>
      </c>
      <c r="C42" s="129"/>
      <c r="D42" s="128">
        <f>ROUND(SUM(D41)+SUM(D39),1)</f>
        <v>319.60000000000002</v>
      </c>
      <c r="E42" s="129"/>
      <c r="F42" s="130">
        <f>ROUND(SUM(F41)+SUM(F39),1)</f>
        <v>47.9</v>
      </c>
      <c r="G42" s="131"/>
      <c r="H42" s="780">
        <f>ROUND(SUM(H41)+SUM(H39),1)</f>
        <v>47.9</v>
      </c>
      <c r="I42" s="781"/>
      <c r="J42" s="780">
        <f>ROUND(SUM(J41)+SUM(J39),1)</f>
        <v>367.5</v>
      </c>
      <c r="K42" s="133"/>
      <c r="L42" s="132">
        <f>ROUND(SUM(L41)+SUM(L39),1)</f>
        <v>367.5</v>
      </c>
      <c r="M42" s="133"/>
      <c r="N42" s="780">
        <f>ROUND(SUM(N41)+SUM(N39),1)</f>
        <v>40.5</v>
      </c>
      <c r="O42" s="133"/>
      <c r="P42" s="780">
        <f>ROUND(SUM(P41)+SUM(P39),1)</f>
        <v>40.5</v>
      </c>
      <c r="Q42" s="257"/>
      <c r="R42" s="995"/>
      <c r="S42" s="3207">
        <f>ROUND(SUM(S39+S41),3)</f>
        <v>327</v>
      </c>
      <c r="T42" s="1173"/>
      <c r="U42" s="3429">
        <f>ROUND(IF(P42=0,1,S42/ABS(P42)),3)</f>
        <v>8.0739999999999998</v>
      </c>
      <c r="V42" s="802"/>
    </row>
    <row r="43" spans="1:22" ht="15.75" thickTop="1">
      <c r="A43" s="971"/>
      <c r="B43" s="1023"/>
      <c r="C43" s="994"/>
      <c r="D43" s="1023"/>
      <c r="E43" s="994"/>
      <c r="F43" s="1023"/>
      <c r="G43" s="994"/>
      <c r="H43" s="1023"/>
      <c r="I43" s="996"/>
      <c r="J43" s="1023"/>
      <c r="K43" s="994"/>
      <c r="L43" s="1023"/>
      <c r="M43" s="994"/>
      <c r="N43" s="1023"/>
      <c r="O43" s="994"/>
      <c r="P43" s="1023"/>
      <c r="Q43" s="994"/>
      <c r="R43" s="1024"/>
      <c r="S43" s="997"/>
      <c r="T43" s="1024"/>
      <c r="U43" s="997"/>
      <c r="V43" s="997"/>
    </row>
    <row r="44" spans="1:22" ht="18">
      <c r="A44" s="971" t="s">
        <v>1469</v>
      </c>
      <c r="B44" s="971"/>
      <c r="C44" s="971"/>
      <c r="D44" s="971"/>
      <c r="E44" s="971"/>
      <c r="F44" s="970"/>
      <c r="G44" s="971"/>
      <c r="H44" s="971"/>
      <c r="I44" s="971"/>
      <c r="J44" s="971"/>
      <c r="K44" s="971"/>
      <c r="L44" s="971"/>
      <c r="M44" s="971"/>
      <c r="N44" s="872"/>
      <c r="O44" s="971"/>
      <c r="P44" s="971"/>
      <c r="Q44" s="971"/>
      <c r="R44" s="972"/>
      <c r="S44" s="1324"/>
      <c r="T44" s="972"/>
      <c r="U44" s="802"/>
      <c r="V44" s="802"/>
    </row>
    <row r="45" spans="1:22">
      <c r="A45" s="971"/>
      <c r="B45" s="971"/>
      <c r="C45" s="971"/>
      <c r="D45" s="971"/>
      <c r="E45" s="971"/>
      <c r="F45" s="970" t="s">
        <v>14</v>
      </c>
      <c r="G45" s="971"/>
      <c r="H45" s="971"/>
      <c r="I45" s="971"/>
      <c r="J45" s="971"/>
      <c r="K45" s="971"/>
      <c r="L45" s="971"/>
      <c r="N45" s="872"/>
      <c r="O45" s="971"/>
      <c r="P45" s="971"/>
      <c r="Q45" s="971"/>
      <c r="R45" s="972"/>
      <c r="S45" s="802"/>
      <c r="T45" s="972"/>
      <c r="U45" s="802"/>
      <c r="V45" s="802"/>
    </row>
    <row r="46" spans="1:22">
      <c r="A46" s="868"/>
      <c r="B46" s="971"/>
      <c r="C46" s="971"/>
      <c r="D46" s="971"/>
      <c r="E46" s="971"/>
      <c r="F46" s="971"/>
      <c r="G46" s="971"/>
      <c r="H46" s="971"/>
      <c r="I46" s="971"/>
      <c r="J46" s="971"/>
      <c r="K46" s="971"/>
      <c r="L46" s="971"/>
      <c r="M46" s="971"/>
      <c r="N46" s="971"/>
      <c r="O46" s="971"/>
      <c r="P46" s="971"/>
      <c r="Q46" s="971"/>
      <c r="R46" s="972"/>
      <c r="S46" s="802"/>
      <c r="T46" s="972"/>
      <c r="U46" s="802"/>
      <c r="V46" s="802"/>
    </row>
    <row r="47" spans="1:22">
      <c r="A47" s="971"/>
      <c r="B47" s="971"/>
      <c r="C47" s="971"/>
      <c r="D47" s="971"/>
      <c r="E47" s="971"/>
      <c r="F47" s="971"/>
      <c r="G47" s="971"/>
      <c r="H47" s="971"/>
      <c r="I47" s="971"/>
      <c r="J47" s="971"/>
      <c r="K47" s="971"/>
      <c r="L47" s="971"/>
      <c r="M47" s="971"/>
      <c r="N47" s="971"/>
      <c r="O47" s="971"/>
      <c r="P47" s="971"/>
      <c r="Q47" s="971"/>
      <c r="R47" s="972"/>
      <c r="S47" s="802"/>
      <c r="T47" s="972"/>
      <c r="U47" s="802"/>
      <c r="V47" s="802"/>
    </row>
    <row r="48" spans="1:22">
      <c r="A48" s="971"/>
      <c r="B48" s="971"/>
      <c r="C48" s="971"/>
      <c r="D48" s="971"/>
      <c r="E48" s="971"/>
      <c r="F48" s="971"/>
      <c r="G48" s="971"/>
      <c r="H48" s="971"/>
      <c r="I48" s="971"/>
      <c r="J48" s="971"/>
      <c r="K48" s="971"/>
      <c r="L48" s="971"/>
      <c r="M48" s="971"/>
      <c r="N48" s="971"/>
      <c r="O48" s="971"/>
      <c r="P48" s="971"/>
      <c r="Q48" s="971"/>
      <c r="R48" s="972"/>
      <c r="S48" s="802"/>
      <c r="T48" s="972"/>
      <c r="U48" s="802"/>
      <c r="V48" s="802"/>
    </row>
    <row r="49" spans="1:22">
      <c r="A49" s="971"/>
      <c r="B49" s="971"/>
      <c r="C49" s="971"/>
      <c r="D49" s="971"/>
      <c r="E49" s="971"/>
      <c r="F49" s="971"/>
      <c r="G49" s="971"/>
      <c r="H49" s="971"/>
      <c r="I49" s="971"/>
      <c r="J49" s="971"/>
      <c r="K49" s="971"/>
      <c r="L49" s="971"/>
      <c r="M49" s="971"/>
      <c r="N49" s="971"/>
      <c r="O49" s="971"/>
      <c r="P49" s="971"/>
      <c r="Q49" s="971"/>
      <c r="R49" s="972"/>
      <c r="S49" s="802"/>
      <c r="T49" s="972"/>
      <c r="U49" s="802"/>
      <c r="V49" s="802"/>
    </row>
    <row r="50" spans="1:22">
      <c r="A50" s="971"/>
      <c r="B50" s="971"/>
      <c r="C50" s="971"/>
      <c r="D50" s="971"/>
      <c r="E50" s="971"/>
      <c r="F50" s="971"/>
      <c r="G50" s="971"/>
      <c r="H50" s="971"/>
      <c r="I50" s="971"/>
      <c r="J50" s="971"/>
      <c r="K50" s="971"/>
      <c r="L50" s="971"/>
      <c r="M50" s="971"/>
      <c r="N50" s="971"/>
      <c r="O50" s="971"/>
      <c r="P50" s="971"/>
      <c r="Q50" s="971"/>
      <c r="R50" s="972"/>
      <c r="S50" s="802"/>
      <c r="T50" s="972"/>
      <c r="U50" s="802"/>
      <c r="V50" s="802"/>
    </row>
    <row r="51" spans="1:22">
      <c r="A51" s="971"/>
      <c r="B51" s="971"/>
      <c r="C51" s="971"/>
      <c r="D51" s="971"/>
      <c r="E51" s="971"/>
      <c r="F51" s="971"/>
      <c r="G51" s="971"/>
      <c r="H51" s="971"/>
      <c r="I51" s="971"/>
      <c r="J51" s="971"/>
      <c r="K51" s="971"/>
      <c r="L51" s="971"/>
      <c r="M51" s="971"/>
      <c r="N51" s="971"/>
      <c r="O51" s="971"/>
      <c r="P51" s="971"/>
      <c r="Q51" s="971"/>
      <c r="R51" s="972"/>
      <c r="S51" s="802"/>
      <c r="T51" s="972"/>
      <c r="U51" s="802"/>
      <c r="V51" s="802"/>
    </row>
    <row r="52" spans="1:22">
      <c r="A52" s="971"/>
      <c r="B52" s="971"/>
      <c r="C52" s="971"/>
      <c r="D52" s="971"/>
      <c r="E52" s="971"/>
      <c r="F52" s="971"/>
      <c r="G52" s="971"/>
      <c r="H52" s="971"/>
      <c r="I52" s="971"/>
      <c r="J52" s="971"/>
      <c r="K52" s="971"/>
      <c r="L52" s="971"/>
      <c r="M52" s="971"/>
      <c r="N52" s="971"/>
      <c r="O52" s="971"/>
      <c r="P52" s="971"/>
      <c r="Q52" s="971"/>
      <c r="R52" s="972"/>
      <c r="S52" s="802"/>
      <c r="T52" s="972"/>
      <c r="U52" s="802"/>
      <c r="V52" s="802"/>
    </row>
    <row r="53" spans="1:22">
      <c r="A53" s="971"/>
      <c r="B53" s="971"/>
      <c r="C53" s="971"/>
      <c r="D53" s="971"/>
      <c r="E53" s="971"/>
      <c r="F53" s="971"/>
      <c r="G53" s="971"/>
      <c r="H53" s="971"/>
      <c r="I53" s="971"/>
      <c r="J53" s="971"/>
      <c r="K53" s="971"/>
      <c r="L53" s="971"/>
      <c r="M53" s="971"/>
      <c r="N53" s="971"/>
      <c r="O53" s="971"/>
      <c r="P53" s="971"/>
      <c r="Q53" s="971"/>
      <c r="R53" s="972"/>
      <c r="S53" s="802"/>
      <c r="T53" s="972"/>
      <c r="U53" s="802"/>
      <c r="V53" s="802"/>
    </row>
    <row r="54" spans="1:22">
      <c r="A54" s="971"/>
      <c r="B54" s="971"/>
      <c r="C54" s="971"/>
      <c r="D54" s="971"/>
      <c r="E54" s="971"/>
      <c r="F54" s="971"/>
      <c r="G54" s="971"/>
      <c r="H54" s="971"/>
      <c r="I54" s="971"/>
      <c r="J54" s="971"/>
      <c r="K54" s="971"/>
      <c r="L54" s="971"/>
      <c r="M54" s="971"/>
      <c r="N54" s="971"/>
      <c r="O54" s="971"/>
      <c r="P54" s="971"/>
      <c r="Q54" s="971"/>
      <c r="R54" s="972"/>
      <c r="S54" s="802"/>
      <c r="T54" s="972"/>
      <c r="U54" s="802"/>
      <c r="V54" s="802"/>
    </row>
    <row r="55" spans="1:22">
      <c r="A55" s="971"/>
      <c r="B55" s="971"/>
      <c r="C55" s="971"/>
      <c r="D55" s="971"/>
      <c r="E55" s="971"/>
      <c r="F55" s="971"/>
      <c r="G55" s="971"/>
      <c r="H55" s="971"/>
      <c r="I55" s="971"/>
      <c r="J55" s="971"/>
      <c r="K55" s="971"/>
      <c r="L55" s="971"/>
      <c r="M55" s="971"/>
      <c r="N55" s="971"/>
      <c r="O55" s="971"/>
      <c r="P55" s="971"/>
      <c r="Q55" s="971"/>
      <c r="R55" s="972"/>
      <c r="S55" s="802"/>
      <c r="T55" s="972"/>
      <c r="U55" s="802"/>
      <c r="V55" s="802"/>
    </row>
    <row r="56" spans="1:22">
      <c r="A56" s="971"/>
      <c r="B56" s="971"/>
      <c r="C56" s="971"/>
      <c r="D56" s="971"/>
      <c r="E56" s="971"/>
      <c r="F56" s="971"/>
      <c r="G56" s="971"/>
      <c r="H56" s="971"/>
      <c r="I56" s="971"/>
      <c r="J56" s="971"/>
      <c r="K56" s="971"/>
      <c r="L56" s="971"/>
      <c r="M56" s="971"/>
      <c r="N56" s="971"/>
      <c r="O56" s="971"/>
      <c r="P56" s="971"/>
      <c r="Q56" s="971"/>
      <c r="R56" s="973"/>
      <c r="S56" s="971"/>
    </row>
    <row r="57" spans="1:22">
      <c r="A57" s="971"/>
      <c r="B57" s="971"/>
      <c r="C57" s="971"/>
      <c r="D57" s="971"/>
      <c r="E57" s="971"/>
      <c r="F57" s="971"/>
      <c r="G57" s="971"/>
      <c r="H57" s="971"/>
      <c r="I57" s="971"/>
      <c r="J57" s="971"/>
      <c r="K57" s="971"/>
      <c r="L57" s="971"/>
      <c r="M57" s="971"/>
      <c r="N57" s="971"/>
      <c r="O57" s="971"/>
      <c r="P57" s="971"/>
      <c r="Q57" s="971"/>
      <c r="R57" s="973"/>
      <c r="S57" s="971"/>
    </row>
    <row r="58" spans="1:22">
      <c r="A58" s="971"/>
      <c r="B58" s="971"/>
      <c r="C58" s="971"/>
      <c r="D58" s="971"/>
      <c r="E58" s="971"/>
      <c r="F58" s="971"/>
      <c r="G58" s="971"/>
      <c r="H58" s="971"/>
      <c r="I58" s="971"/>
      <c r="J58" s="971"/>
      <c r="K58" s="971"/>
      <c r="L58" s="971"/>
      <c r="M58" s="971"/>
      <c r="N58" s="971"/>
      <c r="O58" s="971"/>
      <c r="P58" s="971"/>
      <c r="Q58" s="971"/>
      <c r="R58" s="973"/>
      <c r="S58" s="971"/>
    </row>
    <row r="59" spans="1:22">
      <c r="A59" s="971"/>
      <c r="B59" s="971"/>
      <c r="C59" s="971"/>
      <c r="D59" s="971"/>
      <c r="E59" s="971"/>
      <c r="F59" s="971"/>
      <c r="G59" s="971"/>
      <c r="H59" s="971"/>
      <c r="I59" s="971"/>
      <c r="J59" s="971"/>
      <c r="K59" s="971"/>
      <c r="L59" s="971"/>
      <c r="M59" s="971"/>
      <c r="N59" s="971"/>
      <c r="O59" s="971"/>
      <c r="P59" s="971"/>
      <c r="Q59" s="971"/>
      <c r="R59" s="973"/>
      <c r="S59" s="971"/>
    </row>
    <row r="60" spans="1:22">
      <c r="A60" s="971"/>
      <c r="B60" s="971"/>
      <c r="C60" s="971"/>
      <c r="D60" s="971"/>
      <c r="E60" s="971"/>
      <c r="F60" s="971"/>
      <c r="G60" s="971"/>
      <c r="H60" s="971"/>
      <c r="I60" s="971"/>
      <c r="J60" s="971"/>
      <c r="K60" s="971"/>
      <c r="L60" s="971"/>
      <c r="M60" s="971"/>
      <c r="N60" s="971"/>
      <c r="O60" s="971"/>
      <c r="P60" s="971"/>
      <c r="Q60" s="971"/>
      <c r="R60" s="973"/>
      <c r="S60" s="971"/>
    </row>
    <row r="61" spans="1:22">
      <c r="A61" s="971"/>
      <c r="B61" s="971"/>
      <c r="C61" s="971"/>
      <c r="D61" s="971"/>
      <c r="E61" s="971"/>
      <c r="F61" s="971"/>
      <c r="G61" s="971"/>
      <c r="H61" s="971"/>
      <c r="I61" s="971"/>
      <c r="J61" s="971"/>
      <c r="K61" s="971"/>
      <c r="L61" s="971"/>
      <c r="M61" s="971"/>
      <c r="N61" s="971"/>
      <c r="O61" s="971"/>
      <c r="P61" s="971"/>
      <c r="Q61" s="971"/>
      <c r="R61" s="973"/>
      <c r="S61" s="971"/>
    </row>
  </sheetData>
  <mergeCells count="1">
    <mergeCell ref="S12:U12"/>
  </mergeCells>
  <pageMargins left="0.25" right="0.25" top="0.5" bottom="0.5" header="0" footer="0.25"/>
  <pageSetup scale="60"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5" workbookViewId="0"/>
  </sheetViews>
  <sheetFormatPr defaultColWidth="8.6640625" defaultRowHeight="15"/>
  <cols>
    <col min="1" max="1" width="45.6640625" style="95" customWidth="1"/>
    <col min="2" max="2" width="2.44140625" style="95" customWidth="1"/>
    <col min="3" max="3" width="15.109375" style="95" customWidth="1"/>
    <col min="4" max="4" width="1.6640625" style="95" customWidth="1"/>
    <col min="5" max="5" width="15.109375" style="95" customWidth="1"/>
    <col min="6" max="6" width="2.6640625" style="95" customWidth="1"/>
    <col min="7" max="7" width="15.109375" style="95" customWidth="1"/>
    <col min="8" max="8" width="2" style="95" customWidth="1"/>
    <col min="9" max="9" width="14.6640625" style="95" customWidth="1"/>
    <col min="10" max="10" width="2.109375" style="95" customWidth="1"/>
    <col min="11" max="11" width="14.109375" style="95" customWidth="1"/>
    <col min="12" max="12" width="8.6640625" style="95"/>
    <col min="13" max="13" width="10.109375" style="95" bestFit="1" customWidth="1"/>
    <col min="14" max="16384" width="8.6640625" style="95"/>
  </cols>
  <sheetData>
    <row r="1" spans="1:11">
      <c r="A1" s="900" t="s">
        <v>870</v>
      </c>
    </row>
    <row r="2" spans="1:11">
      <c r="A2" s="803"/>
    </row>
    <row r="3" spans="1:11" s="3863" customFormat="1" ht="18" customHeight="1">
      <c r="A3" s="3864" t="s">
        <v>0</v>
      </c>
      <c r="B3" s="3865"/>
      <c r="C3" s="3865"/>
      <c r="D3" s="3866"/>
      <c r="E3" s="3865"/>
      <c r="F3" s="137"/>
      <c r="G3" s="137"/>
      <c r="H3" s="137"/>
      <c r="I3" s="137"/>
      <c r="J3" s="137"/>
      <c r="K3" s="138" t="s">
        <v>81</v>
      </c>
    </row>
    <row r="4" spans="1:11" s="3863" customFormat="1" ht="18" customHeight="1">
      <c r="A4" s="3864" t="s">
        <v>80</v>
      </c>
      <c r="B4" s="3865"/>
      <c r="C4" s="3865"/>
      <c r="D4" s="3866"/>
      <c r="E4" s="3865"/>
      <c r="F4" s="137"/>
      <c r="G4" s="137"/>
      <c r="H4" s="137"/>
      <c r="I4" s="138"/>
      <c r="J4" s="139"/>
    </row>
    <row r="5" spans="1:11" s="3863" customFormat="1" ht="18" customHeight="1">
      <c r="A5" s="3940" t="s">
        <v>1474</v>
      </c>
      <c r="B5" s="3941"/>
      <c r="C5" s="3941"/>
      <c r="D5" s="3941"/>
      <c r="E5" s="3941"/>
      <c r="F5" s="137"/>
      <c r="G5" s="140"/>
      <c r="H5" s="137"/>
      <c r="I5" s="137"/>
      <c r="J5" s="137"/>
      <c r="K5" s="137"/>
    </row>
    <row r="6" spans="1:11" s="3863" customFormat="1" ht="18" customHeight="1">
      <c r="A6" s="3867" t="s">
        <v>1509</v>
      </c>
      <c r="B6" s="3868"/>
      <c r="C6" s="3869"/>
      <c r="D6" s="3866"/>
      <c r="E6" s="3869"/>
      <c r="F6" s="137"/>
      <c r="G6" s="137"/>
      <c r="H6" s="137"/>
      <c r="I6" s="137"/>
      <c r="J6" s="137"/>
      <c r="K6" s="137"/>
    </row>
    <row r="7" spans="1:11" s="3863" customFormat="1" ht="18" customHeight="1">
      <c r="A7" s="3870" t="s">
        <v>1251</v>
      </c>
      <c r="B7" s="3869"/>
      <c r="C7" s="3869"/>
      <c r="D7" s="3866"/>
      <c r="E7" s="3869"/>
      <c r="F7" s="137"/>
      <c r="G7" s="137"/>
      <c r="H7" s="137"/>
      <c r="I7" s="137"/>
      <c r="J7" s="137"/>
      <c r="K7" s="137"/>
    </row>
    <row r="8" spans="1:11" ht="18">
      <c r="A8" s="143"/>
      <c r="B8" s="137"/>
      <c r="C8" s="137"/>
      <c r="D8" s="137"/>
      <c r="E8" s="137"/>
      <c r="F8" s="137"/>
      <c r="G8" s="137"/>
      <c r="H8" s="137"/>
      <c r="I8" s="137"/>
      <c r="J8" s="137"/>
      <c r="K8" s="137"/>
    </row>
    <row r="9" spans="1:11">
      <c r="A9" s="144"/>
      <c r="B9" s="137"/>
      <c r="C9" s="137"/>
      <c r="D9" s="137"/>
      <c r="E9" s="137"/>
      <c r="F9" s="137"/>
      <c r="G9" s="137"/>
      <c r="H9" s="137"/>
      <c r="I9" s="137"/>
      <c r="J9" s="137"/>
      <c r="K9" s="137"/>
    </row>
    <row r="10" spans="1:11">
      <c r="A10" s="144"/>
      <c r="B10" s="137"/>
      <c r="C10" s="137"/>
      <c r="D10" s="137"/>
      <c r="E10" s="137"/>
      <c r="F10" s="137"/>
      <c r="G10" s="137"/>
      <c r="H10" s="137"/>
      <c r="I10" s="137"/>
      <c r="J10" s="137"/>
      <c r="K10" s="137"/>
    </row>
    <row r="11" spans="1:11" ht="15.75">
      <c r="A11" s="28"/>
      <c r="B11" s="145"/>
      <c r="C11" s="3942" t="s">
        <v>1026</v>
      </c>
      <c r="D11" s="3942"/>
      <c r="E11" s="3942"/>
      <c r="F11" s="3942"/>
      <c r="G11" s="3942"/>
      <c r="H11" s="3942"/>
      <c r="I11" s="3942"/>
      <c r="J11" s="1149"/>
      <c r="K11" s="1150"/>
    </row>
    <row r="12" spans="1:11" ht="15.75">
      <c r="A12" s="28"/>
      <c r="B12" s="145"/>
      <c r="C12" s="146"/>
      <c r="D12" s="146"/>
      <c r="E12" s="146"/>
      <c r="F12" s="146"/>
      <c r="G12" s="146"/>
      <c r="H12" s="146"/>
      <c r="I12" s="147" t="s">
        <v>82</v>
      </c>
      <c r="J12" s="147"/>
      <c r="K12" s="147" t="s">
        <v>82</v>
      </c>
    </row>
    <row r="13" spans="1:11" ht="15.75">
      <c r="A13" s="28"/>
      <c r="B13" s="145"/>
      <c r="C13" s="146"/>
      <c r="D13" s="146"/>
      <c r="E13" s="146"/>
      <c r="F13" s="146"/>
      <c r="G13" s="146"/>
      <c r="H13" s="146"/>
      <c r="I13" s="147" t="s">
        <v>784</v>
      </c>
      <c r="J13" s="147"/>
      <c r="K13" s="147" t="s">
        <v>784</v>
      </c>
    </row>
    <row r="14" spans="1:11" ht="15.75">
      <c r="A14" s="669" t="s">
        <v>1151</v>
      </c>
      <c r="B14" s="145"/>
      <c r="C14" s="148" t="s">
        <v>977</v>
      </c>
      <c r="D14" s="146"/>
      <c r="E14" s="147" t="s">
        <v>978</v>
      </c>
      <c r="F14" s="146"/>
      <c r="G14" s="146"/>
      <c r="H14" s="146"/>
      <c r="I14" s="147" t="s">
        <v>83</v>
      </c>
      <c r="J14" s="147"/>
      <c r="K14" s="147" t="s">
        <v>83</v>
      </c>
    </row>
    <row r="15" spans="1:11" ht="15.75">
      <c r="A15" s="28"/>
      <c r="B15" s="145"/>
      <c r="C15" s="147" t="s">
        <v>1013</v>
      </c>
      <c r="D15" s="146"/>
      <c r="E15" s="147" t="s">
        <v>1013</v>
      </c>
      <c r="F15" s="146"/>
      <c r="G15" s="146"/>
      <c r="H15" s="146"/>
      <c r="I15" s="147" t="s">
        <v>977</v>
      </c>
      <c r="J15" s="147"/>
      <c r="K15" s="147" t="s">
        <v>978</v>
      </c>
    </row>
    <row r="16" spans="1:11" ht="15.75">
      <c r="A16" s="28"/>
      <c r="B16" s="145"/>
      <c r="C16" s="147" t="s">
        <v>1014</v>
      </c>
      <c r="D16" s="146"/>
      <c r="E16" s="147" t="s">
        <v>1485</v>
      </c>
      <c r="F16" s="146"/>
      <c r="G16" s="148" t="s">
        <v>82</v>
      </c>
      <c r="H16" s="146"/>
      <c r="I16" s="147" t="s">
        <v>84</v>
      </c>
      <c r="J16" s="147"/>
      <c r="K16" s="147" t="s">
        <v>84</v>
      </c>
    </row>
    <row r="17" spans="1:13">
      <c r="A17" s="149"/>
      <c r="B17" s="150"/>
      <c r="C17" s="151"/>
      <c r="D17" s="137"/>
      <c r="E17" s="151"/>
      <c r="F17" s="137"/>
      <c r="G17" s="151"/>
      <c r="H17" s="137"/>
      <c r="I17" s="151"/>
      <c r="J17" s="150"/>
      <c r="K17" s="151"/>
    </row>
    <row r="18" spans="1:13" ht="15.75">
      <c r="A18" s="26" t="s">
        <v>13</v>
      </c>
      <c r="B18" s="152"/>
      <c r="C18" s="153"/>
      <c r="D18" s="153"/>
      <c r="E18" s="153"/>
      <c r="F18" s="153"/>
      <c r="G18" s="153"/>
      <c r="H18" s="153"/>
      <c r="I18" s="153"/>
      <c r="J18" s="153"/>
      <c r="K18" s="152"/>
    </row>
    <row r="19" spans="1:13" ht="15" customHeight="1">
      <c r="A19" s="798" t="s">
        <v>85</v>
      </c>
      <c r="B19" s="154" t="s">
        <v>14</v>
      </c>
      <c r="C19" s="155"/>
      <c r="D19" s="154"/>
      <c r="E19" s="155"/>
      <c r="F19" s="154"/>
      <c r="G19" s="93"/>
      <c r="H19" s="154"/>
      <c r="I19" s="93"/>
      <c r="J19" s="93"/>
      <c r="K19" s="48"/>
    </row>
    <row r="20" spans="1:13">
      <c r="A20" s="156" t="s">
        <v>86</v>
      </c>
      <c r="B20" s="154" t="s">
        <v>14</v>
      </c>
      <c r="C20" s="1830">
        <f>'Exh D General Fund'!C20+'Exh D Special Revenue'!C20+'Exh D Debt Service'!C20</f>
        <v>16539</v>
      </c>
      <c r="D20" s="2083"/>
      <c r="E20" s="1830">
        <f>+'Exh D General Fund'!E20+'Exh D Special Revenue'!E20+'Exh D Debt Service'!E20</f>
        <v>0</v>
      </c>
      <c r="F20" s="157"/>
      <c r="G20" s="47">
        <f>+'Exh D General Fund'!G20+'Exh D Special Revenue'!G20+'Exh D Debt Service'!G20</f>
        <v>17445.8</v>
      </c>
      <c r="H20" s="157"/>
      <c r="I20" s="47">
        <f>G20-C20</f>
        <v>906.79999999999927</v>
      </c>
      <c r="J20" s="158"/>
      <c r="K20" s="948">
        <v>0</v>
      </c>
      <c r="M20" s="1151"/>
    </row>
    <row r="21" spans="1:13">
      <c r="A21" s="798" t="s">
        <v>87</v>
      </c>
      <c r="B21" s="152" t="s">
        <v>14</v>
      </c>
      <c r="C21" s="112">
        <f>+'Exh D General Fund'!C21+'Exh D Debt Service'!C21+'Exh D Special Revenue'!C21+'Exh D Capital Projects'!C20</f>
        <v>3074</v>
      </c>
      <c r="D21" s="112"/>
      <c r="E21" s="112">
        <f>+'Exh D General Fund'!E21+'Exh D Special Revenue'!E21+'Exh D Debt Service'!E21+'Exh D Capital Projects'!E20</f>
        <v>0</v>
      </c>
      <c r="F21" s="61"/>
      <c r="G21" s="61">
        <f>+'Exh D General Fund'!G21+'Exh D Special Revenue'!G21+'Exh D Debt Service'!G21+'Exh D Capital Projects'!G20</f>
        <v>3090.5000000000005</v>
      </c>
      <c r="H21" s="61"/>
      <c r="I21" s="61">
        <f>G21-C21</f>
        <v>16.500000000000455</v>
      </c>
      <c r="J21" s="158"/>
      <c r="K21" s="920">
        <v>0</v>
      </c>
      <c r="M21" s="1151"/>
    </row>
    <row r="22" spans="1:13" ht="15" customHeight="1">
      <c r="A22" s="798" t="s">
        <v>88</v>
      </c>
      <c r="B22" s="154" t="s">
        <v>14</v>
      </c>
      <c r="C22" s="112">
        <f>+'Exh D General Fund'!C22+'Exh D Special Revenue'!C22+'Exh D Capital Projects'!C21+'Exh D Debt Service'!C22</f>
        <v>1836</v>
      </c>
      <c r="D22" s="113"/>
      <c r="E22" s="112">
        <f>+'Exh D General Fund'!E22+'Exh D Special Revenue'!E22+'Exh D Capital Projects'!E21+'Exh D Debt Service'!E22</f>
        <v>0</v>
      </c>
      <c r="F22" s="72"/>
      <c r="G22" s="61">
        <f>+'Exh D General Fund'!G22+'Exh D Special Revenue'!G22+'Exh D Capital Projects'!G21+'Exh D Debt Service'!G22</f>
        <v>1814.8999999999999</v>
      </c>
      <c r="H22" s="72"/>
      <c r="I22" s="61">
        <f t="shared" ref="I22:I25" si="0">G22-C22</f>
        <v>-21.100000000000136</v>
      </c>
      <c r="J22" s="158"/>
      <c r="K22" s="920">
        <v>0</v>
      </c>
      <c r="M22" s="1151"/>
    </row>
    <row r="23" spans="1:13" ht="14.25" customHeight="1">
      <c r="A23" s="798" t="s">
        <v>89</v>
      </c>
      <c r="B23" s="152" t="s">
        <v>14</v>
      </c>
      <c r="C23" s="112">
        <f>+'Exh D General Fund'!C23+'Exh D Capital Projects'!C22+'Exh D Debt Service'!C23</f>
        <v>522</v>
      </c>
      <c r="D23" s="112"/>
      <c r="E23" s="112">
        <f>+'Exh D General Fund'!E23+'Exh D Debt Service'!E23+'Exh D Capital Projects'!E22</f>
        <v>0</v>
      </c>
      <c r="F23" s="61"/>
      <c r="G23" s="61">
        <f>+'Exh D General Fund'!G23+'Exh D Debt Service'!G23+'Exh D Capital Projects'!G22</f>
        <v>539.09999999999991</v>
      </c>
      <c r="H23" s="61"/>
      <c r="I23" s="61">
        <f t="shared" si="0"/>
        <v>17.099999999999909</v>
      </c>
      <c r="J23" s="158"/>
      <c r="K23" s="920">
        <v>0</v>
      </c>
      <c r="L23" s="1151"/>
      <c r="M23" s="1151"/>
    </row>
    <row r="24" spans="1:13">
      <c r="A24" s="798" t="s">
        <v>19</v>
      </c>
      <c r="B24" s="152" t="s">
        <v>14</v>
      </c>
      <c r="C24" s="112">
        <f>+'Exh D General Fund'!C24+'Exh D Special Revenue'!C23+'Exh D Debt Service'!C24+'Exh D Capital Projects'!C23</f>
        <v>5388</v>
      </c>
      <c r="D24" s="112"/>
      <c r="E24" s="112">
        <f>+'Exh D General Fund'!E24+'Exh D Special Revenue'!E23+'Exh D Debt Service'!E24+'Exh D Capital Projects'!E23</f>
        <v>0</v>
      </c>
      <c r="F24" s="61"/>
      <c r="G24" s="112">
        <f>+'Exh D General Fund'!G24+'Exh D Special Revenue'!G23+'Exh D Debt Service'!G24+'Exh D Capital Projects'!G23</f>
        <v>5269.1</v>
      </c>
      <c r="H24" s="61"/>
      <c r="I24" s="61">
        <f t="shared" si="0"/>
        <v>-118.89999999999964</v>
      </c>
      <c r="J24" s="159"/>
      <c r="K24" s="920">
        <v>0</v>
      </c>
      <c r="M24" s="1151"/>
    </row>
    <row r="25" spans="1:13" ht="15" customHeight="1">
      <c r="A25" s="798" t="s">
        <v>20</v>
      </c>
      <c r="B25" s="152" t="s">
        <v>14</v>
      </c>
      <c r="C25" s="656">
        <f>+'Exh D General Fund'!C25+'Exh D Debt Service'!C25+'Exh D Special Revenue'!C24+'Exh D Capital Projects'!C24</f>
        <v>12543</v>
      </c>
      <c r="D25" s="112"/>
      <c r="E25" s="656">
        <f>+'Exh D General Fund'!E25+'Exh D Special Revenue'!E24+'Exh D Debt Service'!E25+'Exh D Capital Projects'!E24</f>
        <v>0</v>
      </c>
      <c r="F25" s="61"/>
      <c r="G25" s="270">
        <f>+'Exh D General Fund'!G25+'Exh D Special Revenue'!G24+'Exh D Debt Service'!G25+'Exh D Capital Projects'!G24</f>
        <v>14255.000000000002</v>
      </c>
      <c r="H25" s="61"/>
      <c r="I25" s="61">
        <f t="shared" si="0"/>
        <v>1712.0000000000018</v>
      </c>
      <c r="J25" s="159"/>
      <c r="K25" s="920">
        <v>0</v>
      </c>
      <c r="M25" s="1151"/>
    </row>
    <row r="26" spans="1:13" ht="15.75">
      <c r="A26" s="167" t="s">
        <v>90</v>
      </c>
      <c r="B26" s="145" t="s">
        <v>14</v>
      </c>
      <c r="C26" s="1448">
        <f>ROUND(SUM(C20:C25),1)</f>
        <v>39902</v>
      </c>
      <c r="D26" s="106"/>
      <c r="E26" s="1448">
        <f>ROUND(SUM(E20:E25),1)</f>
        <v>0</v>
      </c>
      <c r="F26" s="57"/>
      <c r="G26" s="209">
        <f>ROUND(SUM(G20:G25),1)</f>
        <v>42414.400000000001</v>
      </c>
      <c r="H26" s="57"/>
      <c r="I26" s="209">
        <f>ROUND(SUM(I20:I25),1)</f>
        <v>2512.4</v>
      </c>
      <c r="J26" s="160"/>
      <c r="K26" s="209">
        <f>ROUND(SUM(K20:K25),1)</f>
        <v>0</v>
      </c>
      <c r="M26" s="1151"/>
    </row>
    <row r="27" spans="1:13">
      <c r="A27" s="28"/>
      <c r="B27" s="152" t="s">
        <v>14</v>
      </c>
      <c r="C27" s="120"/>
      <c r="D27" s="112"/>
      <c r="E27" s="120"/>
      <c r="F27" s="61"/>
      <c r="G27" s="83"/>
      <c r="H27" s="61"/>
      <c r="I27" s="83"/>
      <c r="J27" s="54"/>
      <c r="K27" s="83"/>
      <c r="M27" s="1151"/>
    </row>
    <row r="28" spans="1:13" ht="15.75">
      <c r="A28" s="26" t="s">
        <v>22</v>
      </c>
      <c r="B28" s="152" t="s">
        <v>14</v>
      </c>
      <c r="C28" s="112"/>
      <c r="D28" s="112"/>
      <c r="E28" s="112"/>
      <c r="F28" s="61"/>
      <c r="G28" s="61"/>
      <c r="H28" s="61"/>
      <c r="I28" s="61"/>
      <c r="J28" s="159"/>
      <c r="K28" s="51"/>
      <c r="M28" s="1151"/>
    </row>
    <row r="29" spans="1:13">
      <c r="A29" s="798" t="s">
        <v>91</v>
      </c>
      <c r="B29" s="152" t="s">
        <v>14</v>
      </c>
      <c r="C29" s="656">
        <f>+'Exh D General Fund'!C34+'Exh D Special Revenue'!C29+'Exh D Capital Projects'!C30</f>
        <v>26367</v>
      </c>
      <c r="D29" s="112"/>
      <c r="E29" s="656">
        <f>+'Exh D General Fund'!E34+'Exh D Special Revenue'!E29+'Exh D Capital Projects'!E30</f>
        <v>0</v>
      </c>
      <c r="F29" s="61"/>
      <c r="G29" s="656">
        <f>+'Exh D General Fund'!G34+'Exh D Special Revenue'!G29+'Exh D Capital Projects'!G30</f>
        <v>25014.9</v>
      </c>
      <c r="H29" s="61"/>
      <c r="I29" s="61">
        <f>G29-C29</f>
        <v>-1352.0999999999985</v>
      </c>
      <c r="J29" s="159"/>
      <c r="K29" s="920">
        <v>0</v>
      </c>
      <c r="M29" s="1151"/>
    </row>
    <row r="30" spans="1:13">
      <c r="A30" s="798" t="s">
        <v>92</v>
      </c>
      <c r="B30" s="152" t="s">
        <v>14</v>
      </c>
      <c r="C30" s="113">
        <f>+'Exh D General Fund'!C35+'Exh D Special Revenue'!C30+'Exh D Debt Service'!C30</f>
        <v>3502</v>
      </c>
      <c r="D30" s="112"/>
      <c r="E30" s="113">
        <f>+'Exh D General Fund'!E35+'Exh D Special Revenue'!E30+'Exh D Debt Service'!E30</f>
        <v>0</v>
      </c>
      <c r="F30" s="61"/>
      <c r="G30" s="72">
        <f>+'Exh D General Fund'!G35+'Exh D Special Revenue'!G30+'Exh D Debt Service'!G30</f>
        <v>3458.9</v>
      </c>
      <c r="H30" s="61"/>
      <c r="I30" s="61">
        <f t="shared" ref="I30:I33" si="1">G30-C30</f>
        <v>-43.099999999999909</v>
      </c>
      <c r="J30" s="159"/>
      <c r="K30" s="920">
        <v>0</v>
      </c>
      <c r="M30" s="1151"/>
    </row>
    <row r="31" spans="1:13">
      <c r="A31" s="798" t="s">
        <v>68</v>
      </c>
      <c r="B31" s="152" t="s">
        <v>14</v>
      </c>
      <c r="C31" s="656">
        <f>+'Exh D General Fund'!C36+'Exh D Special Revenue'!C31</f>
        <v>3010</v>
      </c>
      <c r="D31" s="112"/>
      <c r="E31" s="656">
        <f>+'Exh D General Fund'!E36+'Exh D Special Revenue'!E31</f>
        <v>0</v>
      </c>
      <c r="F31" s="61"/>
      <c r="G31" s="270">
        <f>+'Exh D General Fund'!G36+'Exh D Special Revenue'!G31</f>
        <v>2965.7999999999997</v>
      </c>
      <c r="H31" s="61"/>
      <c r="I31" s="61">
        <f t="shared" si="1"/>
        <v>-44.200000000000273</v>
      </c>
      <c r="J31" s="159"/>
      <c r="K31" s="920">
        <v>0</v>
      </c>
      <c r="M31" s="1151"/>
    </row>
    <row r="32" spans="1:13">
      <c r="A32" s="798" t="s">
        <v>93</v>
      </c>
      <c r="B32" s="152" t="s">
        <v>14</v>
      </c>
      <c r="C32" s="113">
        <f>+'Exh D Debt Service'!C31+'Exh D Special Revenue'!C32</f>
        <v>145</v>
      </c>
      <c r="D32" s="112"/>
      <c r="E32" s="113">
        <f>+'Exh D Debt Service'!E31+'Exh D Special Revenue'!E32</f>
        <v>0</v>
      </c>
      <c r="F32" s="61"/>
      <c r="G32" s="72">
        <f>+'Exh D Debt Service'!G31+'Exh D Special Revenue'!K32</f>
        <v>145.30000000000001</v>
      </c>
      <c r="H32" s="61"/>
      <c r="I32" s="61">
        <f t="shared" si="1"/>
        <v>0.30000000000001137</v>
      </c>
      <c r="J32" s="159"/>
      <c r="K32" s="920">
        <v>0</v>
      </c>
      <c r="M32" s="1151"/>
    </row>
    <row r="33" spans="1:14" ht="15" customHeight="1">
      <c r="A33" s="798" t="s">
        <v>41</v>
      </c>
      <c r="B33" s="152" t="s">
        <v>14</v>
      </c>
      <c r="C33" s="656">
        <f>+'Exh D Special Revenue'!C33+'Exh D Capital Projects'!C31</f>
        <v>1416</v>
      </c>
      <c r="D33" s="112"/>
      <c r="E33" s="656">
        <f>+'Exh D Special Revenue'!E33+'Exh D Capital Projects'!E31</f>
        <v>0</v>
      </c>
      <c r="F33" s="61"/>
      <c r="G33" s="270">
        <f>+'Exh D Special Revenue'!G33+'Exh D Capital Projects'!G31</f>
        <v>1026.4000000000001</v>
      </c>
      <c r="H33" s="61"/>
      <c r="I33" s="61">
        <f t="shared" si="1"/>
        <v>-389.59999999999991</v>
      </c>
      <c r="J33" s="159"/>
      <c r="K33" s="920">
        <v>0</v>
      </c>
      <c r="M33" s="1151"/>
    </row>
    <row r="34" spans="1:14" ht="15.75" customHeight="1">
      <c r="A34" s="167" t="s">
        <v>94</v>
      </c>
      <c r="B34" s="145" t="s">
        <v>14</v>
      </c>
      <c r="C34" s="1073">
        <f>ROUND(SUM(C29:C33),1)</f>
        <v>34440</v>
      </c>
      <c r="D34" s="106"/>
      <c r="E34" s="1073">
        <f>ROUND(SUM(E29:E33),1)</f>
        <v>0</v>
      </c>
      <c r="F34" s="57"/>
      <c r="G34" s="288">
        <f>ROUND(SUM(G29:G33),1)</f>
        <v>32611.3</v>
      </c>
      <c r="H34" s="57"/>
      <c r="I34" s="288">
        <f>ROUND(SUM(I29:I33),1)</f>
        <v>-1828.7</v>
      </c>
      <c r="J34" s="160"/>
      <c r="K34" s="288">
        <f>ROUND(SUM(K29:K33),1)</f>
        <v>0</v>
      </c>
      <c r="M34" s="1151"/>
    </row>
    <row r="35" spans="1:14">
      <c r="A35" s="28"/>
      <c r="B35" s="152"/>
      <c r="C35" s="112"/>
      <c r="D35" s="112"/>
      <c r="E35" s="112"/>
      <c r="F35" s="61"/>
      <c r="G35" s="61"/>
      <c r="H35" s="61"/>
      <c r="I35" s="61"/>
      <c r="J35" s="159"/>
      <c r="K35" s="51"/>
      <c r="M35" s="1151"/>
    </row>
    <row r="36" spans="1:14" ht="15.75">
      <c r="A36" s="167" t="s">
        <v>43</v>
      </c>
      <c r="B36" s="152"/>
      <c r="C36" s="112"/>
      <c r="D36" s="112"/>
      <c r="E36" s="112"/>
      <c r="F36" s="61"/>
      <c r="G36" s="61"/>
      <c r="H36" s="61"/>
      <c r="I36" s="61"/>
      <c r="J36" s="159"/>
      <c r="K36" s="51"/>
      <c r="M36" s="1151"/>
    </row>
    <row r="37" spans="1:14" ht="15.75">
      <c r="A37" s="167" t="s">
        <v>44</v>
      </c>
      <c r="B37" s="152" t="s">
        <v>14</v>
      </c>
      <c r="C37" s="107">
        <f>ROUND(SUM(+C26-C34),1)</f>
        <v>5462</v>
      </c>
      <c r="D37" s="112"/>
      <c r="E37" s="107">
        <f>ROUND(SUM(+E26-E34),1)</f>
        <v>0</v>
      </c>
      <c r="F37" s="61"/>
      <c r="G37" s="69">
        <f>ROUND(SUM(+G26-G34),1)</f>
        <v>9803.1</v>
      </c>
      <c r="H37" s="61"/>
      <c r="I37" s="69">
        <f>ROUND(SUM(+I26-I34),1)</f>
        <v>4341.1000000000004</v>
      </c>
      <c r="J37" s="54"/>
      <c r="K37" s="806">
        <f>ROUND(SUM(+K26-K34),1)</f>
        <v>0</v>
      </c>
      <c r="M37" s="1151"/>
    </row>
    <row r="38" spans="1:14">
      <c r="A38" s="28"/>
      <c r="B38" s="152"/>
      <c r="C38" s="112"/>
      <c r="D38" s="112"/>
      <c r="E38" s="112"/>
      <c r="F38" s="61"/>
      <c r="G38" s="61"/>
      <c r="H38" s="61"/>
      <c r="I38" s="61"/>
      <c r="J38" s="159"/>
      <c r="K38" s="51"/>
      <c r="M38" s="1151"/>
    </row>
    <row r="39" spans="1:14" ht="15.75">
      <c r="A39" s="167" t="s">
        <v>45</v>
      </c>
      <c r="B39" s="152"/>
      <c r="C39" s="112"/>
      <c r="D39" s="112"/>
      <c r="E39" s="112"/>
      <c r="F39" s="61"/>
      <c r="G39" s="61"/>
      <c r="H39" s="61"/>
      <c r="I39" s="61"/>
      <c r="J39" s="159"/>
      <c r="K39" s="51"/>
      <c r="M39" s="1151"/>
      <c r="N39" s="908" t="s">
        <v>14</v>
      </c>
    </row>
    <row r="40" spans="1:14">
      <c r="A40" s="798" t="s">
        <v>95</v>
      </c>
      <c r="B40" s="152" t="s">
        <v>14</v>
      </c>
      <c r="C40" s="1057">
        <f>'Exh D Captl Projects State Fed'!C25</f>
        <v>0</v>
      </c>
      <c r="D40" s="112"/>
      <c r="E40" s="1057">
        <f>'Exh D Captl Projects State Fed'!E25</f>
        <v>0</v>
      </c>
      <c r="F40" s="61"/>
      <c r="G40" s="271">
        <f>'Exh D Captl Projects State Fed'!G25</f>
        <v>0</v>
      </c>
      <c r="H40" s="61"/>
      <c r="I40" s="61">
        <f>ROUND(SUM(G40)-SUM(C40),1)</f>
        <v>0</v>
      </c>
      <c r="J40" s="165"/>
      <c r="K40" s="920">
        <f>ROUND(SUM(G40)-SUM(E40),1)</f>
        <v>0</v>
      </c>
      <c r="M40" s="1151"/>
    </row>
    <row r="41" spans="1:14">
      <c r="A41" s="798" t="s">
        <v>46</v>
      </c>
      <c r="B41" s="152" t="s">
        <v>14</v>
      </c>
      <c r="C41" s="113">
        <f>+'Exh D General Fund'!C27+'Exh D General Fund'!C28+'Exh D General Fund'!C29+'Exh D General Fund'!C30+'Exh D Special Revenue'!C25+'Exh D Debt Service'!C26+'Exh D Capital Projects'!C26</f>
        <v>11460</v>
      </c>
      <c r="D41" s="112"/>
      <c r="E41" s="113">
        <f>+'Exh D General Fund'!E27+'Exh D General Fund'!E28+'Exh D General Fund'!E29+'Exh D General Fund'!E30+'Exh D Special Revenue'!E25+'Exh D Debt Service'!E26+'Exh D Capital Projects'!E26</f>
        <v>0</v>
      </c>
      <c r="F41" s="61"/>
      <c r="G41" s="72">
        <f>+'Exh D General Fund'!G27+'Exh D General Fund'!G28+'Exh D General Fund'!G29+'Exh D General Fund'!G30+'Exh D Special Revenue'!K25+'Exh D Debt Service'!G26+'Exh D Capital Projects'!K26</f>
        <v>11480.599999999999</v>
      </c>
      <c r="H41" s="61"/>
      <c r="I41" s="61">
        <f t="shared" ref="I41:I42" si="2">ROUND(SUM(G41)-SUM(C41),1)</f>
        <v>20.6</v>
      </c>
      <c r="J41" s="159"/>
      <c r="K41" s="920">
        <v>0</v>
      </c>
      <c r="M41" s="1151"/>
    </row>
    <row r="42" spans="1:14">
      <c r="A42" s="798" t="s">
        <v>96</v>
      </c>
      <c r="B42" s="152" t="s">
        <v>14</v>
      </c>
      <c r="C42" s="2084">
        <f>-(+'Exh D General Fund'!C38+'Exh D General Fund'!C39+'Exh D General Fund'!C40+'Exh D General Fund'!C41+'Exh D General Fund'!C42+'Exh D Special Revenue'!C34+'Exh D Debt Service'!C32+'Exh D Capital Projects'!C32)</f>
        <v>-11464</v>
      </c>
      <c r="D42" s="112"/>
      <c r="E42" s="2084">
        <f>-(+'Exh D General Fund'!E38+'Exh D General Fund'!E39+'Exh D General Fund'!E40+'Exh D General Fund'!E41+'Exh D General Fund'!E42+'Exh D Special Revenue'!E34+'Exh D Debt Service'!E32+'Exh D Capital Projects'!E32)</f>
        <v>0</v>
      </c>
      <c r="F42" s="61"/>
      <c r="G42" s="275">
        <f>-(+'Exh D General Fund'!G38+'Exh D General Fund'!G39+'Exh D General Fund'!G40+'Exh D General Fund'!G41+'Exh D General Fund'!G42+'Exh D Special Revenue'!K34+'Exh D Debt Service'!G32+'Exh D Capital Projects'!K32)</f>
        <v>-11489</v>
      </c>
      <c r="H42" s="61"/>
      <c r="I42" s="61">
        <f t="shared" si="2"/>
        <v>-25</v>
      </c>
      <c r="J42" s="54"/>
      <c r="K42" s="906">
        <v>0</v>
      </c>
      <c r="M42" s="1151"/>
    </row>
    <row r="43" spans="1:14" ht="15.75">
      <c r="A43" s="167" t="s">
        <v>97</v>
      </c>
      <c r="B43" s="152" t="s">
        <v>14</v>
      </c>
      <c r="C43" s="114">
        <f>ROUND(+SUM(C40)+C41+C42,1)</f>
        <v>-4</v>
      </c>
      <c r="D43" s="112"/>
      <c r="E43" s="114">
        <f>ROUND(+SUM(E40)+E41+E42,1)</f>
        <v>0</v>
      </c>
      <c r="F43" s="61"/>
      <c r="G43" s="277">
        <f>ROUND(+SUM(G40)+G41+G42,1)</f>
        <v>-8.4</v>
      </c>
      <c r="H43" s="61"/>
      <c r="I43" s="3901">
        <f>ROUND(SUM(I40+I41-I42),1)</f>
        <v>45.6</v>
      </c>
      <c r="J43" s="166"/>
      <c r="K43" s="1532">
        <f>ROUND(SUM(K40+K41-K42),1)</f>
        <v>0</v>
      </c>
      <c r="M43" s="1151"/>
    </row>
    <row r="44" spans="1:14" ht="15.75">
      <c r="A44" s="167"/>
      <c r="B44" s="152"/>
      <c r="C44" s="113"/>
      <c r="D44" s="112"/>
      <c r="E44" s="113"/>
      <c r="F44" s="61"/>
      <c r="G44" s="72"/>
      <c r="H44" s="61"/>
      <c r="I44" s="72"/>
      <c r="J44" s="154"/>
      <c r="K44" s="73"/>
      <c r="M44" s="1151"/>
    </row>
    <row r="45" spans="1:14" ht="15.75">
      <c r="A45" s="26" t="s">
        <v>98</v>
      </c>
      <c r="B45" s="152"/>
      <c r="C45" s="112"/>
      <c r="D45" s="112"/>
      <c r="E45" s="112"/>
      <c r="F45" s="61"/>
      <c r="G45" s="61"/>
      <c r="H45" s="61"/>
      <c r="I45" s="61"/>
      <c r="J45" s="159"/>
      <c r="K45" s="51"/>
      <c r="M45" s="1151"/>
    </row>
    <row r="46" spans="1:14" ht="15" customHeight="1">
      <c r="A46" s="26" t="s">
        <v>99</v>
      </c>
      <c r="B46" s="152"/>
      <c r="C46" s="112"/>
      <c r="D46" s="112"/>
      <c r="E46" s="112"/>
      <c r="F46" s="61"/>
      <c r="G46" s="61"/>
      <c r="H46" s="61"/>
      <c r="I46" s="61"/>
      <c r="J46" s="159"/>
      <c r="K46" s="51"/>
      <c r="M46" s="1151"/>
    </row>
    <row r="47" spans="1:14" ht="15.75">
      <c r="A47" s="167" t="s">
        <v>100</v>
      </c>
      <c r="B47" s="168" t="s">
        <v>14</v>
      </c>
      <c r="C47" s="109">
        <f>ROUND(SUM(C26)-SUM(C34)+C43,1)</f>
        <v>5458</v>
      </c>
      <c r="D47" s="1082"/>
      <c r="E47" s="109">
        <f>ROUND(SUM(E26)-SUM(E34)+E43,1)</f>
        <v>0</v>
      </c>
      <c r="F47" s="79"/>
      <c r="G47" s="71">
        <f>ROUND(SUM(G26)-SUM(G34)+G43,1)</f>
        <v>9794.7000000000007</v>
      </c>
      <c r="H47" s="79"/>
      <c r="I47" s="71">
        <f>ROUND(SUM(I26)-SUM(I34)+I43,1)</f>
        <v>4386.7</v>
      </c>
      <c r="J47" s="160"/>
      <c r="K47" s="1490">
        <f>ROUND(SUM(K26)-SUM(K34)+K43,1)</f>
        <v>0</v>
      </c>
      <c r="M47" s="1151"/>
    </row>
    <row r="48" spans="1:14" ht="15.75">
      <c r="A48" s="31"/>
      <c r="B48" s="170"/>
      <c r="C48" s="1745"/>
      <c r="D48" s="2085"/>
      <c r="E48" s="1745"/>
      <c r="F48" s="660"/>
      <c r="G48" s="333"/>
      <c r="H48" s="660"/>
      <c r="I48" s="1490" t="s">
        <v>14</v>
      </c>
      <c r="J48" s="172"/>
      <c r="K48" s="1490" t="s">
        <v>14</v>
      </c>
      <c r="M48" s="1151"/>
    </row>
    <row r="49" spans="1:13" ht="15.75">
      <c r="A49" s="167" t="s">
        <v>101</v>
      </c>
      <c r="B49" s="173" t="s">
        <v>14</v>
      </c>
      <c r="C49" s="109">
        <f>'Exh D General Fund'!C49+'Exh D Special Revenue'!C41+'Exh D Debt Service'!C39+'Exh D Capital Projects'!C39</f>
        <v>53549</v>
      </c>
      <c r="D49" s="2085"/>
      <c r="E49" s="109">
        <v>0</v>
      </c>
      <c r="F49" s="660"/>
      <c r="G49" s="71">
        <f>'Exh D General Fund'!G49+'Exh D Special Revenue'!G41+'Exh D Debt Service'!G39+'Exh D Capital Projects'!G39</f>
        <v>53548.999999999993</v>
      </c>
      <c r="H49" s="660"/>
      <c r="I49" s="899">
        <f>ROUND(SUM(G49)-SUM(C49),1)</f>
        <v>0</v>
      </c>
      <c r="J49" s="160"/>
      <c r="K49" s="1490">
        <v>0</v>
      </c>
      <c r="M49" s="1151"/>
    </row>
    <row r="50" spans="1:13" ht="16.5" thickBot="1">
      <c r="A50" s="255" t="s">
        <v>1519</v>
      </c>
      <c r="B50" s="174" t="s">
        <v>14</v>
      </c>
      <c r="C50" s="1450">
        <f>ROUND(SUM(C47:C49),1)</f>
        <v>59007</v>
      </c>
      <c r="D50" s="2002"/>
      <c r="E50" s="1450">
        <f>ROUND(SUM(E47:E49),1)</f>
        <v>0</v>
      </c>
      <c r="F50" s="175"/>
      <c r="G50" s="92">
        <f>ROUND(SUM(G47:G49),1)</f>
        <v>63343.7</v>
      </c>
      <c r="H50" s="175"/>
      <c r="I50" s="92">
        <f>ROUND(SUM(I47:I49),1)</f>
        <v>4386.7</v>
      </c>
      <c r="J50" s="176"/>
      <c r="K50" s="92">
        <f>ROUND(SUM(K47:K49),1)</f>
        <v>0</v>
      </c>
      <c r="M50" s="1151"/>
    </row>
    <row r="51" spans="1:13" ht="15.75" thickTop="1">
      <c r="A51" s="31"/>
      <c r="B51" s="170"/>
      <c r="C51" s="2086"/>
      <c r="D51" s="2087"/>
      <c r="E51" s="2086"/>
      <c r="F51" s="171"/>
      <c r="G51" s="171"/>
      <c r="H51" s="171"/>
      <c r="I51" s="171"/>
      <c r="J51" s="171"/>
      <c r="K51" s="170"/>
      <c r="M51" s="1151"/>
    </row>
    <row r="52" spans="1:13">
      <c r="A52" s="913" t="s">
        <v>1523</v>
      </c>
      <c r="G52" s="1151"/>
      <c r="K52" s="1174"/>
      <c r="M52" s="1151"/>
    </row>
    <row r="53" spans="1:13">
      <c r="A53" s="913" t="s">
        <v>14</v>
      </c>
      <c r="G53" s="1151"/>
    </row>
    <row r="54" spans="1:13">
      <c r="A54" s="178"/>
      <c r="G54" s="348"/>
    </row>
    <row r="55" spans="1:13" ht="15.75">
      <c r="A55" s="3822"/>
      <c r="G55" s="1151"/>
    </row>
    <row r="56" spans="1:13">
      <c r="A56" s="177"/>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5"/>
  <sheetViews>
    <sheetView showGridLines="0" zoomScale="90" zoomScaleNormal="85" workbookViewId="0"/>
  </sheetViews>
  <sheetFormatPr defaultColWidth="8.6640625" defaultRowHeight="15"/>
  <cols>
    <col min="1" max="1" width="45.6640625" style="95" customWidth="1"/>
    <col min="2" max="2" width="2.44140625" style="95" customWidth="1"/>
    <col min="3" max="3" width="15.109375" style="95" customWidth="1"/>
    <col min="4" max="4" width="1.6640625" style="95" customWidth="1"/>
    <col min="5" max="5" width="15.109375" style="95" customWidth="1"/>
    <col min="6" max="6" width="2.6640625" style="95" customWidth="1"/>
    <col min="7" max="7" width="15.109375" style="95" customWidth="1"/>
    <col min="8" max="8" width="5.109375" style="95" customWidth="1"/>
    <col min="9" max="9" width="15.109375" style="95" customWidth="1"/>
    <col min="10" max="10" width="2.109375" style="95" customWidth="1"/>
    <col min="11" max="11" width="15.109375" style="95" customWidth="1"/>
    <col min="12" max="16384" width="8.6640625" style="95"/>
  </cols>
  <sheetData>
    <row r="1" spans="1:11">
      <c r="A1" s="900" t="s">
        <v>870</v>
      </c>
    </row>
    <row r="2" spans="1:11">
      <c r="A2" s="803"/>
    </row>
    <row r="3" spans="1:11" s="3863" customFormat="1" ht="18" customHeight="1">
      <c r="A3" s="135" t="s">
        <v>0</v>
      </c>
      <c r="B3" s="136"/>
      <c r="C3" s="136"/>
      <c r="D3" s="137"/>
      <c r="E3" s="136"/>
      <c r="F3" s="137"/>
      <c r="G3" s="137"/>
      <c r="H3" s="137"/>
      <c r="I3" s="137"/>
      <c r="J3" s="137"/>
      <c r="K3" s="138" t="s">
        <v>81</v>
      </c>
    </row>
    <row r="4" spans="1:11" s="3863" customFormat="1" ht="18" customHeight="1">
      <c r="A4" s="135" t="s">
        <v>80</v>
      </c>
      <c r="B4" s="136"/>
      <c r="C4" s="136"/>
      <c r="D4" s="137"/>
      <c r="E4" s="136"/>
      <c r="F4" s="137"/>
      <c r="G4" s="137"/>
      <c r="H4" s="137"/>
      <c r="I4" s="138"/>
      <c r="J4" s="139"/>
      <c r="K4" s="800"/>
    </row>
    <row r="5" spans="1:11" s="3863" customFormat="1" ht="18" customHeight="1">
      <c r="A5" s="3943" t="str">
        <f>'Exh D-Governmental  '!A5:E5</f>
        <v>FISCAL YEAR 2022-2023</v>
      </c>
      <c r="B5" s="3944"/>
      <c r="C5" s="3944"/>
      <c r="D5" s="3944"/>
      <c r="E5" s="3944"/>
      <c r="F5" s="137"/>
      <c r="G5" s="140"/>
      <c r="H5" s="137"/>
      <c r="I5" s="800"/>
      <c r="J5" s="137"/>
    </row>
    <row r="6" spans="1:11" s="3863" customFormat="1" ht="18" customHeight="1">
      <c r="A6" s="1437" t="str">
        <f>'Exh D-Governmental  '!A6</f>
        <v xml:space="preserve">FOR TWO MONTHS ENDED MAY 31, 2022    </v>
      </c>
      <c r="B6" s="141"/>
      <c r="C6" s="142"/>
      <c r="D6" s="137"/>
      <c r="E6" s="142"/>
      <c r="F6" s="137"/>
      <c r="G6" s="137"/>
      <c r="H6" s="137"/>
      <c r="I6" s="137"/>
      <c r="J6" s="137"/>
      <c r="K6" s="137"/>
    </row>
    <row r="7" spans="1:11" s="3863" customFormat="1" ht="18" customHeight="1">
      <c r="A7" s="185" t="s">
        <v>1251</v>
      </c>
      <c r="B7" s="142"/>
      <c r="C7" s="142"/>
      <c r="D7" s="137"/>
      <c r="E7" s="142"/>
      <c r="F7" s="137"/>
      <c r="G7" s="137"/>
      <c r="H7" s="137"/>
      <c r="I7" s="137"/>
      <c r="J7" s="137"/>
      <c r="K7" s="137"/>
    </row>
    <row r="8" spans="1:11" ht="18">
      <c r="A8" s="143"/>
      <c r="B8" s="137"/>
      <c r="C8" s="137"/>
      <c r="D8" s="137"/>
      <c r="E8" s="137"/>
      <c r="F8" s="137"/>
      <c r="G8" s="137"/>
      <c r="H8" s="137"/>
      <c r="I8" s="137"/>
      <c r="J8" s="137"/>
      <c r="K8" s="137"/>
    </row>
    <row r="9" spans="1:11">
      <c r="A9" s="144"/>
      <c r="B9" s="137"/>
      <c r="C9" s="137"/>
      <c r="D9" s="137"/>
      <c r="E9" s="137"/>
      <c r="F9" s="137"/>
      <c r="G9" s="137"/>
      <c r="H9" s="137"/>
      <c r="I9" s="137"/>
      <c r="J9" s="137"/>
      <c r="K9" s="137"/>
    </row>
    <row r="10" spans="1:11">
      <c r="A10" s="144"/>
      <c r="B10" s="137"/>
      <c r="C10" s="137"/>
      <c r="D10" s="137"/>
      <c r="E10" s="137"/>
      <c r="F10" s="137"/>
      <c r="G10" s="137"/>
      <c r="H10" s="137"/>
      <c r="I10" s="137"/>
      <c r="J10" s="137"/>
      <c r="K10" s="137"/>
    </row>
    <row r="11" spans="1:11" ht="15.75">
      <c r="A11" s="669"/>
      <c r="B11" s="145"/>
      <c r="C11" s="3942" t="s">
        <v>1487</v>
      </c>
      <c r="D11" s="3942"/>
      <c r="E11" s="3942"/>
      <c r="F11" s="3942"/>
      <c r="G11" s="3942"/>
      <c r="H11" s="3942"/>
      <c r="I11" s="3942"/>
      <c r="J11" s="1154"/>
      <c r="K11" s="1150"/>
    </row>
    <row r="12" spans="1:11" ht="15.75">
      <c r="A12" s="669"/>
      <c r="B12" s="145"/>
      <c r="C12" s="146"/>
      <c r="D12" s="146"/>
      <c r="E12" s="146"/>
      <c r="F12" s="146"/>
      <c r="G12" s="146"/>
      <c r="H12" s="146"/>
      <c r="I12" s="147" t="s">
        <v>82</v>
      </c>
      <c r="J12" s="147"/>
      <c r="K12" s="147" t="s">
        <v>82</v>
      </c>
    </row>
    <row r="13" spans="1:11" ht="15.75">
      <c r="A13" s="669"/>
      <c r="B13" s="145"/>
      <c r="C13" s="146"/>
      <c r="D13" s="146"/>
      <c r="E13" s="146"/>
      <c r="F13" s="146"/>
      <c r="G13" s="146"/>
      <c r="H13" s="146"/>
      <c r="I13" s="147" t="s">
        <v>784</v>
      </c>
      <c r="J13" s="147"/>
      <c r="K13" s="147" t="s">
        <v>784</v>
      </c>
    </row>
    <row r="14" spans="1:11" ht="15.75">
      <c r="A14" s="669"/>
      <c r="B14" s="145"/>
      <c r="C14" s="148" t="s">
        <v>977</v>
      </c>
      <c r="D14" s="146"/>
      <c r="E14" s="147" t="s">
        <v>978</v>
      </c>
      <c r="F14" s="146"/>
      <c r="G14" s="146"/>
      <c r="H14" s="146"/>
      <c r="I14" s="147" t="s">
        <v>83</v>
      </c>
      <c r="J14" s="147"/>
      <c r="K14" s="147" t="s">
        <v>83</v>
      </c>
    </row>
    <row r="15" spans="1:11" ht="15.75">
      <c r="A15" s="669"/>
      <c r="B15" s="145"/>
      <c r="C15" s="193" t="s">
        <v>1013</v>
      </c>
      <c r="D15" s="192"/>
      <c r="E15" s="193" t="s">
        <v>1013</v>
      </c>
      <c r="F15" s="146"/>
      <c r="G15" s="146"/>
      <c r="H15" s="146"/>
      <c r="I15" s="147" t="s">
        <v>977</v>
      </c>
      <c r="J15" s="147"/>
      <c r="K15" s="147" t="s">
        <v>978</v>
      </c>
    </row>
    <row r="16" spans="1:11" ht="15.75">
      <c r="A16" s="669"/>
      <c r="B16" s="145"/>
      <c r="C16" s="193" t="s">
        <v>1014</v>
      </c>
      <c r="D16" s="192"/>
      <c r="E16" s="147" t="s">
        <v>1485</v>
      </c>
      <c r="F16" s="146"/>
      <c r="G16" s="148" t="s">
        <v>82</v>
      </c>
      <c r="H16" s="146"/>
      <c r="I16" s="147" t="s">
        <v>84</v>
      </c>
      <c r="J16" s="147"/>
      <c r="K16" s="147" t="s">
        <v>84</v>
      </c>
    </row>
    <row r="17" spans="1:12">
      <c r="A17" s="149"/>
      <c r="B17" s="150"/>
      <c r="C17" s="1594"/>
      <c r="D17" s="142"/>
      <c r="E17" s="1594"/>
      <c r="F17" s="137"/>
      <c r="G17" s="151"/>
      <c r="H17" s="137"/>
      <c r="I17" s="151"/>
      <c r="J17" s="150"/>
      <c r="K17" s="151"/>
    </row>
    <row r="18" spans="1:12" ht="15.75">
      <c r="A18" s="26" t="s">
        <v>13</v>
      </c>
      <c r="B18" s="901"/>
      <c r="C18" s="1595"/>
      <c r="D18" s="1595"/>
      <c r="E18" s="1595"/>
      <c r="F18" s="638"/>
      <c r="G18" s="638"/>
      <c r="H18" s="638"/>
      <c r="I18" s="901"/>
      <c r="J18" s="638"/>
      <c r="K18" s="901"/>
    </row>
    <row r="19" spans="1:12" ht="15" customHeight="1">
      <c r="A19" s="798" t="s">
        <v>85</v>
      </c>
      <c r="B19" s="902" t="s">
        <v>14</v>
      </c>
      <c r="C19" s="2088"/>
      <c r="D19" s="1887"/>
      <c r="E19" s="2088"/>
      <c r="F19" s="902"/>
      <c r="G19" s="903"/>
      <c r="H19" s="902"/>
      <c r="I19" s="1173"/>
      <c r="J19" s="903"/>
      <c r="K19" s="1173"/>
    </row>
    <row r="20" spans="1:12">
      <c r="A20" s="798" t="s">
        <v>86</v>
      </c>
      <c r="B20" s="902" t="s">
        <v>14</v>
      </c>
      <c r="C20" s="871">
        <f>'Exh D General Fund'!C20+'Exh D Special Revenue State Fed'!C20+'Exh D Debt Service'!C20</f>
        <v>16539</v>
      </c>
      <c r="D20" s="870"/>
      <c r="E20" s="871">
        <f>'Exh D General Fund'!E20+'Exh D Special Revenue State Fed'!E20+'Exh D Debt Service'!E20</f>
        <v>0</v>
      </c>
      <c r="F20" s="641"/>
      <c r="G20" s="639">
        <f>+'Exh A Supp'!T15</f>
        <v>17445.8</v>
      </c>
      <c r="H20" s="641"/>
      <c r="I20" s="3902">
        <f t="shared" ref="I20:I24" si="0">ROUND(SUM(G20)-SUM(C20),1)</f>
        <v>906.8</v>
      </c>
      <c r="J20" s="904"/>
      <c r="K20" s="948">
        <v>0</v>
      </c>
    </row>
    <row r="21" spans="1:12">
      <c r="A21" s="798" t="s">
        <v>87</v>
      </c>
      <c r="B21" s="901" t="s">
        <v>14</v>
      </c>
      <c r="C21" s="872">
        <f>'Exh D General Fund'!C21+'Exh D Special Revenue State Fed'!C21+'Exh D Debt Service'!C21</f>
        <v>2982</v>
      </c>
      <c r="D21" s="872"/>
      <c r="E21" s="872">
        <f>'Exh D General Fund'!E21+'Exh D Special Revenue State Fed'!E21+'Exh D Debt Service'!E21</f>
        <v>0</v>
      </c>
      <c r="F21" s="624"/>
      <c r="G21" s="624">
        <f>+'Exh A Supp'!T16</f>
        <v>3007.6</v>
      </c>
      <c r="H21" s="624"/>
      <c r="I21" s="3768">
        <f t="shared" si="0"/>
        <v>25.6</v>
      </c>
      <c r="J21" s="904"/>
      <c r="K21" s="920">
        <v>0</v>
      </c>
    </row>
    <row r="22" spans="1:12" ht="15" customHeight="1">
      <c r="A22" s="798" t="s">
        <v>88</v>
      </c>
      <c r="B22" s="902" t="s">
        <v>14</v>
      </c>
      <c r="C22" s="872">
        <f>'Exh D General Fund'!C22+'Exh D Special Revenue State Fed'!C22+'Exh D Debt Service'!C22</f>
        <v>1737</v>
      </c>
      <c r="D22" s="663"/>
      <c r="E22" s="872">
        <f>'Exh D General Fund'!E22+'Exh D Special Revenue State Fed'!E22+'Exh D Debt Service'!E22</f>
        <v>0</v>
      </c>
      <c r="F22" s="661"/>
      <c r="G22" s="624">
        <f>+'Exh A Supp'!T17</f>
        <v>1715.6</v>
      </c>
      <c r="H22" s="661"/>
      <c r="I22" s="3768">
        <f t="shared" si="0"/>
        <v>-21.4</v>
      </c>
      <c r="J22" s="904"/>
      <c r="K22" s="920">
        <v>0</v>
      </c>
    </row>
    <row r="23" spans="1:12" ht="14.25" customHeight="1">
      <c r="A23" s="798" t="s">
        <v>89</v>
      </c>
      <c r="B23" s="901" t="s">
        <v>14</v>
      </c>
      <c r="C23" s="872">
        <f>'Exh D General Fund'!C23+'Exh D Debt Service'!C23</f>
        <v>522</v>
      </c>
      <c r="D23" s="872"/>
      <c r="E23" s="872">
        <f>'Exh D General Fund'!E23+'Exh D Debt Service'!E23</f>
        <v>0</v>
      </c>
      <c r="F23" s="624"/>
      <c r="G23" s="624">
        <f>+'Exh A Supp'!T18</f>
        <v>539.1</v>
      </c>
      <c r="H23" s="624"/>
      <c r="I23" s="3768">
        <f t="shared" si="0"/>
        <v>17.100000000000001</v>
      </c>
      <c r="J23" s="904"/>
      <c r="K23" s="920">
        <v>0</v>
      </c>
    </row>
    <row r="24" spans="1:12">
      <c r="A24" s="798" t="s">
        <v>19</v>
      </c>
      <c r="B24" s="901" t="s">
        <v>14</v>
      </c>
      <c r="C24" s="872">
        <f>'Exh D General Fund'!C24+'Exh D Special Revenue State Fed'!C23+'Exh D Debt Service'!C24</f>
        <v>3229</v>
      </c>
      <c r="D24" s="872"/>
      <c r="E24" s="872">
        <f>'Exh D General Fund'!E24+'Exh D Special Revenue State Fed'!E23+'Exh D Debt Service'!E24</f>
        <v>0</v>
      </c>
      <c r="F24" s="624"/>
      <c r="G24" s="624">
        <f>+'Exh A Supp'!T19</f>
        <v>3156.2</v>
      </c>
      <c r="H24" s="624"/>
      <c r="I24" s="3768">
        <f t="shared" si="0"/>
        <v>-72.8</v>
      </c>
      <c r="J24" s="793"/>
      <c r="K24" s="920">
        <v>0</v>
      </c>
    </row>
    <row r="25" spans="1:12" ht="15" customHeight="1">
      <c r="A25" s="798" t="s">
        <v>20</v>
      </c>
      <c r="B25" s="901" t="s">
        <v>14</v>
      </c>
      <c r="C25" s="664">
        <f>'Exh D General Fund'!C25+'Exh D Special Revenue State Fed'!C24+'Exh D Debt Service'!C25</f>
        <v>0</v>
      </c>
      <c r="D25" s="872"/>
      <c r="E25" s="664">
        <f>'Exh D General Fund'!E25+'Exh D Special Revenue State Fed'!E24+'Exh D Debt Service'!E25</f>
        <v>0</v>
      </c>
      <c r="F25" s="624"/>
      <c r="G25" s="624">
        <f>+'Exh A Supp'!T20</f>
        <v>0.2</v>
      </c>
      <c r="H25" s="624"/>
      <c r="I25" s="3768">
        <f t="shared" ref="I25" si="1">ROUND(SUM(G25)-SUM(C25),1)</f>
        <v>0.2</v>
      </c>
      <c r="J25" s="793"/>
      <c r="K25" s="920">
        <v>0</v>
      </c>
    </row>
    <row r="26" spans="1:12" ht="15.75">
      <c r="A26" s="167" t="s">
        <v>90</v>
      </c>
      <c r="B26" s="145" t="s">
        <v>14</v>
      </c>
      <c r="C26" s="1448">
        <f>ROUND(SUM(C20:C25),1)</f>
        <v>25009</v>
      </c>
      <c r="D26" s="106"/>
      <c r="E26" s="1448">
        <f>ROUND(SUM(E20:E25),1)</f>
        <v>0</v>
      </c>
      <c r="F26" s="899"/>
      <c r="G26" s="209">
        <f>ROUND(SUM(G20:G25),1)</f>
        <v>25864.5</v>
      </c>
      <c r="H26" s="899"/>
      <c r="I26" s="209">
        <f>ROUND(SUM(I20:I25),1)</f>
        <v>855.5</v>
      </c>
      <c r="J26" s="160"/>
      <c r="K26" s="209">
        <f>ROUND(SUM(K20:K25),1)</f>
        <v>0</v>
      </c>
      <c r="L26" s="348"/>
    </row>
    <row r="27" spans="1:12">
      <c r="A27" s="669"/>
      <c r="B27" s="901" t="s">
        <v>14</v>
      </c>
      <c r="C27" s="1019"/>
      <c r="D27" s="872"/>
      <c r="E27" s="1019"/>
      <c r="F27" s="624"/>
      <c r="G27" s="667"/>
      <c r="H27" s="624"/>
      <c r="I27" s="667"/>
      <c r="J27" s="648"/>
      <c r="K27" s="667"/>
    </row>
    <row r="28" spans="1:12" ht="15.75">
      <c r="A28" s="26" t="s">
        <v>22</v>
      </c>
      <c r="B28" s="901" t="s">
        <v>14</v>
      </c>
      <c r="C28" s="872"/>
      <c r="D28" s="872"/>
      <c r="E28" s="872"/>
      <c r="F28" s="624"/>
      <c r="G28" s="624"/>
      <c r="H28" s="624"/>
      <c r="I28" s="920"/>
      <c r="J28" s="793"/>
      <c r="K28" s="920"/>
    </row>
    <row r="29" spans="1:12">
      <c r="A29" s="798" t="s">
        <v>91</v>
      </c>
      <c r="B29" s="901" t="s">
        <v>14</v>
      </c>
      <c r="C29" s="664">
        <f>'Exh D General Fund'!C34+'Exh D Special Revenue State Fed'!C29</f>
        <v>13185</v>
      </c>
      <c r="D29" s="872"/>
      <c r="E29" s="664">
        <f>'Exh D General Fund'!E34+'Exh D Special Revenue State Fed'!E29</f>
        <v>0</v>
      </c>
      <c r="F29" s="624"/>
      <c r="G29" s="665">
        <f>+'Exh A Supp'!T35</f>
        <v>12264.4</v>
      </c>
      <c r="H29" s="624"/>
      <c r="I29" s="3768">
        <f t="shared" ref="I29:I32" si="2">ROUND(SUM(G29)-SUM(C29),1)</f>
        <v>-920.6</v>
      </c>
      <c r="J29" s="793"/>
      <c r="K29" s="920">
        <v>0</v>
      </c>
      <c r="L29" s="348"/>
    </row>
    <row r="30" spans="1:12">
      <c r="A30" s="798" t="s">
        <v>92</v>
      </c>
      <c r="B30" s="901" t="s">
        <v>14</v>
      </c>
      <c r="C30" s="663">
        <f>'Exh D General Fund'!C35+'Exh D Special Revenue State Fed'!C30+'Exh D Debt Service'!C30</f>
        <v>3144</v>
      </c>
      <c r="D30" s="872"/>
      <c r="E30" s="663">
        <f>'Exh D General Fund'!E35+'Exh D Special Revenue State Fed'!E30+'Exh D Debt Service'!E30</f>
        <v>0</v>
      </c>
      <c r="F30" s="624"/>
      <c r="G30" s="661">
        <f>+'Exh A Supp'!T37+'Exh A Supp'!T38</f>
        <v>3101.1</v>
      </c>
      <c r="H30" s="624"/>
      <c r="I30" s="3768">
        <f t="shared" si="2"/>
        <v>-42.9</v>
      </c>
      <c r="J30" s="793"/>
      <c r="K30" s="920">
        <v>0</v>
      </c>
      <c r="L30" s="348"/>
    </row>
    <row r="31" spans="1:12">
      <c r="A31" s="798" t="s">
        <v>68</v>
      </c>
      <c r="B31" s="901" t="s">
        <v>14</v>
      </c>
      <c r="C31" s="664">
        <f>'Exh D General Fund'!C36+'Exh D Special Revenue State Fed'!C31</f>
        <v>2952</v>
      </c>
      <c r="D31" s="872"/>
      <c r="E31" s="664">
        <f>'Exh D General Fund'!E36+'Exh D Special Revenue State Fed'!E31</f>
        <v>0</v>
      </c>
      <c r="F31" s="624"/>
      <c r="G31" s="665">
        <f>+'Exh A Supp'!T39</f>
        <v>2907.6</v>
      </c>
      <c r="H31" s="624"/>
      <c r="I31" s="3768">
        <f t="shared" si="2"/>
        <v>-44.4</v>
      </c>
      <c r="J31" s="793"/>
      <c r="K31" s="920">
        <v>0</v>
      </c>
      <c r="L31" s="348"/>
    </row>
    <row r="32" spans="1:12">
      <c r="A32" s="798" t="s">
        <v>93</v>
      </c>
      <c r="B32" s="901" t="s">
        <v>14</v>
      </c>
      <c r="C32" s="663">
        <f>'Exh D Debt Service'!C31</f>
        <v>145</v>
      </c>
      <c r="D32" s="872"/>
      <c r="E32" s="663">
        <f>'Exh D Debt Service'!E31</f>
        <v>0</v>
      </c>
      <c r="F32" s="624"/>
      <c r="G32" s="665">
        <f>+'Exh A Supp'!T41</f>
        <v>145.30000000000001</v>
      </c>
      <c r="H32" s="624"/>
      <c r="I32" s="3768">
        <f t="shared" si="2"/>
        <v>0.3</v>
      </c>
      <c r="J32" s="793"/>
      <c r="K32" s="920">
        <v>0</v>
      </c>
      <c r="L32" s="348"/>
    </row>
    <row r="33" spans="1:12">
      <c r="A33" s="798" t="s">
        <v>41</v>
      </c>
      <c r="B33" s="901"/>
      <c r="C33" s="663">
        <f>'Exh D Special Revenue State Fed'!C33</f>
        <v>0</v>
      </c>
      <c r="D33" s="872"/>
      <c r="E33" s="663">
        <f>'Exh D Special Revenue State Fed'!E33</f>
        <v>0</v>
      </c>
      <c r="F33" s="1489"/>
      <c r="G33" s="665">
        <f>'Exh D Special Revenue State Fed'!G33</f>
        <v>0</v>
      </c>
      <c r="H33" s="1489"/>
      <c r="I33" s="3768">
        <f t="shared" ref="I33" si="3">ROUND(SUM(G33)-SUM(C33),1)</f>
        <v>0</v>
      </c>
      <c r="J33" s="793"/>
      <c r="K33" s="920">
        <f>G33-E33</f>
        <v>0</v>
      </c>
      <c r="L33" s="348"/>
    </row>
    <row r="34" spans="1:12" ht="15.75" customHeight="1">
      <c r="A34" s="167" t="s">
        <v>94</v>
      </c>
      <c r="B34" s="145" t="s">
        <v>14</v>
      </c>
      <c r="C34" s="1073">
        <f>ROUND(SUM(C29:C33),1)</f>
        <v>19426</v>
      </c>
      <c r="D34" s="106"/>
      <c r="E34" s="1073">
        <f>ROUND(SUM(E29:E33),1)</f>
        <v>0</v>
      </c>
      <c r="F34" s="899"/>
      <c r="G34" s="288">
        <f>ROUND(SUM(G29:G33),1)</f>
        <v>18418.400000000001</v>
      </c>
      <c r="H34" s="899"/>
      <c r="I34" s="288">
        <f>ROUND(SUM(I29:I33),1)</f>
        <v>-1007.6</v>
      </c>
      <c r="J34" s="160"/>
      <c r="K34" s="288">
        <f>ROUND(SUM(K29:K33),1)</f>
        <v>0</v>
      </c>
      <c r="L34" s="348"/>
    </row>
    <row r="35" spans="1:12">
      <c r="A35" s="669"/>
      <c r="B35" s="901"/>
      <c r="C35" s="872"/>
      <c r="D35" s="872"/>
      <c r="E35" s="872"/>
      <c r="F35" s="624"/>
      <c r="G35" s="624"/>
      <c r="H35" s="624"/>
      <c r="I35" s="920"/>
      <c r="J35" s="793"/>
      <c r="K35" s="920"/>
      <c r="L35" s="348"/>
    </row>
    <row r="36" spans="1:12" ht="15.75">
      <c r="A36" s="167" t="s">
        <v>43</v>
      </c>
      <c r="B36" s="901"/>
      <c r="C36" s="872"/>
      <c r="D36" s="872"/>
      <c r="E36" s="872"/>
      <c r="F36" s="624"/>
      <c r="G36" s="624"/>
      <c r="H36" s="624"/>
      <c r="I36" s="920"/>
      <c r="J36" s="793"/>
      <c r="K36" s="920"/>
      <c r="L36" s="348"/>
    </row>
    <row r="37" spans="1:12" ht="15.75">
      <c r="A37" s="167" t="s">
        <v>44</v>
      </c>
      <c r="B37" s="901" t="s">
        <v>14</v>
      </c>
      <c r="C37" s="1084">
        <f>ROUND(SUM(+C26-C34),1)</f>
        <v>5583</v>
      </c>
      <c r="D37" s="872"/>
      <c r="E37" s="1084">
        <f>ROUND(SUM(+E26-E34),1)</f>
        <v>0</v>
      </c>
      <c r="F37" s="624"/>
      <c r="G37" s="806">
        <f>ROUND(SUM(+G26-G34),1)</f>
        <v>7446.1</v>
      </c>
      <c r="H37" s="624"/>
      <c r="I37" s="806">
        <f>ROUND(SUM(+I26-I34),1)</f>
        <v>1863.1</v>
      </c>
      <c r="J37" s="648"/>
      <c r="K37" s="806">
        <f>ROUND(SUM(+K26-K34),1)</f>
        <v>0</v>
      </c>
      <c r="L37" s="348"/>
    </row>
    <row r="38" spans="1:12">
      <c r="A38" s="669"/>
      <c r="B38" s="901"/>
      <c r="C38" s="872"/>
      <c r="D38" s="872"/>
      <c r="E38" s="872"/>
      <c r="F38" s="624"/>
      <c r="G38" s="624"/>
      <c r="H38" s="624"/>
      <c r="I38" s="920"/>
      <c r="J38" s="793"/>
      <c r="K38" s="920"/>
      <c r="L38" s="348"/>
    </row>
    <row r="39" spans="1:12" ht="15.75">
      <c r="A39" s="167" t="s">
        <v>45</v>
      </c>
      <c r="B39" s="901"/>
      <c r="C39" s="872"/>
      <c r="D39" s="872"/>
      <c r="E39" s="872"/>
      <c r="F39" s="624"/>
      <c r="G39" s="624"/>
      <c r="H39" s="624"/>
      <c r="I39" s="920"/>
      <c r="J39" s="793"/>
      <c r="K39" s="920"/>
      <c r="L39" s="348"/>
    </row>
    <row r="40" spans="1:12">
      <c r="A40" s="798" t="s">
        <v>46</v>
      </c>
      <c r="B40" s="901" t="s">
        <v>14</v>
      </c>
      <c r="C40" s="663">
        <f>'Exh D General Fund'!C27+'Exh D General Fund'!C28+'Exh D General Fund'!C29+'Exh D General Fund'!C30+'Exh D Special Revenue State Fed'!C25+'Exh D Debt Service'!C26</f>
        <v>11770</v>
      </c>
      <c r="D40" s="872"/>
      <c r="E40" s="663">
        <f>'Exh D General Fund'!E27+'Exh D General Fund'!E28+'Exh D General Fund'!E29+'Exh D General Fund'!E30+'Exh D Special Revenue State Fed'!E25+'Exh D Debt Service'!E26</f>
        <v>0</v>
      </c>
      <c r="F40" s="624"/>
      <c r="G40" s="661">
        <f>+'Exh A Supp'!T49</f>
        <v>12396.2</v>
      </c>
      <c r="H40" s="1334" t="s">
        <v>764</v>
      </c>
      <c r="I40" s="3768">
        <f t="shared" ref="I40:I41" si="4">ROUND(SUM(G40)-SUM(C40),1)</f>
        <v>626.20000000000005</v>
      </c>
      <c r="J40" s="793"/>
      <c r="K40" s="920">
        <v>0</v>
      </c>
      <c r="L40" s="348"/>
    </row>
    <row r="41" spans="1:12">
      <c r="A41" s="798" t="s">
        <v>96</v>
      </c>
      <c r="B41" s="901" t="s">
        <v>14</v>
      </c>
      <c r="C41" s="1447">
        <f>-('Exh D General Fund'!C38+'Exh D General Fund'!C39+'Exh D General Fund'!C40+'Exh D General Fund'!C41+'Exh D General Fund'!C42+'Exh D Special Revenue State Fed'!C34+'Exh D Debt Service'!C32)</f>
        <v>-11093</v>
      </c>
      <c r="D41" s="872"/>
      <c r="E41" s="1447">
        <f>-('Exh D General Fund'!E38+'Exh D General Fund'!E39+'Exh D General Fund'!E40+'Exh D General Fund'!E41+'Exh D General Fund'!E42+'Exh D Special Revenue State Fed'!E34+'Exh D Debt Service'!E32)</f>
        <v>0</v>
      </c>
      <c r="F41" s="624"/>
      <c r="G41" s="661">
        <f>+'Exh A Supp'!T50</f>
        <v>-11223.9</v>
      </c>
      <c r="H41" s="1334" t="s">
        <v>764</v>
      </c>
      <c r="I41" s="3768">
        <f t="shared" si="4"/>
        <v>-130.9</v>
      </c>
      <c r="J41" s="648"/>
      <c r="K41" s="920">
        <v>0</v>
      </c>
      <c r="L41" s="348"/>
    </row>
    <row r="42" spans="1:12" ht="15.75">
      <c r="A42" s="167" t="s">
        <v>97</v>
      </c>
      <c r="B42" s="901" t="s">
        <v>14</v>
      </c>
      <c r="C42" s="1073">
        <f>ROUND(SUM(C40:C41),1)</f>
        <v>677</v>
      </c>
      <c r="D42" s="872"/>
      <c r="E42" s="1073">
        <f>ROUND(SUM(E40:E41),1)</f>
        <v>0</v>
      </c>
      <c r="F42" s="624"/>
      <c r="G42" s="288">
        <f>ROUND(SUM(G40:G41),1)</f>
        <v>1172.3</v>
      </c>
      <c r="H42" s="624"/>
      <c r="I42" s="288">
        <f>ROUND(SUM(I40-I41),1)</f>
        <v>757.1</v>
      </c>
      <c r="J42" s="907"/>
      <c r="K42" s="288">
        <f>ROUND(SUM(K40-K41),1)</f>
        <v>0</v>
      </c>
      <c r="L42" s="348"/>
    </row>
    <row r="43" spans="1:12" ht="15.75">
      <c r="A43" s="167"/>
      <c r="B43" s="901"/>
      <c r="C43" s="663"/>
      <c r="D43" s="872"/>
      <c r="E43" s="663"/>
      <c r="F43" s="624"/>
      <c r="G43" s="661"/>
      <c r="H43" s="624"/>
      <c r="I43" s="921"/>
      <c r="J43" s="902"/>
      <c r="K43" s="921"/>
      <c r="L43" s="348"/>
    </row>
    <row r="44" spans="1:12" ht="15.75">
      <c r="A44" s="26" t="s">
        <v>98</v>
      </c>
      <c r="B44" s="901"/>
      <c r="C44" s="872"/>
      <c r="D44" s="872"/>
      <c r="E44" s="872"/>
      <c r="F44" s="624"/>
      <c r="G44" s="624"/>
      <c r="H44" s="624"/>
      <c r="I44" s="920"/>
      <c r="J44" s="793"/>
      <c r="K44" s="920"/>
      <c r="L44" s="348"/>
    </row>
    <row r="45" spans="1:12" ht="15" customHeight="1">
      <c r="A45" s="26" t="s">
        <v>99</v>
      </c>
      <c r="B45" s="901"/>
      <c r="C45" s="872"/>
      <c r="D45" s="872"/>
      <c r="E45" s="872"/>
      <c r="F45" s="624"/>
      <c r="G45" s="624"/>
      <c r="H45" s="624"/>
      <c r="I45" s="920"/>
      <c r="J45" s="793"/>
      <c r="K45" s="920"/>
      <c r="L45" s="348"/>
    </row>
    <row r="46" spans="1:12" ht="15.75">
      <c r="A46" s="167" t="s">
        <v>100</v>
      </c>
      <c r="B46" s="168" t="s">
        <v>14</v>
      </c>
      <c r="C46" s="109">
        <f>ROUND(SUM(C26)-SUM(C34)+C42,1)</f>
        <v>6260</v>
      </c>
      <c r="D46" s="1082"/>
      <c r="E46" s="109">
        <f>ROUND(SUM(E26)-SUM(E34)+E42,1)</f>
        <v>0</v>
      </c>
      <c r="F46" s="79"/>
      <c r="G46" s="71">
        <f>ROUND(SUM(G26)-SUM(G34)+G42,1)</f>
        <v>8618.4</v>
      </c>
      <c r="H46" s="79"/>
      <c r="I46" s="71">
        <f>ROUND(SUM(I26)-SUM(I34)+I42,1)</f>
        <v>2620.1999999999998</v>
      </c>
      <c r="J46" s="160"/>
      <c r="K46" s="71">
        <f>ROUND(SUM(K26)-SUM(K34)+K42,1)</f>
        <v>0</v>
      </c>
      <c r="L46" s="348"/>
    </row>
    <row r="47" spans="1:12">
      <c r="A47" s="908"/>
      <c r="B47" s="603"/>
      <c r="C47" s="1449"/>
      <c r="D47" s="1604"/>
      <c r="E47" s="1449"/>
      <c r="F47" s="909"/>
      <c r="G47" s="650"/>
      <c r="H47" s="909"/>
      <c r="I47" s="650"/>
      <c r="J47" s="910"/>
      <c r="K47" s="650"/>
      <c r="L47" s="348"/>
    </row>
    <row r="48" spans="1:12" ht="15.75">
      <c r="A48" s="167" t="str">
        <f>'Exh D-Governmental  '!A49</f>
        <v>Fund Balances (Deficits) at April 1</v>
      </c>
      <c r="B48" s="911" t="s">
        <v>14</v>
      </c>
      <c r="C48" s="109">
        <f>'Exh D General Fund'!C49+'Exh D Special Revenue State Fed'!C41+'Exh D Debt Service'!C39</f>
        <v>40767</v>
      </c>
      <c r="D48" s="1604"/>
      <c r="E48" s="109">
        <v>0</v>
      </c>
      <c r="F48" s="909"/>
      <c r="G48" s="71">
        <f>'Exh A Supp'!T57</f>
        <v>40767.199999999997</v>
      </c>
      <c r="H48" s="909"/>
      <c r="I48" s="2961">
        <f t="shared" ref="I48" si="5">ROUND(SUM(G48)-SUM(C48),1)</f>
        <v>0.2</v>
      </c>
      <c r="J48" s="160"/>
      <c r="K48" s="1490">
        <v>0</v>
      </c>
      <c r="L48" s="348"/>
    </row>
    <row r="49" spans="1:12" ht="16.5" thickBot="1">
      <c r="A49" s="167" t="str">
        <f>'Exh D-Governmental  '!A50</f>
        <v>Fund Balances (Deficits) at May 31, 2022</v>
      </c>
      <c r="B49" s="174" t="s">
        <v>14</v>
      </c>
      <c r="C49" s="1450">
        <f>ROUND(SUM(C46:C48),1)</f>
        <v>47027</v>
      </c>
      <c r="D49" s="2002"/>
      <c r="E49" s="1450">
        <f>ROUND(SUM(E46:E48),1)</f>
        <v>0</v>
      </c>
      <c r="F49" s="175"/>
      <c r="G49" s="92">
        <f>ROUND(SUM(G46:G48),1)</f>
        <v>49385.599999999999</v>
      </c>
      <c r="H49" s="952"/>
      <c r="I49" s="92">
        <f>ROUND(SUM(I46:I48),1)</f>
        <v>2620.4</v>
      </c>
      <c r="J49" s="176"/>
      <c r="K49" s="92">
        <f>ROUND(SUM(K46:K48),1)</f>
        <v>0</v>
      </c>
      <c r="L49" s="348"/>
    </row>
    <row r="50" spans="1:12" ht="15.75" thickTop="1">
      <c r="A50" s="908"/>
      <c r="B50" s="603"/>
      <c r="C50" s="1892"/>
      <c r="D50" s="928"/>
      <c r="E50" s="1892"/>
      <c r="F50" s="912"/>
      <c r="G50" s="912"/>
      <c r="H50" s="912"/>
      <c r="I50" s="912"/>
      <c r="J50" s="912"/>
      <c r="K50" s="912"/>
    </row>
    <row r="51" spans="1:12">
      <c r="A51" s="913" t="str">
        <f>'Exh D-Governmental  '!A52</f>
        <v>(*)    Source: 2022-23 Enacted Financial Plan dated May 20, 2022.</v>
      </c>
      <c r="G51" s="1151"/>
      <c r="I51" s="1151"/>
      <c r="K51" s="1151"/>
    </row>
    <row r="52" spans="1:12">
      <c r="A52" s="3743" t="s">
        <v>1488</v>
      </c>
      <c r="G52" s="1151"/>
      <c r="I52" s="1151"/>
      <c r="K52" s="1151"/>
    </row>
    <row r="53" spans="1:12">
      <c r="A53" s="3743" t="s">
        <v>1520</v>
      </c>
      <c r="I53" s="1151"/>
      <c r="K53" s="1151"/>
    </row>
    <row r="54" spans="1:12">
      <c r="A54" s="3744" t="s">
        <v>1489</v>
      </c>
    </row>
    <row r="55" spans="1:12">
      <c r="G55" s="1151"/>
    </row>
  </sheetData>
  <mergeCells count="2">
    <mergeCell ref="A5:E5"/>
    <mergeCell ref="C11:I11"/>
  </mergeCells>
  <printOptions horizontalCentered="1"/>
  <pageMargins left="0.7" right="0.7" top="0.75" bottom="1" header="0.3" footer="0.3"/>
  <pageSetup scale="59"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1"/>
  <sheetViews>
    <sheetView showGridLines="0" zoomScale="90" zoomScaleNormal="70" workbookViewId="0"/>
  </sheetViews>
  <sheetFormatPr defaultColWidth="8.6640625" defaultRowHeight="15"/>
  <cols>
    <col min="1" max="1" width="59" style="908" customWidth="1"/>
    <col min="2" max="2" width="2" style="603" customWidth="1"/>
    <col min="3" max="3" width="15.109375" style="416" customWidth="1"/>
    <col min="4" max="4" width="1.6640625" style="912" customWidth="1"/>
    <col min="5" max="5" width="15.109375" style="416" customWidth="1"/>
    <col min="6" max="6" width="2.6640625" style="912" customWidth="1"/>
    <col min="7" max="7" width="15.109375" style="912" customWidth="1"/>
    <col min="8" max="8" width="4.6640625" style="912" customWidth="1"/>
    <col min="9" max="9" width="15.109375" style="912" customWidth="1"/>
    <col min="10" max="10" width="2.109375" style="912" customWidth="1"/>
    <col min="11" max="11" width="12.6640625" style="603" customWidth="1"/>
    <col min="12" max="12" width="18.109375" style="416" bestFit="1" customWidth="1"/>
    <col min="13" max="16384" width="8.6640625" style="908"/>
  </cols>
  <sheetData>
    <row r="1" spans="1:12">
      <c r="A1" s="914" t="s">
        <v>870</v>
      </c>
      <c r="B1" s="180"/>
      <c r="C1" s="410"/>
      <c r="D1" s="181"/>
      <c r="E1" s="410"/>
      <c r="F1" s="181"/>
      <c r="G1" s="181"/>
      <c r="H1" s="181"/>
      <c r="I1" s="181"/>
      <c r="J1" s="181"/>
      <c r="K1" s="180"/>
      <c r="L1" s="410"/>
    </row>
    <row r="2" spans="1:12" ht="17.25" customHeight="1">
      <c r="A2" s="182"/>
      <c r="B2" s="183"/>
      <c r="C2" s="411"/>
      <c r="D2" s="181"/>
      <c r="E2" s="411"/>
      <c r="F2" s="181"/>
      <c r="G2" s="181"/>
      <c r="H2" s="181"/>
      <c r="I2" s="181"/>
      <c r="J2" s="181"/>
      <c r="K2" s="180"/>
      <c r="L2" s="410"/>
    </row>
    <row r="3" spans="1:12" s="3862" customFormat="1" ht="18.75" customHeight="1">
      <c r="A3" s="185" t="s">
        <v>0</v>
      </c>
      <c r="B3" s="142"/>
      <c r="C3" s="412"/>
      <c r="D3" s="137"/>
      <c r="E3" s="412"/>
      <c r="F3" s="137"/>
      <c r="G3" s="137"/>
      <c r="H3" s="137"/>
      <c r="I3" s="799"/>
      <c r="J3" s="638"/>
      <c r="K3" s="799" t="s">
        <v>81</v>
      </c>
      <c r="L3" s="413"/>
    </row>
    <row r="4" spans="1:12" s="3862" customFormat="1" ht="18.75" customHeight="1">
      <c r="A4" s="185" t="s">
        <v>80</v>
      </c>
      <c r="B4" s="142"/>
      <c r="C4" s="412"/>
      <c r="D4" s="137"/>
      <c r="E4" s="412"/>
      <c r="F4" s="137"/>
      <c r="G4" s="137"/>
      <c r="H4" s="137"/>
      <c r="I4" s="800"/>
      <c r="J4" s="638"/>
      <c r="K4" s="800"/>
      <c r="L4" s="413"/>
    </row>
    <row r="5" spans="1:12" s="3862" customFormat="1" ht="18.75" customHeight="1">
      <c r="A5" s="3943" t="str">
        <f>'Exh D-Governmental  '!A5:E5</f>
        <v>FISCAL YEAR 2022-2023</v>
      </c>
      <c r="B5" s="3944"/>
      <c r="C5" s="3944"/>
      <c r="D5" s="3944"/>
      <c r="E5" s="3944"/>
      <c r="F5" s="137"/>
      <c r="G5" s="793"/>
      <c r="H5" s="137"/>
      <c r="I5" s="137"/>
      <c r="J5" s="137"/>
      <c r="K5" s="150"/>
      <c r="L5" s="413"/>
    </row>
    <row r="6" spans="1:12" s="3862" customFormat="1" ht="18.75" customHeight="1">
      <c r="A6" s="1437" t="str">
        <f>'Exh D-Governmental  '!A6</f>
        <v xml:space="preserve">FOR TWO MONTHS ENDED MAY 31, 2022    </v>
      </c>
      <c r="B6" s="3920"/>
      <c r="C6" s="3921"/>
      <c r="D6" s="3922"/>
      <c r="E6" s="3921"/>
      <c r="F6" s="137"/>
      <c r="G6" s="137"/>
      <c r="H6" s="137"/>
      <c r="I6" s="137"/>
      <c r="J6" s="137"/>
      <c r="K6" s="150"/>
      <c r="L6" s="413"/>
    </row>
    <row r="7" spans="1:12" s="3862" customFormat="1" ht="18.75" customHeight="1">
      <c r="A7" s="185" t="s">
        <v>1251</v>
      </c>
      <c r="B7" s="142"/>
      <c r="C7" s="412"/>
      <c r="D7" s="137"/>
      <c r="E7" s="412"/>
      <c r="F7" s="137"/>
      <c r="G7" s="137"/>
      <c r="H7" s="137"/>
      <c r="I7" s="137"/>
      <c r="J7" s="137"/>
      <c r="K7" s="150"/>
      <c r="L7" s="413"/>
    </row>
    <row r="8" spans="1:12" ht="15" customHeight="1">
      <c r="A8" s="187"/>
      <c r="B8" s="141"/>
      <c r="C8" s="412"/>
      <c r="D8" s="137"/>
      <c r="E8" s="412"/>
      <c r="F8" s="137"/>
      <c r="G8" s="137"/>
      <c r="H8" s="137"/>
      <c r="I8" s="137"/>
      <c r="J8" s="137"/>
      <c r="K8" s="150"/>
      <c r="L8" s="413"/>
    </row>
    <row r="9" spans="1:12">
      <c r="A9" s="144"/>
      <c r="B9" s="150"/>
      <c r="C9" s="413"/>
      <c r="D9" s="137"/>
      <c r="E9" s="413"/>
      <c r="F9" s="137"/>
      <c r="G9" s="137"/>
      <c r="H9" s="137"/>
      <c r="I9" s="137"/>
      <c r="J9" s="137"/>
      <c r="K9" s="150"/>
      <c r="L9" s="413"/>
    </row>
    <row r="10" spans="1:12">
      <c r="A10" s="144"/>
      <c r="B10" s="150"/>
      <c r="C10" s="413"/>
      <c r="D10" s="137"/>
      <c r="E10" s="413"/>
      <c r="F10" s="137"/>
      <c r="G10" s="137"/>
      <c r="H10" s="137"/>
      <c r="I10" s="137"/>
      <c r="J10" s="137"/>
      <c r="K10" s="150"/>
      <c r="L10" s="941"/>
    </row>
    <row r="11" spans="1:12" ht="15.75">
      <c r="A11" s="669"/>
      <c r="C11" s="3945" t="s">
        <v>1027</v>
      </c>
      <c r="D11" s="3945"/>
      <c r="E11" s="3945"/>
      <c r="F11" s="3945"/>
      <c r="G11" s="3945"/>
      <c r="H11" s="3945"/>
      <c r="I11" s="3945"/>
      <c r="J11" s="1152"/>
      <c r="K11" s="1153"/>
      <c r="L11" s="417"/>
    </row>
    <row r="12" spans="1:12" ht="15.75">
      <c r="A12" s="669"/>
      <c r="C12" s="414"/>
      <c r="D12" s="190"/>
      <c r="E12" s="414"/>
      <c r="F12" s="190"/>
      <c r="G12" s="191"/>
      <c r="H12" s="190"/>
      <c r="I12" s="190" t="s">
        <v>82</v>
      </c>
      <c r="J12" s="188"/>
      <c r="K12" s="190" t="s">
        <v>82</v>
      </c>
      <c r="L12" s="417"/>
    </row>
    <row r="13" spans="1:12" ht="15.75">
      <c r="A13" s="669"/>
      <c r="B13" s="145"/>
      <c r="C13" s="415"/>
      <c r="D13" s="192"/>
      <c r="E13" s="415"/>
      <c r="F13" s="192"/>
      <c r="G13" s="192"/>
      <c r="H13" s="192"/>
      <c r="I13" s="193" t="s">
        <v>784</v>
      </c>
      <c r="J13" s="195"/>
      <c r="K13" s="193" t="s">
        <v>784</v>
      </c>
      <c r="L13" s="942"/>
    </row>
    <row r="14" spans="1:12" ht="15.75">
      <c r="A14" s="669"/>
      <c r="B14" s="196"/>
      <c r="C14" s="148" t="s">
        <v>977</v>
      </c>
      <c r="D14" s="908"/>
      <c r="E14" s="147" t="s">
        <v>978</v>
      </c>
      <c r="F14" s="146"/>
      <c r="G14" s="146"/>
      <c r="H14" s="146"/>
      <c r="I14" s="147" t="s">
        <v>83</v>
      </c>
      <c r="J14" s="195"/>
      <c r="K14" s="147" t="s">
        <v>83</v>
      </c>
      <c r="L14" s="945"/>
    </row>
    <row r="15" spans="1:12" ht="15.75">
      <c r="A15" s="669"/>
      <c r="B15" s="196"/>
      <c r="C15" s="147" t="s">
        <v>1013</v>
      </c>
      <c r="D15" s="146"/>
      <c r="E15" s="147" t="s">
        <v>1013</v>
      </c>
      <c r="F15" s="146"/>
      <c r="G15" s="146"/>
      <c r="H15" s="146"/>
      <c r="I15" s="147" t="s">
        <v>977</v>
      </c>
      <c r="J15" s="195"/>
      <c r="K15" s="147" t="s">
        <v>978</v>
      </c>
      <c r="L15" s="945"/>
    </row>
    <row r="16" spans="1:12" ht="15.75">
      <c r="A16" s="669"/>
      <c r="B16" s="195"/>
      <c r="C16" s="147" t="s">
        <v>1014</v>
      </c>
      <c r="D16" s="146"/>
      <c r="E16" s="147" t="s">
        <v>1485</v>
      </c>
      <c r="F16" s="146"/>
      <c r="G16" s="148" t="s">
        <v>82</v>
      </c>
      <c r="H16" s="146"/>
      <c r="I16" s="147" t="s">
        <v>84</v>
      </c>
      <c r="J16" s="195"/>
      <c r="K16" s="147" t="s">
        <v>84</v>
      </c>
      <c r="L16" s="194"/>
    </row>
    <row r="17" spans="1:12">
      <c r="A17" s="149"/>
      <c r="B17" s="150"/>
      <c r="C17" s="151"/>
      <c r="D17" s="137"/>
      <c r="E17" s="151"/>
      <c r="F17" s="137"/>
      <c r="G17" s="151"/>
      <c r="H17" s="137"/>
      <c r="I17" s="151"/>
      <c r="J17" s="150"/>
      <c r="K17" s="151"/>
      <c r="L17" s="150"/>
    </row>
    <row r="18" spans="1:12" ht="15.75">
      <c r="A18" s="26" t="s">
        <v>13</v>
      </c>
      <c r="B18" s="901"/>
      <c r="C18" s="638"/>
      <c r="D18" s="638"/>
      <c r="E18" s="638"/>
      <c r="F18" s="638"/>
      <c r="G18" s="638"/>
      <c r="H18" s="638"/>
      <c r="I18" s="638"/>
      <c r="J18" s="901"/>
      <c r="K18" s="901"/>
      <c r="L18" s="901"/>
    </row>
    <row r="19" spans="1:12">
      <c r="A19" s="798" t="s">
        <v>85</v>
      </c>
      <c r="B19" s="902"/>
      <c r="C19" s="638"/>
      <c r="D19" s="902"/>
      <c r="E19" s="638"/>
      <c r="F19" s="902"/>
      <c r="G19" s="638"/>
      <c r="H19" s="902"/>
      <c r="I19" s="638"/>
      <c r="J19" s="901"/>
      <c r="K19" s="901"/>
      <c r="L19" s="901"/>
    </row>
    <row r="20" spans="1:12">
      <c r="A20" s="798" t="s">
        <v>86</v>
      </c>
      <c r="B20" s="902" t="s">
        <v>14</v>
      </c>
      <c r="C20" s="1998">
        <v>8269</v>
      </c>
      <c r="D20" s="870"/>
      <c r="E20" s="1998">
        <v>0</v>
      </c>
      <c r="F20" s="641"/>
      <c r="G20" s="639">
        <f>+'Exhibit F'!AC26</f>
        <v>8722.9</v>
      </c>
      <c r="H20" s="641"/>
      <c r="I20" s="3902">
        <f t="shared" ref="I20:I24" si="0">ROUND(SUM(G20)-SUM(C20),1)</f>
        <v>453.9</v>
      </c>
      <c r="J20" s="901"/>
      <c r="K20" s="639">
        <v>0</v>
      </c>
      <c r="L20" s="946"/>
    </row>
    <row r="21" spans="1:12">
      <c r="A21" s="798" t="s">
        <v>87</v>
      </c>
      <c r="B21" s="901" t="s">
        <v>14</v>
      </c>
      <c r="C21" s="1099">
        <v>737</v>
      </c>
      <c r="D21" s="872"/>
      <c r="E21" s="1099">
        <v>0</v>
      </c>
      <c r="F21" s="624"/>
      <c r="G21" s="872">
        <f>+'Exhibit F'!AC36</f>
        <v>744.2</v>
      </c>
      <c r="H21" s="624"/>
      <c r="I21" s="3768">
        <f t="shared" si="0"/>
        <v>7.2</v>
      </c>
      <c r="J21" s="901"/>
      <c r="K21" s="1489">
        <v>0</v>
      </c>
      <c r="L21" s="949"/>
    </row>
    <row r="22" spans="1:12">
      <c r="A22" s="798" t="s">
        <v>88</v>
      </c>
      <c r="B22" s="902" t="s">
        <v>14</v>
      </c>
      <c r="C22" s="1099">
        <v>1257</v>
      </c>
      <c r="D22" s="663"/>
      <c r="E22" s="1099">
        <v>0</v>
      </c>
      <c r="F22" s="661"/>
      <c r="G22" s="909">
        <f>+'Exhibit F'!AC44</f>
        <v>1271.0999999999999</v>
      </c>
      <c r="H22" s="661"/>
      <c r="I22" s="3768">
        <f t="shared" si="0"/>
        <v>14.1</v>
      </c>
      <c r="J22" s="901"/>
      <c r="K22" s="1489">
        <v>0</v>
      </c>
      <c r="L22" s="949"/>
    </row>
    <row r="23" spans="1:12">
      <c r="A23" s="798" t="s">
        <v>89</v>
      </c>
      <c r="B23" s="901" t="s">
        <v>14</v>
      </c>
      <c r="C23" s="1099">
        <v>241</v>
      </c>
      <c r="D23" s="872"/>
      <c r="E23" s="1099">
        <v>0</v>
      </c>
      <c r="F23" s="624"/>
      <c r="G23" s="872">
        <f>+'Exhibit F'!AC52</f>
        <v>256.39999999999998</v>
      </c>
      <c r="H23" s="624"/>
      <c r="I23" s="3768">
        <f t="shared" si="0"/>
        <v>15.4</v>
      </c>
      <c r="J23" s="901"/>
      <c r="K23" s="1489">
        <v>0</v>
      </c>
      <c r="L23" s="950"/>
    </row>
    <row r="24" spans="1:12" ht="15" customHeight="1">
      <c r="A24" s="798" t="s">
        <v>19</v>
      </c>
      <c r="B24" s="901" t="s">
        <v>14</v>
      </c>
      <c r="C24" s="1099">
        <v>318</v>
      </c>
      <c r="D24" s="1917"/>
      <c r="E24" s="1099">
        <v>0</v>
      </c>
      <c r="F24" s="919"/>
      <c r="G24" s="666">
        <f>+'Exhibit F'!AC95</f>
        <v>298.89999999999998</v>
      </c>
      <c r="H24" s="624"/>
      <c r="I24" s="3768">
        <f t="shared" si="0"/>
        <v>-19.100000000000001</v>
      </c>
      <c r="J24" s="901"/>
      <c r="K24" s="1489">
        <v>0</v>
      </c>
      <c r="L24" s="950"/>
    </row>
    <row r="25" spans="1:12" ht="15" customHeight="1">
      <c r="A25" s="798" t="s">
        <v>20</v>
      </c>
      <c r="B25" s="901" t="s">
        <v>14</v>
      </c>
      <c r="C25" s="1099">
        <v>0</v>
      </c>
      <c r="D25" s="872"/>
      <c r="E25" s="1099">
        <v>0</v>
      </c>
      <c r="F25" s="624"/>
      <c r="G25" s="666">
        <f>+'Exhibit F'!AC97</f>
        <v>0.2</v>
      </c>
      <c r="H25" s="624"/>
      <c r="I25" s="3768">
        <f t="shared" ref="I25:I30" si="1">ROUND(SUM(G25)-SUM(C25),1)</f>
        <v>0.2</v>
      </c>
      <c r="J25" s="901"/>
      <c r="K25" s="1489">
        <v>0</v>
      </c>
      <c r="L25" s="949"/>
    </row>
    <row r="26" spans="1:12" ht="18" customHeight="1">
      <c r="A26" s="798" t="s">
        <v>103</v>
      </c>
      <c r="B26" s="925"/>
      <c r="C26" s="640"/>
      <c r="D26" s="872"/>
      <c r="E26" s="640"/>
      <c r="F26" s="624"/>
      <c r="G26" s="2078"/>
      <c r="H26" s="624"/>
      <c r="I26" s="3768" t="s">
        <v>14</v>
      </c>
      <c r="J26" s="925"/>
      <c r="K26" s="1489"/>
      <c r="L26" s="923"/>
    </row>
    <row r="27" spans="1:12">
      <c r="A27" s="869" t="s">
        <v>1456</v>
      </c>
      <c r="B27" s="925" t="s">
        <v>14</v>
      </c>
      <c r="C27" s="1099">
        <v>8355</v>
      </c>
      <c r="D27" s="872"/>
      <c r="E27" s="1099">
        <v>0</v>
      </c>
      <c r="F27" s="624"/>
      <c r="G27" s="872">
        <f>'Exhibit F'!AC126</f>
        <v>8755.2999999999993</v>
      </c>
      <c r="H27" s="624"/>
      <c r="I27" s="3768">
        <f t="shared" si="1"/>
        <v>400.3</v>
      </c>
      <c r="J27" s="925"/>
      <c r="K27" s="1489">
        <v>0</v>
      </c>
      <c r="L27" s="923"/>
    </row>
    <row r="28" spans="1:12">
      <c r="A28" s="798" t="s">
        <v>976</v>
      </c>
      <c r="B28" s="925" t="s">
        <v>14</v>
      </c>
      <c r="C28" s="1099">
        <v>1663</v>
      </c>
      <c r="D28" s="872"/>
      <c r="E28" s="1099">
        <v>0</v>
      </c>
      <c r="F28" s="624"/>
      <c r="G28" s="1498">
        <f>'Exhibit F'!AC127</f>
        <v>1671.3</v>
      </c>
      <c r="H28" s="624"/>
      <c r="I28" s="3768">
        <f t="shared" si="1"/>
        <v>8.3000000000000007</v>
      </c>
      <c r="J28" s="925"/>
      <c r="K28" s="1489">
        <v>0</v>
      </c>
      <c r="L28" s="923" t="s">
        <v>14</v>
      </c>
    </row>
    <row r="29" spans="1:12">
      <c r="A29" s="798" t="s">
        <v>104</v>
      </c>
      <c r="B29" s="925" t="s">
        <v>14</v>
      </c>
      <c r="C29" s="1099">
        <v>267</v>
      </c>
      <c r="D29" s="872"/>
      <c r="E29" s="1099">
        <v>0</v>
      </c>
      <c r="F29" s="624"/>
      <c r="G29" s="872">
        <f>'Exhibit F'!AC128</f>
        <v>272.39999999999998</v>
      </c>
      <c r="H29" s="624"/>
      <c r="I29" s="3768">
        <f t="shared" si="1"/>
        <v>5.4</v>
      </c>
      <c r="J29" s="925"/>
      <c r="K29" s="1489">
        <v>0</v>
      </c>
      <c r="L29" s="923"/>
    </row>
    <row r="30" spans="1:12">
      <c r="A30" s="798" t="s">
        <v>105</v>
      </c>
      <c r="B30" s="925" t="s">
        <v>14</v>
      </c>
      <c r="C30" s="1099">
        <v>255</v>
      </c>
      <c r="D30" s="872"/>
      <c r="E30" s="1099">
        <v>0</v>
      </c>
      <c r="F30" s="624"/>
      <c r="G30" s="1669">
        <f>'Exhibit F'!AC129</f>
        <v>366.0000000000008</v>
      </c>
      <c r="H30" s="624"/>
      <c r="I30" s="3768">
        <f t="shared" si="1"/>
        <v>111</v>
      </c>
      <c r="J30" s="925"/>
      <c r="K30" s="1489">
        <v>0</v>
      </c>
      <c r="L30" s="951"/>
    </row>
    <row r="31" spans="1:12" ht="18" customHeight="1">
      <c r="A31" s="167" t="s">
        <v>106</v>
      </c>
      <c r="B31" s="145" t="s">
        <v>14</v>
      </c>
      <c r="C31" s="1826">
        <f>ROUND(SUM(C20:C30),1)</f>
        <v>21362</v>
      </c>
      <c r="D31" s="106"/>
      <c r="E31" s="1826">
        <f>ROUND(SUM(E20:E30),1)</f>
        <v>0</v>
      </c>
      <c r="F31" s="899"/>
      <c r="G31" s="209">
        <f>ROUND(SUM(G20:G30),1)</f>
        <v>22358.7</v>
      </c>
      <c r="H31" s="899"/>
      <c r="I31" s="288">
        <f>ROUND(SUM(I20:I30),1)</f>
        <v>996.7</v>
      </c>
      <c r="J31" s="145"/>
      <c r="K31" s="288">
        <f>ROUND(SUM(K20:K30),1)</f>
        <v>0</v>
      </c>
      <c r="L31" s="71"/>
    </row>
    <row r="32" spans="1:12">
      <c r="A32" s="669"/>
      <c r="B32" s="901"/>
      <c r="C32" s="1827"/>
      <c r="D32" s="872"/>
      <c r="E32" s="1827"/>
      <c r="F32" s="624"/>
      <c r="G32" s="667"/>
      <c r="H32" s="624"/>
      <c r="I32" s="920"/>
      <c r="J32" s="901"/>
      <c r="K32" s="920"/>
      <c r="L32" s="920"/>
    </row>
    <row r="33" spans="1:12" ht="15.75">
      <c r="A33" s="26" t="s">
        <v>22</v>
      </c>
      <c r="B33" s="901"/>
      <c r="C33" s="872"/>
      <c r="D33" s="872"/>
      <c r="E33" s="872"/>
      <c r="F33" s="624"/>
      <c r="G33" s="624"/>
      <c r="H33" s="624"/>
      <c r="I33" s="624"/>
      <c r="J33" s="901"/>
      <c r="K33" s="920"/>
      <c r="L33" s="920"/>
    </row>
    <row r="34" spans="1:12">
      <c r="A34" s="798" t="s">
        <v>91</v>
      </c>
      <c r="B34" s="922" t="s">
        <v>14</v>
      </c>
      <c r="C34" s="1099">
        <v>11216</v>
      </c>
      <c r="D34" s="872"/>
      <c r="E34" s="1099">
        <v>0</v>
      </c>
      <c r="F34" s="624"/>
      <c r="G34" s="661">
        <f>+'Exhibit F'!AC113</f>
        <v>10370.900000000001</v>
      </c>
      <c r="H34" s="624"/>
      <c r="I34" s="3768">
        <f t="shared" ref="I34:I42" si="2">ROUND(SUM(G34)-SUM(C34),1)</f>
        <v>-845.1</v>
      </c>
      <c r="J34" s="901"/>
      <c r="K34" s="1489">
        <v>0</v>
      </c>
      <c r="L34" s="921"/>
    </row>
    <row r="35" spans="1:12">
      <c r="A35" s="798" t="s">
        <v>92</v>
      </c>
      <c r="B35" s="922" t="s">
        <v>14</v>
      </c>
      <c r="C35" s="1099">
        <v>1874</v>
      </c>
      <c r="D35" s="872"/>
      <c r="E35" s="1099">
        <v>0</v>
      </c>
      <c r="F35" s="624"/>
      <c r="G35" s="661">
        <f>+'Exhibit F'!AC115+'Exhibit F'!AC116</f>
        <v>1809.4</v>
      </c>
      <c r="H35" s="624"/>
      <c r="I35" s="3768">
        <f t="shared" si="2"/>
        <v>-64.599999999999994</v>
      </c>
      <c r="J35" s="901"/>
      <c r="K35" s="1489">
        <v>0</v>
      </c>
      <c r="L35" s="921"/>
    </row>
    <row r="36" spans="1:12">
      <c r="A36" s="798" t="s">
        <v>68</v>
      </c>
      <c r="B36" s="922" t="s">
        <v>14</v>
      </c>
      <c r="C36" s="1099">
        <v>2793</v>
      </c>
      <c r="D36" s="872"/>
      <c r="E36" s="1099">
        <v>0</v>
      </c>
      <c r="F36" s="624"/>
      <c r="G36" s="661">
        <f>+'Exhibit F'!AC117</f>
        <v>2779.6</v>
      </c>
      <c r="H36" s="624"/>
      <c r="I36" s="3768">
        <f t="shared" si="2"/>
        <v>-13.4</v>
      </c>
      <c r="J36" s="901"/>
      <c r="K36" s="1489">
        <v>0</v>
      </c>
      <c r="L36" s="921"/>
    </row>
    <row r="37" spans="1:12" ht="18" customHeight="1">
      <c r="A37" s="798" t="s">
        <v>107</v>
      </c>
      <c r="B37" s="925"/>
      <c r="C37" s="640"/>
      <c r="D37" s="872"/>
      <c r="E37" s="640"/>
      <c r="F37" s="624"/>
      <c r="G37" s="640"/>
      <c r="H37" s="624"/>
      <c r="I37" s="3768" t="s">
        <v>14</v>
      </c>
      <c r="J37" s="925"/>
      <c r="K37" s="1489" t="s">
        <v>14</v>
      </c>
      <c r="L37" s="951"/>
    </row>
    <row r="38" spans="1:12">
      <c r="A38" s="798" t="s">
        <v>108</v>
      </c>
      <c r="B38" s="925" t="s">
        <v>14</v>
      </c>
      <c r="C38" s="1099">
        <v>112</v>
      </c>
      <c r="D38" s="872"/>
      <c r="E38" s="1099">
        <v>0</v>
      </c>
      <c r="F38" s="624"/>
      <c r="G38" s="664">
        <f>-'Exhibit F'!AC132</f>
        <v>112.4</v>
      </c>
      <c r="H38" s="624"/>
      <c r="I38" s="3768">
        <f t="shared" si="2"/>
        <v>0.4</v>
      </c>
      <c r="J38" s="925"/>
      <c r="K38" s="1489">
        <v>0</v>
      </c>
      <c r="L38" s="923"/>
    </row>
    <row r="39" spans="1:12">
      <c r="A39" s="798" t="s">
        <v>109</v>
      </c>
      <c r="B39" s="925" t="s">
        <v>14</v>
      </c>
      <c r="C39" s="1099">
        <v>-312</v>
      </c>
      <c r="D39" s="872"/>
      <c r="E39" s="1099">
        <v>0</v>
      </c>
      <c r="F39" s="624"/>
      <c r="G39" s="664">
        <f>-'Exhibit F'!AC130-'Exhibit F'!AC131</f>
        <v>-787.8</v>
      </c>
      <c r="H39" s="1489" t="s">
        <v>14</v>
      </c>
      <c r="I39" s="3768">
        <f t="shared" si="2"/>
        <v>-475.8</v>
      </c>
      <c r="J39" s="925"/>
      <c r="K39" s="1489">
        <v>0</v>
      </c>
      <c r="L39" s="923" t="s">
        <v>14</v>
      </c>
    </row>
    <row r="40" spans="1:12">
      <c r="A40" s="798" t="s">
        <v>110</v>
      </c>
      <c r="B40" s="925" t="s">
        <v>14</v>
      </c>
      <c r="C40" s="1099">
        <v>0</v>
      </c>
      <c r="D40" s="872"/>
      <c r="E40" s="1099">
        <v>0</v>
      </c>
      <c r="F40" s="624"/>
      <c r="G40" s="1498">
        <v>96.2</v>
      </c>
      <c r="H40" s="1489" t="s">
        <v>111</v>
      </c>
      <c r="I40" s="3768">
        <f t="shared" si="2"/>
        <v>96.2</v>
      </c>
      <c r="J40" s="925"/>
      <c r="K40" s="1489">
        <v>0</v>
      </c>
      <c r="L40" s="923"/>
    </row>
    <row r="41" spans="1:12">
      <c r="A41" s="798" t="s">
        <v>112</v>
      </c>
      <c r="B41" s="925" t="s">
        <v>113</v>
      </c>
      <c r="C41" s="1099">
        <v>519</v>
      </c>
      <c r="D41" s="872"/>
      <c r="E41" s="1099">
        <v>0</v>
      </c>
      <c r="F41" s="624"/>
      <c r="G41" s="1498">
        <v>508.1</v>
      </c>
      <c r="H41" s="624"/>
      <c r="I41" s="3768">
        <f t="shared" si="2"/>
        <v>-10.9</v>
      </c>
      <c r="J41" s="925"/>
      <c r="K41" s="1489">
        <v>0</v>
      </c>
      <c r="L41" s="923"/>
    </row>
    <row r="42" spans="1:12">
      <c r="A42" s="798" t="s">
        <v>114</v>
      </c>
      <c r="B42" s="925" t="s">
        <v>14</v>
      </c>
      <c r="C42" s="1099">
        <v>221</v>
      </c>
      <c r="D42" s="872"/>
      <c r="E42" s="1099">
        <v>0</v>
      </c>
      <c r="F42" s="624"/>
      <c r="G42" s="664">
        <v>211.3</v>
      </c>
      <c r="H42" s="624"/>
      <c r="I42" s="3768">
        <f t="shared" si="2"/>
        <v>-9.6999999999999993</v>
      </c>
      <c r="J42" s="925"/>
      <c r="K42" s="1489">
        <v>0</v>
      </c>
      <c r="L42" s="951"/>
    </row>
    <row r="43" spans="1:12" ht="18" customHeight="1">
      <c r="A43" s="167" t="s">
        <v>115</v>
      </c>
      <c r="B43" s="145" t="s">
        <v>14</v>
      </c>
      <c r="C43" s="1826">
        <f>ROUND(SUM(C34:C42),1)</f>
        <v>16423</v>
      </c>
      <c r="D43" s="106"/>
      <c r="E43" s="1826">
        <f>ROUND(SUM(E34:E42),1)</f>
        <v>0</v>
      </c>
      <c r="F43" s="899"/>
      <c r="G43" s="209">
        <f>ROUND(SUM(G34:G42),1)</f>
        <v>15100.1</v>
      </c>
      <c r="H43" s="899"/>
      <c r="I43" s="288">
        <f>ROUND(SUM(I34:I42),1)</f>
        <v>-1322.9</v>
      </c>
      <c r="J43" s="145"/>
      <c r="K43" s="288">
        <f>ROUND(SUM(K34:K42),1)</f>
        <v>0</v>
      </c>
      <c r="L43" s="71"/>
    </row>
    <row r="44" spans="1:12">
      <c r="A44" s="669"/>
      <c r="B44" s="901"/>
      <c r="C44" s="1827"/>
      <c r="D44" s="872"/>
      <c r="E44" s="1827"/>
      <c r="F44" s="624"/>
      <c r="G44" s="667"/>
      <c r="H44" s="624"/>
      <c r="I44" s="920"/>
      <c r="J44" s="901"/>
      <c r="K44" s="920"/>
      <c r="L44" s="920"/>
    </row>
    <row r="45" spans="1:12" ht="15.75">
      <c r="A45" s="26" t="s">
        <v>116</v>
      </c>
      <c r="B45" s="901"/>
      <c r="C45" s="872"/>
      <c r="D45" s="872"/>
      <c r="E45" s="872"/>
      <c r="F45" s="624"/>
      <c r="G45" s="624"/>
      <c r="H45" s="624"/>
      <c r="I45" s="624"/>
      <c r="J45" s="901"/>
      <c r="K45" s="920"/>
      <c r="L45" s="920"/>
    </row>
    <row r="46" spans="1:12" ht="15.75">
      <c r="A46" s="26" t="s">
        <v>117</v>
      </c>
      <c r="B46" s="901"/>
      <c r="C46" s="872"/>
      <c r="D46" s="872"/>
      <c r="E46" s="872"/>
      <c r="F46" s="624"/>
      <c r="G46" s="624"/>
      <c r="H46" s="624"/>
      <c r="I46" s="624"/>
      <c r="J46" s="901"/>
      <c r="K46" s="920"/>
      <c r="L46" s="920"/>
    </row>
    <row r="47" spans="1:12" ht="15.75">
      <c r="A47" s="167" t="s">
        <v>100</v>
      </c>
      <c r="B47" s="898" t="s">
        <v>14</v>
      </c>
      <c r="C47" s="109">
        <f>ROUND(SUM(C31)-SUM(C43),1)</f>
        <v>4939</v>
      </c>
      <c r="D47" s="1082"/>
      <c r="E47" s="109">
        <f>ROUND(SUM(E31)-SUM(E43),1)</f>
        <v>0</v>
      </c>
      <c r="F47" s="79"/>
      <c r="G47" s="71">
        <f>ROUND(SUM(G31)-SUM(G43),1)</f>
        <v>7258.6</v>
      </c>
      <c r="H47" s="79"/>
      <c r="I47" s="71">
        <f>ROUND(SUM(I31)-SUM(I43),1)</f>
        <v>2319.6</v>
      </c>
      <c r="J47" s="145"/>
      <c r="K47" s="1490">
        <f>ROUND(SUM(K31)-SUM(K43),1)</f>
        <v>0</v>
      </c>
      <c r="L47" s="71"/>
    </row>
    <row r="48" spans="1:12" ht="15" customHeight="1">
      <c r="C48" s="1449"/>
      <c r="D48" s="1604"/>
      <c r="E48" s="1449"/>
      <c r="F48" s="909"/>
      <c r="G48" s="650"/>
      <c r="H48" s="909"/>
      <c r="I48" s="71"/>
      <c r="J48" s="145"/>
      <c r="K48" s="71"/>
      <c r="L48" s="650"/>
    </row>
    <row r="49" spans="1:12" ht="15.75">
      <c r="A49" s="955" t="str">
        <f>'Exh D-Governmental  '!A49</f>
        <v>Fund Balances (Deficits) at April 1</v>
      </c>
      <c r="B49" s="603" t="s">
        <v>14</v>
      </c>
      <c r="C49" s="109">
        <v>33053</v>
      </c>
      <c r="D49" s="1604"/>
      <c r="E49" s="109">
        <v>0</v>
      </c>
      <c r="F49" s="909"/>
      <c r="G49" s="71">
        <f>'Exhibit F'!AC12</f>
        <v>33052.699999999997</v>
      </c>
      <c r="H49" s="909"/>
      <c r="I49" s="2961">
        <f t="shared" ref="I49" si="3">ROUND(SUM(G49)-SUM(C49),1)</f>
        <v>-0.3</v>
      </c>
      <c r="J49" s="145"/>
      <c r="K49" s="899">
        <v>0</v>
      </c>
      <c r="L49" s="71"/>
    </row>
    <row r="50" spans="1:12" ht="18" customHeight="1" thickBot="1">
      <c r="A50" s="167" t="str">
        <f>'Exh D-Governmental  '!A50</f>
        <v>Fund Balances (Deficits) at May 31, 2022</v>
      </c>
      <c r="B50" s="174" t="s">
        <v>14</v>
      </c>
      <c r="C50" s="2001">
        <f>ROUND(SUM(C47:C49),1)</f>
        <v>37992</v>
      </c>
      <c r="D50" s="2002"/>
      <c r="E50" s="2001">
        <f>ROUND(SUM(E47:E49),1)</f>
        <v>0</v>
      </c>
      <c r="F50" s="175"/>
      <c r="G50" s="92">
        <f>ROUND(SUM(G47:G49),1)</f>
        <v>40311.300000000003</v>
      </c>
      <c r="H50" s="175"/>
      <c r="I50" s="92">
        <f>ROUND(SUM(I47:I49),1)</f>
        <v>2319.3000000000002</v>
      </c>
      <c r="J50" s="145"/>
      <c r="K50" s="92">
        <f>ROUND(SUM(K47:K49),1)</f>
        <v>0</v>
      </c>
      <c r="L50" s="213"/>
    </row>
    <row r="51" spans="1:12" ht="15" customHeight="1" thickTop="1">
      <c r="A51" s="149"/>
      <c r="G51" s="603"/>
      <c r="J51" s="603"/>
      <c r="L51" s="668"/>
    </row>
    <row r="52" spans="1:12">
      <c r="A52" s="913" t="str">
        <f>'Exh D-Governmental  '!A52</f>
        <v>(*)    Source: 2022-23 Enacted Financial Plan dated May 20, 2022.</v>
      </c>
    </row>
    <row r="53" spans="1:12">
      <c r="A53" s="3745" t="s">
        <v>1486</v>
      </c>
    </row>
    <row r="54" spans="1:12">
      <c r="A54" s="1460" t="s">
        <v>1198</v>
      </c>
    </row>
    <row r="56" spans="1:12">
      <c r="A56" s="1460" t="s">
        <v>14</v>
      </c>
      <c r="C56" s="3918"/>
    </row>
    <row r="57" spans="1:12">
      <c r="A57" s="927"/>
      <c r="C57" s="3918"/>
      <c r="G57" s="912" t="s">
        <v>14</v>
      </c>
    </row>
    <row r="58" spans="1:12">
      <c r="C58" s="3918"/>
    </row>
    <row r="59" spans="1:12">
      <c r="A59" s="2958"/>
      <c r="C59" s="3919"/>
    </row>
    <row r="60" spans="1:12">
      <c r="A60" s="198"/>
      <c r="C60" s="3918"/>
    </row>
    <row r="61" spans="1:12">
      <c r="C61" s="3918"/>
    </row>
  </sheetData>
  <mergeCells count="2">
    <mergeCell ref="A5:E5"/>
    <mergeCell ref="C11:I11"/>
  </mergeCells>
  <printOptions horizontalCentered="1"/>
  <pageMargins left="0.5" right="0.75" top="0.75" bottom="0.75" header="0.5" footer="0.25"/>
  <pageSetup scale="60"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2022-06-15T17:51:39Z</dcterms:created>
  <dcterms:modified xsi:type="dcterms:W3CDTF">2022-06-15T18:43:17Z</dcterms:modified>
</cp:coreProperties>
</file>